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6.xml" ContentType="application/vnd.openxmlformats-officedocument.spreadsheetml.comments+xml"/>
  <Override PartName="/xl/drawings/drawing23.xml" ContentType="application/vnd.openxmlformats-officedocument.drawing+xml"/>
  <Override PartName="/xl/comments17.xml" ContentType="application/vnd.openxmlformats-officedocument.spreadsheetml.comments+xml"/>
  <Override PartName="/xl/drawings/drawing24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fileSharing readOnlyRecommended="1"/>
  <workbookPr codeName="ThisWorkbook" hidePivotFieldList="1"/>
  <bookViews>
    <workbookView showSheetTabs="0" xWindow="32040" yWindow="1500" windowWidth="21840" windowHeight="13320" tabRatio="851" firstSheet="2" activeTab="2"/>
  </bookViews>
  <sheets>
    <sheet name="SUMMARY" sheetId="44" state="hidden" r:id="rId1"/>
    <sheet name="BIDWARS" sheetId="43" state="hidden" r:id="rId2"/>
    <sheet name="HOME" sheetId="48" r:id="rId3"/>
    <sheet name="RESOURCES" sheetId="1" r:id="rId4"/>
    <sheet name="SUPERVISORS" sheetId="3" r:id="rId5"/>
    <sheet name="MANAGERS" sheetId="42" state="veryHidden" r:id="rId6"/>
    <sheet name="QA CE Coach - Santy Lazaro" sheetId="19" r:id="rId7"/>
    <sheet name="RDA - Larry Somera" sheetId="35" r:id="rId8"/>
    <sheet name="Sharepoint - Jewelson Capuno" sheetId="40" r:id="rId9"/>
    <sheet name="Logistics Executives" sheetId="39" r:id="rId10"/>
    <sheet name="KPI" sheetId="38" r:id="rId11"/>
    <sheet name="for coaching" sheetId="37" r:id="rId12"/>
    <sheet name="ATTRITION RAW" sheetId="14" r:id="rId13"/>
    <sheet name="TL CALIBRATION RAW" sheetId="32" r:id="rId14"/>
    <sheet name="PR CALIBRATION RAW" sheetId="47" r:id="rId15"/>
    <sheet name="PRODUCTIVITY RAW" sheetId="5" r:id="rId16"/>
    <sheet name="ATTENDANCE RAW" sheetId="7" r:id="rId17"/>
    <sheet name="QA RAW" sheetId="30" r:id="rId18"/>
    <sheet name="CE RAW" sheetId="31" r:id="rId19"/>
    <sheet name="COACHING RAW" sheetId="13" r:id="rId20"/>
    <sheet name="KC RAW" sheetId="28" r:id="rId21"/>
    <sheet name="DISPUTES RAW (VQA)" sheetId="33" r:id="rId22"/>
    <sheet name="BONUS RAW" sheetId="12" r:id="rId23"/>
    <sheet name="FCR RAW" sheetId="11" r:id="rId24"/>
    <sheet name="CHURN RAW" sheetId="41" r:id="rId25"/>
  </sheets>
  <definedNames>
    <definedName name="_xlnm._FilterDatabase" localSheetId="16" hidden="1">'ATTENDANCE RAW'!$A$3:$BA$174</definedName>
    <definedName name="_xlnm._FilterDatabase" localSheetId="1" hidden="1">BIDWARS!$A$3:$Z$162</definedName>
    <definedName name="_xlnm._FilterDatabase" localSheetId="22" hidden="1">'BONUS RAW'!$A$1:$J$63</definedName>
    <definedName name="_xlnm._FilterDatabase" localSheetId="18" hidden="1">'CE RAW'!$A$1:$G$29</definedName>
    <definedName name="_xlnm._FilterDatabase" localSheetId="24" hidden="1">'CHURN RAW'!$A$26:$J$177</definedName>
    <definedName name="_xlnm._FilterDatabase" localSheetId="23" hidden="1">'FCR RAW'!$A$12:$J$39</definedName>
    <definedName name="_xlnm._FilterDatabase" localSheetId="20" hidden="1">'KC RAW'!$A$1:$I$286</definedName>
    <definedName name="_xlnm._FilterDatabase" localSheetId="10" hidden="1">KPI!$A$97:$D$139</definedName>
    <definedName name="_xlnm._FilterDatabase" localSheetId="15" hidden="1">'PRODUCTIVITY RAW'!$A$2:$S$176</definedName>
    <definedName name="_xlnm._FilterDatabase" localSheetId="17" hidden="1">'QA RAW'!$A$1:$J$661</definedName>
    <definedName name="_xlnm._FilterDatabase" localSheetId="3" hidden="1">RESOURCES!$A$3:$AV$151</definedName>
    <definedName name="_xlnm._FilterDatabase" localSheetId="0" hidden="1">SUMMARY!$A$2:$K$14</definedName>
    <definedName name="_xlnm._FilterDatabase" localSheetId="4" hidden="1">SUPERVISORS!$A$3:$AX$15</definedName>
    <definedName name="_xlnm._FilterDatabase" localSheetId="13" hidden="1">'TL CALIBRATION RAW'!$A$1:$H$49</definedName>
  </definedNames>
  <calcPr calcId="145621"/>
</workbook>
</file>

<file path=xl/calcChain.xml><?xml version="1.0" encoding="utf-8"?>
<calcChain xmlns="http://schemas.openxmlformats.org/spreadsheetml/2006/main">
  <c r="Y39" i="1" l="1"/>
  <c r="O46" i="1"/>
  <c r="O35" i="1"/>
  <c r="N46" i="1" l="1"/>
  <c r="N35" i="1"/>
  <c r="A37" i="11" l="1"/>
  <c r="J37" i="11" s="1"/>
  <c r="B166" i="30" l="1"/>
  <c r="A166" i="30"/>
  <c r="B165" i="30"/>
  <c r="A165" i="30"/>
  <c r="B164" i="30"/>
  <c r="A164" i="30"/>
  <c r="B163" i="30"/>
  <c r="A163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7" i="30"/>
  <c r="A147" i="30"/>
  <c r="B146" i="30"/>
  <c r="A146" i="30"/>
  <c r="B145" i="30"/>
  <c r="A145" i="30"/>
  <c r="B144" i="30"/>
  <c r="A144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6" i="30"/>
  <c r="A116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2" i="30"/>
  <c r="A52" i="30"/>
  <c r="B51" i="30"/>
  <c r="A51" i="30"/>
  <c r="B50" i="30"/>
  <c r="A50" i="30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I661" i="30"/>
  <c r="I660" i="30"/>
  <c r="I659" i="30"/>
  <c r="I658" i="30"/>
  <c r="I657" i="30"/>
  <c r="I656" i="30"/>
  <c r="I655" i="30"/>
  <c r="I654" i="30"/>
  <c r="I653" i="30"/>
  <c r="I652" i="30"/>
  <c r="I651" i="30"/>
  <c r="I650" i="30"/>
  <c r="I649" i="30"/>
  <c r="I648" i="30"/>
  <c r="I647" i="30"/>
  <c r="I646" i="30"/>
  <c r="I645" i="30"/>
  <c r="I644" i="30"/>
  <c r="I643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628" i="30"/>
  <c r="I627" i="30"/>
  <c r="I626" i="30"/>
  <c r="I625" i="30"/>
  <c r="I624" i="30"/>
  <c r="I623" i="30"/>
  <c r="I622" i="30"/>
  <c r="I621" i="30"/>
  <c r="I620" i="30"/>
  <c r="I619" i="30"/>
  <c r="I618" i="30"/>
  <c r="I617" i="30"/>
  <c r="I616" i="30"/>
  <c r="I615" i="30"/>
  <c r="I614" i="30"/>
  <c r="I613" i="30"/>
  <c r="I612" i="30"/>
  <c r="I611" i="30"/>
  <c r="I610" i="30"/>
  <c r="I609" i="30"/>
  <c r="I608" i="30"/>
  <c r="I607" i="30"/>
  <c r="I606" i="30"/>
  <c r="I605" i="30"/>
  <c r="I604" i="30"/>
  <c r="I603" i="30"/>
  <c r="I602" i="30"/>
  <c r="I601" i="30"/>
  <c r="I600" i="30"/>
  <c r="I599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522" i="30"/>
  <c r="I521" i="30"/>
  <c r="I520" i="30"/>
  <c r="I519" i="30"/>
  <c r="I518" i="30"/>
  <c r="I517" i="30"/>
  <c r="I516" i="30"/>
  <c r="I515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463" i="30"/>
  <c r="I462" i="30"/>
  <c r="I461" i="30"/>
  <c r="I460" i="30"/>
  <c r="I459" i="30"/>
  <c r="I458" i="30"/>
  <c r="I457" i="30"/>
  <c r="I456" i="30"/>
  <c r="I455" i="30"/>
  <c r="I454" i="30"/>
  <c r="I453" i="30"/>
  <c r="I452" i="30"/>
  <c r="I451" i="30"/>
  <c r="I450" i="30"/>
  <c r="I449" i="30"/>
  <c r="I448" i="30"/>
  <c r="I447" i="30"/>
  <c r="I446" i="30"/>
  <c r="I445" i="30"/>
  <c r="I444" i="30"/>
  <c r="I443" i="30"/>
  <c r="I442" i="30"/>
  <c r="I441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341" i="30"/>
  <c r="I340" i="30"/>
  <c r="I339" i="30"/>
  <c r="I338" i="30"/>
  <c r="I337" i="30"/>
  <c r="I336" i="30"/>
  <c r="I335" i="30"/>
  <c r="I334" i="30"/>
  <c r="I333" i="30"/>
  <c r="I332" i="30"/>
  <c r="I331" i="30"/>
  <c r="I330" i="30"/>
  <c r="I329" i="30"/>
  <c r="I328" i="30"/>
  <c r="I327" i="30"/>
  <c r="I326" i="30"/>
  <c r="I325" i="30"/>
  <c r="I324" i="30"/>
  <c r="I323" i="30"/>
  <c r="I322" i="30"/>
  <c r="I321" i="30"/>
  <c r="I320" i="30"/>
  <c r="I319" i="30"/>
  <c r="I318" i="30"/>
  <c r="I317" i="30"/>
  <c r="I316" i="30"/>
  <c r="I315" i="30"/>
  <c r="I314" i="30"/>
  <c r="I313" i="30"/>
  <c r="I312" i="30"/>
  <c r="I311" i="30"/>
  <c r="I310" i="30"/>
  <c r="I309" i="30"/>
  <c r="I308" i="30"/>
  <c r="I307" i="30"/>
  <c r="I306" i="30"/>
  <c r="I305" i="30"/>
  <c r="I304" i="30"/>
  <c r="I303" i="30"/>
  <c r="I302" i="30"/>
  <c r="I301" i="30"/>
  <c r="I300" i="30"/>
  <c r="I299" i="30"/>
  <c r="I298" i="30"/>
  <c r="I297" i="30"/>
  <c r="I296" i="30"/>
  <c r="I295" i="30"/>
  <c r="I294" i="30"/>
  <c r="I293" i="30"/>
  <c r="I292" i="30"/>
  <c r="I291" i="30"/>
  <c r="I290" i="30"/>
  <c r="I289" i="30"/>
  <c r="I288" i="30"/>
  <c r="I287" i="30"/>
  <c r="I286" i="30"/>
  <c r="I285" i="30"/>
  <c r="I284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I237" i="30"/>
  <c r="I236" i="30"/>
  <c r="I235" i="30"/>
  <c r="I234" i="30"/>
  <c r="I233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P149" i="1" l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V149" i="1"/>
  <c r="U149" i="1"/>
  <c r="T149" i="1"/>
  <c r="S149" i="1"/>
  <c r="R149" i="1"/>
  <c r="Q149" i="1"/>
  <c r="M149" i="1"/>
  <c r="V148" i="1"/>
  <c r="U148" i="1"/>
  <c r="T148" i="1"/>
  <c r="S148" i="1"/>
  <c r="R148" i="1"/>
  <c r="Q148" i="1"/>
  <c r="M148" i="1"/>
  <c r="V147" i="1"/>
  <c r="U147" i="1"/>
  <c r="T147" i="1"/>
  <c r="S147" i="1"/>
  <c r="R147" i="1"/>
  <c r="Q147" i="1"/>
  <c r="M147" i="1"/>
  <c r="V146" i="1"/>
  <c r="U146" i="1"/>
  <c r="T146" i="1"/>
  <c r="S146" i="1"/>
  <c r="R146" i="1"/>
  <c r="Q146" i="1"/>
  <c r="M146" i="1"/>
  <c r="V145" i="1"/>
  <c r="U145" i="1"/>
  <c r="T145" i="1"/>
  <c r="S145" i="1"/>
  <c r="R145" i="1"/>
  <c r="Q145" i="1"/>
  <c r="M145" i="1"/>
  <c r="V144" i="1"/>
  <c r="U144" i="1"/>
  <c r="T144" i="1"/>
  <c r="S144" i="1"/>
  <c r="R144" i="1"/>
  <c r="Q144" i="1"/>
  <c r="M144" i="1"/>
  <c r="V143" i="1"/>
  <c r="U143" i="1"/>
  <c r="T143" i="1"/>
  <c r="S143" i="1"/>
  <c r="R143" i="1"/>
  <c r="Q143" i="1"/>
  <c r="M143" i="1"/>
  <c r="V142" i="1"/>
  <c r="U142" i="1"/>
  <c r="T142" i="1"/>
  <c r="S142" i="1"/>
  <c r="R142" i="1"/>
  <c r="Q142" i="1"/>
  <c r="M142" i="1"/>
  <c r="V141" i="1"/>
  <c r="U141" i="1"/>
  <c r="T141" i="1"/>
  <c r="S141" i="1"/>
  <c r="R141" i="1"/>
  <c r="Q141" i="1"/>
  <c r="M141" i="1"/>
  <c r="V140" i="1"/>
  <c r="U140" i="1"/>
  <c r="T140" i="1"/>
  <c r="S140" i="1"/>
  <c r="R140" i="1"/>
  <c r="Q140" i="1"/>
  <c r="M140" i="1"/>
  <c r="V139" i="1"/>
  <c r="U139" i="1"/>
  <c r="T139" i="1"/>
  <c r="S139" i="1"/>
  <c r="R139" i="1"/>
  <c r="Q139" i="1"/>
  <c r="M139" i="1"/>
  <c r="V138" i="1"/>
  <c r="U138" i="1"/>
  <c r="T138" i="1"/>
  <c r="S138" i="1"/>
  <c r="R138" i="1"/>
  <c r="Q138" i="1"/>
  <c r="M138" i="1"/>
  <c r="H73" i="12" l="1"/>
  <c r="I73" i="12" s="1"/>
  <c r="H72" i="12"/>
  <c r="I72" i="12" s="1"/>
  <c r="H71" i="12"/>
  <c r="I71" i="12" s="1"/>
  <c r="H70" i="12"/>
  <c r="I70" i="12" s="1"/>
  <c r="H69" i="12"/>
  <c r="I69" i="12" s="1"/>
  <c r="H68" i="12"/>
  <c r="I68" i="12" s="1"/>
  <c r="H67" i="12"/>
  <c r="I67" i="12" s="1"/>
  <c r="H66" i="12"/>
  <c r="I66" i="12" s="1"/>
  <c r="H65" i="12"/>
  <c r="I65" i="12" s="1"/>
  <c r="H64" i="12"/>
  <c r="I64" i="12" s="1"/>
  <c r="R13" i="28"/>
  <c r="R12" i="28"/>
  <c r="R11" i="28"/>
  <c r="R10" i="28"/>
  <c r="R9" i="28"/>
  <c r="R8" i="28"/>
  <c r="F31" i="13" l="1"/>
  <c r="E31" i="13"/>
  <c r="T12" i="30" l="1"/>
  <c r="S70" i="1" l="1"/>
  <c r="S88" i="1"/>
  <c r="A28" i="11" l="1"/>
  <c r="J28" i="11" s="1"/>
  <c r="E25" i="31" l="1"/>
  <c r="G31" i="14" l="1"/>
  <c r="F31" i="14"/>
  <c r="H5" i="40" l="1"/>
  <c r="G3" i="35" l="1"/>
  <c r="G2" i="35"/>
  <c r="P88" i="1"/>
  <c r="O88" i="1"/>
  <c r="P87" i="1"/>
  <c r="O87" i="1"/>
  <c r="P86" i="1"/>
  <c r="O86" i="1"/>
  <c r="P85" i="1"/>
  <c r="O85" i="1"/>
  <c r="O40" i="1"/>
  <c r="N40" i="1"/>
  <c r="O38" i="1"/>
  <c r="N38" i="1"/>
  <c r="O37" i="1"/>
  <c r="N37" i="1"/>
  <c r="O36" i="1"/>
  <c r="N36" i="1"/>
  <c r="O34" i="1"/>
  <c r="N34" i="1"/>
  <c r="O33" i="1"/>
  <c r="N33" i="1"/>
  <c r="O32" i="1"/>
  <c r="N32" i="1"/>
  <c r="O31" i="1"/>
  <c r="N31" i="1"/>
  <c r="O30" i="1"/>
  <c r="N30" i="1"/>
  <c r="M5" i="1"/>
  <c r="N5" i="1"/>
  <c r="O5" i="1"/>
  <c r="P5" i="1"/>
  <c r="Q5" i="1"/>
  <c r="R5" i="1"/>
  <c r="S5" i="1"/>
  <c r="T5" i="1"/>
  <c r="U5" i="1"/>
  <c r="V5" i="1"/>
  <c r="Y5" i="1"/>
  <c r="Z5" i="1"/>
  <c r="AA5" i="1"/>
  <c r="AB5" i="1"/>
  <c r="AC5" i="1"/>
  <c r="AF5" i="1"/>
  <c r="M6" i="1"/>
  <c r="N6" i="1"/>
  <c r="O6" i="1"/>
  <c r="P6" i="1"/>
  <c r="Q6" i="1"/>
  <c r="R6" i="1"/>
  <c r="S6" i="1"/>
  <c r="T6" i="1"/>
  <c r="U6" i="1"/>
  <c r="V6" i="1"/>
  <c r="Y6" i="1"/>
  <c r="Z6" i="1"/>
  <c r="AA6" i="1"/>
  <c r="AB6" i="1"/>
  <c r="AC6" i="1"/>
  <c r="AF6" i="1"/>
  <c r="M7" i="1"/>
  <c r="N7" i="1"/>
  <c r="O7" i="1"/>
  <c r="P7" i="1"/>
  <c r="Q7" i="1"/>
  <c r="R7" i="1"/>
  <c r="S7" i="1"/>
  <c r="T7" i="1"/>
  <c r="U7" i="1"/>
  <c r="V7" i="1"/>
  <c r="Y7" i="1"/>
  <c r="Z7" i="1"/>
  <c r="AA7" i="1"/>
  <c r="AB7" i="1"/>
  <c r="AC7" i="1"/>
  <c r="AF7" i="1"/>
  <c r="M8" i="1"/>
  <c r="N8" i="1"/>
  <c r="O8" i="1"/>
  <c r="P8" i="1"/>
  <c r="Q8" i="1"/>
  <c r="R8" i="1"/>
  <c r="S8" i="1"/>
  <c r="T8" i="1"/>
  <c r="U8" i="1"/>
  <c r="V8" i="1"/>
  <c r="Y8" i="1"/>
  <c r="Z8" i="1"/>
  <c r="AA8" i="1"/>
  <c r="AB8" i="1"/>
  <c r="AC8" i="1"/>
  <c r="M9" i="1"/>
  <c r="N9" i="1"/>
  <c r="O9" i="1"/>
  <c r="P9" i="1"/>
  <c r="Q9" i="1"/>
  <c r="R9" i="1"/>
  <c r="S9" i="1"/>
  <c r="T9" i="1"/>
  <c r="U9" i="1"/>
  <c r="V9" i="1"/>
  <c r="Y9" i="1"/>
  <c r="Z9" i="1"/>
  <c r="AA9" i="1"/>
  <c r="AB9" i="1"/>
  <c r="AC9" i="1"/>
  <c r="AF9" i="1"/>
  <c r="M10" i="1"/>
  <c r="P10" i="1"/>
  <c r="Q10" i="1"/>
  <c r="R10" i="1"/>
  <c r="T10" i="1"/>
  <c r="U10" i="1"/>
  <c r="V10" i="1"/>
  <c r="Y10" i="1"/>
  <c r="Z10" i="1"/>
  <c r="AA10" i="1"/>
  <c r="AB10" i="1"/>
  <c r="AC10" i="1"/>
  <c r="AF10" i="1"/>
  <c r="M11" i="1"/>
  <c r="N11" i="1"/>
  <c r="O11" i="1"/>
  <c r="P11" i="1"/>
  <c r="Q11" i="1"/>
  <c r="R11" i="1"/>
  <c r="S11" i="1"/>
  <c r="T11" i="1"/>
  <c r="U11" i="1"/>
  <c r="V11" i="1"/>
  <c r="Y11" i="1"/>
  <c r="Z11" i="1"/>
  <c r="AA11" i="1"/>
  <c r="AB11" i="1"/>
  <c r="AC11" i="1"/>
  <c r="M12" i="1"/>
  <c r="N12" i="1"/>
  <c r="O12" i="1"/>
  <c r="P12" i="1"/>
  <c r="Q12" i="1"/>
  <c r="R12" i="1"/>
  <c r="S12" i="1"/>
  <c r="T12" i="1"/>
  <c r="U12" i="1"/>
  <c r="V12" i="1"/>
  <c r="Y12" i="1"/>
  <c r="Z12" i="1"/>
  <c r="AA12" i="1"/>
  <c r="AB12" i="1"/>
  <c r="AC12" i="1"/>
  <c r="AF12" i="1"/>
  <c r="M13" i="1"/>
  <c r="N13" i="1"/>
  <c r="O13" i="1"/>
  <c r="P13" i="1"/>
  <c r="Q13" i="1"/>
  <c r="R13" i="1"/>
  <c r="S13" i="1"/>
  <c r="T13" i="1"/>
  <c r="U13" i="1"/>
  <c r="V13" i="1"/>
  <c r="Y13" i="1"/>
  <c r="Z13" i="1"/>
  <c r="AA13" i="1"/>
  <c r="AB13" i="1"/>
  <c r="AC13" i="1"/>
  <c r="M14" i="1"/>
  <c r="N14" i="1"/>
  <c r="O14" i="1"/>
  <c r="P14" i="1"/>
  <c r="Q14" i="1"/>
  <c r="R14" i="1"/>
  <c r="S14" i="1"/>
  <c r="T14" i="1"/>
  <c r="U14" i="1"/>
  <c r="V14" i="1"/>
  <c r="Y14" i="1"/>
  <c r="Z14" i="1"/>
  <c r="AA14" i="1"/>
  <c r="AB14" i="1"/>
  <c r="AC14" i="1"/>
  <c r="M15" i="1"/>
  <c r="N15" i="1"/>
  <c r="O15" i="1"/>
  <c r="P15" i="1"/>
  <c r="Q15" i="1"/>
  <c r="R15" i="1"/>
  <c r="S15" i="1"/>
  <c r="T15" i="1"/>
  <c r="U15" i="1"/>
  <c r="V15" i="1"/>
  <c r="Y15" i="1"/>
  <c r="Z15" i="1"/>
  <c r="AA15" i="1"/>
  <c r="AB15" i="1"/>
  <c r="AC15" i="1"/>
  <c r="M16" i="1"/>
  <c r="N16" i="1"/>
  <c r="O16" i="1"/>
  <c r="P16" i="1"/>
  <c r="Q16" i="1"/>
  <c r="R16" i="1"/>
  <c r="S16" i="1"/>
  <c r="T16" i="1"/>
  <c r="U16" i="1"/>
  <c r="V16" i="1"/>
  <c r="Y16" i="1"/>
  <c r="Z16" i="1"/>
  <c r="AA16" i="1"/>
  <c r="AB16" i="1"/>
  <c r="AC16" i="1"/>
  <c r="AF16" i="1"/>
  <c r="M17" i="1"/>
  <c r="N17" i="1"/>
  <c r="O17" i="1"/>
  <c r="P17" i="1"/>
  <c r="Q17" i="1"/>
  <c r="R17" i="1"/>
  <c r="S17" i="1"/>
  <c r="T17" i="1"/>
  <c r="U17" i="1"/>
  <c r="V17" i="1"/>
  <c r="Y17" i="1"/>
  <c r="Z17" i="1"/>
  <c r="AA17" i="1"/>
  <c r="AB17" i="1"/>
  <c r="AC17" i="1"/>
  <c r="AF17" i="1"/>
  <c r="M18" i="1"/>
  <c r="N18" i="1"/>
  <c r="O18" i="1"/>
  <c r="P18" i="1"/>
  <c r="Q18" i="1"/>
  <c r="R18" i="1"/>
  <c r="S18" i="1"/>
  <c r="T18" i="1"/>
  <c r="U18" i="1"/>
  <c r="V18" i="1"/>
  <c r="X18" i="1"/>
  <c r="Y18" i="1"/>
  <c r="AA18" i="1"/>
  <c r="AB18" i="1"/>
  <c r="AC18" i="1"/>
  <c r="AF18" i="1"/>
  <c r="M19" i="1"/>
  <c r="N19" i="1"/>
  <c r="O19" i="1"/>
  <c r="P19" i="1"/>
  <c r="Q19" i="1"/>
  <c r="R19" i="1"/>
  <c r="S19" i="1"/>
  <c r="T19" i="1"/>
  <c r="U19" i="1"/>
  <c r="V19" i="1"/>
  <c r="X19" i="1"/>
  <c r="Y19" i="1"/>
  <c r="AA19" i="1"/>
  <c r="AB19" i="1"/>
  <c r="AC19" i="1"/>
  <c r="AF19" i="1"/>
  <c r="M20" i="1"/>
  <c r="N20" i="1"/>
  <c r="O20" i="1"/>
  <c r="P20" i="1"/>
  <c r="Q20" i="1"/>
  <c r="R20" i="1"/>
  <c r="S20" i="1"/>
  <c r="T20" i="1"/>
  <c r="U20" i="1"/>
  <c r="V20" i="1"/>
  <c r="X20" i="1"/>
  <c r="Y20" i="1"/>
  <c r="AA20" i="1"/>
  <c r="AB20" i="1"/>
  <c r="AC20" i="1"/>
  <c r="AF20" i="1"/>
  <c r="M21" i="1"/>
  <c r="N21" i="1"/>
  <c r="O21" i="1"/>
  <c r="P21" i="1"/>
  <c r="Q21" i="1"/>
  <c r="R21" i="1"/>
  <c r="S21" i="1"/>
  <c r="T21" i="1"/>
  <c r="U21" i="1"/>
  <c r="V21" i="1"/>
  <c r="X21" i="1"/>
  <c r="Y21" i="1"/>
  <c r="AA21" i="1"/>
  <c r="AB21" i="1"/>
  <c r="AC21" i="1"/>
  <c r="AF21" i="1"/>
  <c r="M22" i="1"/>
  <c r="N22" i="1"/>
  <c r="O22" i="1"/>
  <c r="P22" i="1"/>
  <c r="Q22" i="1"/>
  <c r="R22" i="1"/>
  <c r="S22" i="1"/>
  <c r="T22" i="1"/>
  <c r="U22" i="1"/>
  <c r="V22" i="1"/>
  <c r="X22" i="1"/>
  <c r="Y22" i="1"/>
  <c r="AA22" i="1"/>
  <c r="AB22" i="1"/>
  <c r="AC22" i="1"/>
  <c r="AF22" i="1"/>
  <c r="M23" i="1"/>
  <c r="N23" i="1"/>
  <c r="O23" i="1"/>
  <c r="P23" i="1"/>
  <c r="Q23" i="1"/>
  <c r="R23" i="1"/>
  <c r="T23" i="1"/>
  <c r="U23" i="1"/>
  <c r="V23" i="1"/>
  <c r="X23" i="1"/>
  <c r="Y23" i="1"/>
  <c r="AA23" i="1"/>
  <c r="AB23" i="1"/>
  <c r="AC23" i="1"/>
  <c r="AF23" i="1"/>
  <c r="M24" i="1"/>
  <c r="N24" i="1"/>
  <c r="O24" i="1"/>
  <c r="P24" i="1"/>
  <c r="Q24" i="1"/>
  <c r="R24" i="1"/>
  <c r="S24" i="1"/>
  <c r="T24" i="1"/>
  <c r="U24" i="1"/>
  <c r="V24" i="1"/>
  <c r="X24" i="1"/>
  <c r="Y24" i="1"/>
  <c r="AA24" i="1"/>
  <c r="AB24" i="1"/>
  <c r="AC24" i="1"/>
  <c r="AF24" i="1"/>
  <c r="M25" i="1"/>
  <c r="N25" i="1"/>
  <c r="O25" i="1"/>
  <c r="P25" i="1"/>
  <c r="Q25" i="1"/>
  <c r="R25" i="1"/>
  <c r="S25" i="1"/>
  <c r="T25" i="1"/>
  <c r="U25" i="1"/>
  <c r="V25" i="1"/>
  <c r="X25" i="1"/>
  <c r="Y25" i="1"/>
  <c r="AA25" i="1"/>
  <c r="AB25" i="1"/>
  <c r="AC25" i="1"/>
  <c r="AF25" i="1"/>
  <c r="M26" i="1"/>
  <c r="N26" i="1"/>
  <c r="O26" i="1"/>
  <c r="P26" i="1"/>
  <c r="Q26" i="1"/>
  <c r="R26" i="1"/>
  <c r="S26" i="1"/>
  <c r="T26" i="1"/>
  <c r="U26" i="1"/>
  <c r="V26" i="1"/>
  <c r="X26" i="1"/>
  <c r="Y26" i="1"/>
  <c r="AA26" i="1"/>
  <c r="AB26" i="1"/>
  <c r="AC26" i="1"/>
  <c r="AF26" i="1"/>
  <c r="M27" i="1"/>
  <c r="N27" i="1"/>
  <c r="O27" i="1"/>
  <c r="P27" i="1"/>
  <c r="Q27" i="1"/>
  <c r="R27" i="1"/>
  <c r="S27" i="1"/>
  <c r="T27" i="1"/>
  <c r="U27" i="1"/>
  <c r="V27" i="1"/>
  <c r="X27" i="1"/>
  <c r="Y27" i="1"/>
  <c r="AA27" i="1"/>
  <c r="AB27" i="1"/>
  <c r="AC27" i="1"/>
  <c r="AF27" i="1"/>
  <c r="M28" i="1"/>
  <c r="N28" i="1"/>
  <c r="O28" i="1"/>
  <c r="P28" i="1"/>
  <c r="Q28" i="1"/>
  <c r="R28" i="1"/>
  <c r="S28" i="1"/>
  <c r="T28" i="1"/>
  <c r="U28" i="1"/>
  <c r="V28" i="1"/>
  <c r="X28" i="1"/>
  <c r="Y28" i="1"/>
  <c r="AA28" i="1"/>
  <c r="AB28" i="1"/>
  <c r="AC28" i="1"/>
  <c r="AF28" i="1"/>
  <c r="M29" i="1"/>
  <c r="N29" i="1"/>
  <c r="O29" i="1"/>
  <c r="P29" i="1"/>
  <c r="Q29" i="1"/>
  <c r="R29" i="1"/>
  <c r="S29" i="1"/>
  <c r="T29" i="1"/>
  <c r="U29" i="1"/>
  <c r="V29" i="1"/>
  <c r="X29" i="1"/>
  <c r="Y29" i="1"/>
  <c r="AA29" i="1"/>
  <c r="AB29" i="1"/>
  <c r="AC29" i="1"/>
  <c r="AF29" i="1"/>
  <c r="T10" i="3" l="1"/>
  <c r="Z88" i="1" l="1"/>
  <c r="Z85" i="1"/>
  <c r="Y88" i="1"/>
  <c r="Y85" i="1"/>
  <c r="Y149" i="1"/>
  <c r="Y150" i="1"/>
  <c r="Y151" i="1"/>
  <c r="Y148" i="1"/>
  <c r="N136" i="1"/>
  <c r="O136" i="1"/>
  <c r="Y138" i="1"/>
  <c r="Y137" i="1"/>
  <c r="Y136" i="1"/>
  <c r="O135" i="1"/>
  <c r="N135" i="1"/>
  <c r="Y135" i="1"/>
  <c r="O131" i="1"/>
  <c r="N131" i="1"/>
  <c r="Y131" i="1"/>
  <c r="Y41" i="1"/>
  <c r="Y38" i="1"/>
  <c r="Y35" i="1"/>
  <c r="Y30" i="1"/>
  <c r="S115" i="1" l="1"/>
  <c r="S110" i="1"/>
  <c r="S103" i="1"/>
  <c r="S90" i="1"/>
  <c r="S81" i="1"/>
  <c r="S80" i="1"/>
  <c r="S79" i="1"/>
  <c r="S78" i="1"/>
  <c r="S77" i="1"/>
  <c r="S76" i="1"/>
  <c r="S75" i="1"/>
  <c r="S74" i="1"/>
  <c r="S73" i="1"/>
  <c r="S72" i="1"/>
  <c r="S71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AC110" i="1"/>
  <c r="H14" i="41" l="1"/>
  <c r="A25" i="30" l="1"/>
  <c r="B25" i="30"/>
  <c r="A26" i="30"/>
  <c r="B26" i="30"/>
  <c r="A27" i="30"/>
  <c r="B27" i="30"/>
  <c r="A28" i="30"/>
  <c r="B28" i="30"/>
  <c r="F661" i="30"/>
  <c r="F660" i="30"/>
  <c r="F659" i="30"/>
  <c r="F658" i="30"/>
  <c r="F657" i="30"/>
  <c r="F656" i="30"/>
  <c r="F655" i="30"/>
  <c r="F654" i="30"/>
  <c r="F653" i="30"/>
  <c r="F652" i="30"/>
  <c r="F651" i="30"/>
  <c r="F650" i="30"/>
  <c r="F649" i="30"/>
  <c r="F648" i="30"/>
  <c r="F647" i="30"/>
  <c r="F646" i="30"/>
  <c r="F645" i="30"/>
  <c r="F644" i="30"/>
  <c r="F643" i="30"/>
  <c r="F642" i="30"/>
  <c r="F641" i="30"/>
  <c r="F640" i="30"/>
  <c r="F639" i="30"/>
  <c r="F638" i="30"/>
  <c r="F637" i="30"/>
  <c r="F636" i="30"/>
  <c r="F635" i="30"/>
  <c r="F634" i="30"/>
  <c r="F633" i="30"/>
  <c r="F632" i="30"/>
  <c r="F631" i="30"/>
  <c r="F630" i="30"/>
  <c r="F629" i="30"/>
  <c r="F628" i="30"/>
  <c r="F627" i="30"/>
  <c r="F626" i="30"/>
  <c r="F625" i="30"/>
  <c r="F624" i="30"/>
  <c r="F623" i="30"/>
  <c r="F622" i="30"/>
  <c r="F621" i="30"/>
  <c r="F620" i="30"/>
  <c r="F619" i="30"/>
  <c r="F618" i="30"/>
  <c r="F617" i="30"/>
  <c r="F616" i="30"/>
  <c r="F615" i="30"/>
  <c r="F614" i="30"/>
  <c r="F613" i="30"/>
  <c r="F612" i="30"/>
  <c r="F611" i="30"/>
  <c r="F610" i="30"/>
  <c r="F609" i="30"/>
  <c r="F608" i="30"/>
  <c r="F607" i="30"/>
  <c r="F606" i="30"/>
  <c r="F605" i="30"/>
  <c r="F604" i="30"/>
  <c r="F603" i="30"/>
  <c r="F602" i="30"/>
  <c r="F601" i="30"/>
  <c r="F600" i="30"/>
  <c r="F599" i="30"/>
  <c r="F598" i="30"/>
  <c r="F597" i="30"/>
  <c r="F596" i="30"/>
  <c r="F595" i="30"/>
  <c r="F594" i="30"/>
  <c r="F593" i="30"/>
  <c r="F592" i="30"/>
  <c r="F591" i="30"/>
  <c r="F590" i="30"/>
  <c r="F589" i="30"/>
  <c r="F588" i="30"/>
  <c r="F587" i="30"/>
  <c r="F586" i="30"/>
  <c r="F585" i="30"/>
  <c r="F584" i="30"/>
  <c r="F583" i="30"/>
  <c r="F582" i="30"/>
  <c r="F581" i="30"/>
  <c r="F580" i="30"/>
  <c r="F579" i="30"/>
  <c r="F578" i="30"/>
  <c r="F577" i="30"/>
  <c r="F576" i="30"/>
  <c r="F575" i="30"/>
  <c r="F574" i="30"/>
  <c r="F573" i="30"/>
  <c r="F572" i="30"/>
  <c r="F571" i="30"/>
  <c r="F570" i="30"/>
  <c r="F569" i="30"/>
  <c r="F568" i="30"/>
  <c r="F567" i="30"/>
  <c r="F566" i="30"/>
  <c r="F565" i="30"/>
  <c r="F564" i="30"/>
  <c r="F563" i="30"/>
  <c r="F562" i="30"/>
  <c r="F561" i="30"/>
  <c r="F560" i="30"/>
  <c r="F559" i="30"/>
  <c r="F558" i="30"/>
  <c r="F557" i="30"/>
  <c r="F556" i="30"/>
  <c r="F555" i="30"/>
  <c r="F554" i="30"/>
  <c r="F553" i="30"/>
  <c r="F552" i="30"/>
  <c r="F551" i="30"/>
  <c r="F550" i="30"/>
  <c r="F549" i="30"/>
  <c r="F548" i="30"/>
  <c r="F547" i="30"/>
  <c r="F546" i="30"/>
  <c r="F545" i="30"/>
  <c r="F544" i="30"/>
  <c r="F543" i="30"/>
  <c r="F542" i="30"/>
  <c r="F541" i="30"/>
  <c r="F540" i="30"/>
  <c r="F539" i="30"/>
  <c r="F538" i="30"/>
  <c r="F537" i="30"/>
  <c r="F536" i="30"/>
  <c r="F535" i="30"/>
  <c r="F534" i="30"/>
  <c r="F533" i="30"/>
  <c r="F532" i="30"/>
  <c r="F531" i="30"/>
  <c r="F530" i="30"/>
  <c r="F529" i="30"/>
  <c r="F528" i="30"/>
  <c r="F527" i="30"/>
  <c r="F526" i="30"/>
  <c r="F525" i="30"/>
  <c r="F524" i="30"/>
  <c r="F523" i="30"/>
  <c r="F522" i="30"/>
  <c r="F521" i="30"/>
  <c r="F520" i="30"/>
  <c r="F519" i="30"/>
  <c r="F518" i="30"/>
  <c r="F517" i="30"/>
  <c r="F516" i="30"/>
  <c r="F515" i="30"/>
  <c r="F514" i="30"/>
  <c r="F513" i="30"/>
  <c r="F512" i="30"/>
  <c r="F511" i="30"/>
  <c r="F510" i="30"/>
  <c r="F509" i="30"/>
  <c r="F508" i="30"/>
  <c r="F507" i="30"/>
  <c r="F506" i="30"/>
  <c r="F505" i="30"/>
  <c r="F504" i="30"/>
  <c r="F503" i="30"/>
  <c r="F502" i="30"/>
  <c r="F501" i="30"/>
  <c r="F500" i="30"/>
  <c r="F499" i="30"/>
  <c r="F498" i="30"/>
  <c r="F497" i="30"/>
  <c r="F496" i="30"/>
  <c r="F495" i="30"/>
  <c r="F494" i="30"/>
  <c r="F493" i="30"/>
  <c r="F492" i="30"/>
  <c r="F491" i="30"/>
  <c r="F490" i="30"/>
  <c r="F489" i="30"/>
  <c r="F488" i="30"/>
  <c r="F487" i="30"/>
  <c r="F486" i="30"/>
  <c r="F485" i="30"/>
  <c r="F484" i="30"/>
  <c r="F483" i="30"/>
  <c r="F482" i="30"/>
  <c r="F481" i="30"/>
  <c r="F480" i="30"/>
  <c r="F479" i="30"/>
  <c r="F478" i="30"/>
  <c r="F477" i="30"/>
  <c r="F476" i="30"/>
  <c r="F475" i="30"/>
  <c r="F474" i="30"/>
  <c r="F473" i="30"/>
  <c r="F472" i="30"/>
  <c r="F471" i="30"/>
  <c r="F470" i="30"/>
  <c r="F469" i="30"/>
  <c r="F468" i="30"/>
  <c r="F467" i="30"/>
  <c r="F466" i="30"/>
  <c r="F465" i="30"/>
  <c r="F464" i="30"/>
  <c r="F463" i="30"/>
  <c r="F462" i="30"/>
  <c r="F461" i="30"/>
  <c r="F460" i="30"/>
  <c r="F459" i="30"/>
  <c r="F458" i="30"/>
  <c r="F457" i="30"/>
  <c r="F456" i="30"/>
  <c r="F455" i="30"/>
  <c r="F454" i="30"/>
  <c r="F453" i="30"/>
  <c r="F452" i="30"/>
  <c r="F451" i="30"/>
  <c r="F450" i="30"/>
  <c r="F449" i="30"/>
  <c r="F448" i="30"/>
  <c r="F447" i="30"/>
  <c r="F446" i="30"/>
  <c r="F445" i="30"/>
  <c r="F444" i="30"/>
  <c r="F443" i="30"/>
  <c r="F442" i="30"/>
  <c r="F441" i="30"/>
  <c r="F440" i="30"/>
  <c r="F439" i="30"/>
  <c r="F438" i="30"/>
  <c r="F437" i="30"/>
  <c r="F436" i="30"/>
  <c r="F435" i="30"/>
  <c r="F434" i="30"/>
  <c r="F433" i="30"/>
  <c r="F432" i="30"/>
  <c r="F431" i="30"/>
  <c r="F430" i="30"/>
  <c r="F429" i="30"/>
  <c r="F428" i="30"/>
  <c r="F427" i="30"/>
  <c r="F426" i="30"/>
  <c r="F425" i="30"/>
  <c r="F424" i="30"/>
  <c r="F423" i="30"/>
  <c r="F422" i="30"/>
  <c r="F421" i="30"/>
  <c r="F420" i="30"/>
  <c r="F419" i="30"/>
  <c r="F418" i="30"/>
  <c r="F417" i="30"/>
  <c r="F416" i="30"/>
  <c r="F415" i="30"/>
  <c r="F414" i="30"/>
  <c r="F413" i="30"/>
  <c r="F412" i="30"/>
  <c r="F411" i="30"/>
  <c r="F410" i="30"/>
  <c r="F409" i="30"/>
  <c r="F408" i="30"/>
  <c r="F407" i="30"/>
  <c r="F406" i="30"/>
  <c r="F405" i="30"/>
  <c r="F404" i="30"/>
  <c r="F403" i="30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N88" i="1" l="1"/>
  <c r="N85" i="1"/>
  <c r="B137" i="5" l="1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H31" i="14" l="1"/>
  <c r="Q30" i="14"/>
  <c r="I29" i="14"/>
  <c r="I28" i="14"/>
  <c r="H29" i="14"/>
  <c r="H28" i="14"/>
  <c r="H27" i="14"/>
  <c r="I27" i="14"/>
  <c r="P3" i="14"/>
  <c r="P2" i="14"/>
  <c r="I31" i="14" l="1"/>
  <c r="Q31" i="14" s="1"/>
  <c r="J31" i="14" s="1"/>
  <c r="Q27" i="14"/>
  <c r="J27" i="14" s="1"/>
  <c r="Q28" i="14"/>
  <c r="J28" i="14" s="1"/>
  <c r="Q29" i="14"/>
  <c r="J29" i="14" s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J407" i="28" l="1"/>
  <c r="AC150" i="1" s="1"/>
  <c r="J408" i="28"/>
  <c r="J409" i="28"/>
  <c r="J410" i="28"/>
  <c r="J411" i="28"/>
  <c r="J412" i="28"/>
  <c r="J413" i="28"/>
  <c r="J414" i="28"/>
  <c r="J415" i="28"/>
  <c r="J416" i="28"/>
  <c r="J417" i="28"/>
  <c r="J418" i="28"/>
  <c r="J419" i="28"/>
  <c r="J420" i="28"/>
  <c r="J421" i="28"/>
  <c r="J422" i="28"/>
  <c r="J423" i="28"/>
  <c r="J424" i="28"/>
  <c r="AC146" i="1" l="1"/>
  <c r="AC145" i="1"/>
  <c r="AC149" i="1"/>
  <c r="AC151" i="1"/>
  <c r="I684" i="30"/>
  <c r="J684" i="30"/>
  <c r="I685" i="30"/>
  <c r="J685" i="30"/>
  <c r="P29" i="33" l="1"/>
  <c r="Q29" i="33"/>
  <c r="R29" i="33"/>
  <c r="S29" i="33"/>
  <c r="T29" i="33"/>
  <c r="U29" i="33"/>
  <c r="P30" i="33"/>
  <c r="Q30" i="33"/>
  <c r="R30" i="33"/>
  <c r="S30" i="33"/>
  <c r="T30" i="33"/>
  <c r="U30" i="33"/>
  <c r="P31" i="33"/>
  <c r="Q31" i="33"/>
  <c r="R31" i="33"/>
  <c r="S31" i="33"/>
  <c r="T31" i="33"/>
  <c r="U31" i="33"/>
  <c r="R13" i="33"/>
  <c r="S13" i="33"/>
  <c r="T13" i="33"/>
  <c r="U13" i="33"/>
  <c r="R14" i="33"/>
  <c r="S14" i="33"/>
  <c r="T14" i="33"/>
  <c r="U14" i="33"/>
  <c r="R15" i="33"/>
  <c r="S15" i="33"/>
  <c r="T15" i="33"/>
  <c r="U15" i="33"/>
  <c r="J402" i="28"/>
  <c r="J403" i="28"/>
  <c r="J404" i="28"/>
  <c r="AC148" i="1" s="1"/>
  <c r="J405" i="28"/>
  <c r="AC142" i="1" s="1"/>
  <c r="J406" i="28"/>
  <c r="A419" i="28"/>
  <c r="D419" i="28"/>
  <c r="E419" i="28"/>
  <c r="AC140" i="1" l="1"/>
  <c r="AC143" i="1"/>
  <c r="AC147" i="1"/>
  <c r="AC141" i="1"/>
  <c r="AC144" i="1"/>
  <c r="CR17" i="5"/>
  <c r="K14" i="1" l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3" i="1"/>
  <c r="L13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5" i="1"/>
  <c r="L5" i="1" s="1"/>
  <c r="L4" i="1"/>
  <c r="K3" i="5" l="1"/>
  <c r="H45" i="42" l="1"/>
  <c r="AJ4" i="42" s="1"/>
  <c r="H46" i="42"/>
  <c r="AJ5" i="42" s="1"/>
  <c r="L203" i="5"/>
  <c r="P203" i="5"/>
  <c r="R203" i="5" s="1"/>
  <c r="S203" i="5"/>
  <c r="L204" i="5"/>
  <c r="P204" i="5"/>
  <c r="R204" i="5" s="1"/>
  <c r="S204" i="5"/>
  <c r="L205" i="5"/>
  <c r="P205" i="5"/>
  <c r="R205" i="5" s="1"/>
  <c r="S205" i="5"/>
  <c r="Q204" i="5" l="1"/>
  <c r="Q203" i="5"/>
  <c r="Q205" i="5"/>
  <c r="C4" i="5" l="1"/>
  <c r="D4" i="5"/>
  <c r="E4" i="5"/>
  <c r="F4" i="5"/>
  <c r="G4" i="5"/>
  <c r="C5" i="5"/>
  <c r="D5" i="5"/>
  <c r="E5" i="5"/>
  <c r="F5" i="5"/>
  <c r="G5" i="5"/>
  <c r="C6" i="5"/>
  <c r="D6" i="5"/>
  <c r="S6" i="5" s="1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S9" i="5" s="1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S15" i="5" s="1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S28" i="5" s="1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S132" i="5" s="1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L4" i="5"/>
  <c r="M4" i="5"/>
  <c r="N4" i="5" s="1"/>
  <c r="S4" i="5"/>
  <c r="L5" i="5"/>
  <c r="M5" i="5"/>
  <c r="N5" i="5" s="1"/>
  <c r="S5" i="5"/>
  <c r="L6" i="5"/>
  <c r="M6" i="5"/>
  <c r="N6" i="5" s="1"/>
  <c r="L7" i="5"/>
  <c r="M7" i="5"/>
  <c r="N7" i="5" s="1"/>
  <c r="S7" i="5"/>
  <c r="L8" i="5"/>
  <c r="M8" i="5"/>
  <c r="N8" i="5" s="1"/>
  <c r="L9" i="5"/>
  <c r="M9" i="5"/>
  <c r="N9" i="5" s="1"/>
  <c r="L10" i="5"/>
  <c r="M10" i="5"/>
  <c r="N10" i="5" s="1"/>
  <c r="L11" i="5"/>
  <c r="M11" i="5"/>
  <c r="N11" i="5" s="1"/>
  <c r="S11" i="5"/>
  <c r="L12" i="5"/>
  <c r="M12" i="5"/>
  <c r="N12" i="5" s="1"/>
  <c r="S12" i="5"/>
  <c r="L13" i="5"/>
  <c r="M13" i="5"/>
  <c r="N13" i="5" s="1"/>
  <c r="L14" i="5"/>
  <c r="M14" i="5"/>
  <c r="N14" i="5" s="1"/>
  <c r="L15" i="5"/>
  <c r="M15" i="5"/>
  <c r="N15" i="5" s="1"/>
  <c r="L16" i="5"/>
  <c r="M16" i="5"/>
  <c r="N16" i="5" s="1"/>
  <c r="L17" i="5"/>
  <c r="M17" i="5"/>
  <c r="N17" i="5" s="1"/>
  <c r="L18" i="5"/>
  <c r="M18" i="5"/>
  <c r="N18" i="5" s="1"/>
  <c r="L19" i="5"/>
  <c r="M19" i="5"/>
  <c r="N19" i="5" s="1"/>
  <c r="L20" i="5"/>
  <c r="M20" i="5"/>
  <c r="N20" i="5" s="1"/>
  <c r="L21" i="5"/>
  <c r="M21" i="5"/>
  <c r="N21" i="5" s="1"/>
  <c r="L22" i="5"/>
  <c r="M22" i="5"/>
  <c r="N22" i="5" s="1"/>
  <c r="L23" i="5"/>
  <c r="M23" i="5"/>
  <c r="N23" i="5" s="1"/>
  <c r="S23" i="5"/>
  <c r="L24" i="5"/>
  <c r="M24" i="5"/>
  <c r="N24" i="5" s="1"/>
  <c r="L25" i="5"/>
  <c r="M25" i="5"/>
  <c r="N25" i="5" s="1"/>
  <c r="L26" i="5"/>
  <c r="M26" i="5"/>
  <c r="N26" i="5" s="1"/>
  <c r="L27" i="5"/>
  <c r="M27" i="5"/>
  <c r="N27" i="5" s="1"/>
  <c r="L28" i="5"/>
  <c r="M28" i="5"/>
  <c r="N28" i="5" s="1"/>
  <c r="L29" i="5"/>
  <c r="M29" i="5"/>
  <c r="N29" i="5" s="1"/>
  <c r="L30" i="5"/>
  <c r="M30" i="5"/>
  <c r="N30" i="5" s="1"/>
  <c r="L31" i="5"/>
  <c r="M31" i="5"/>
  <c r="N31" i="5" s="1"/>
  <c r="S31" i="5"/>
  <c r="L32" i="5"/>
  <c r="M32" i="5"/>
  <c r="N32" i="5" s="1"/>
  <c r="L33" i="5"/>
  <c r="M33" i="5"/>
  <c r="N33" i="5" s="1"/>
  <c r="L34" i="5"/>
  <c r="M34" i="5"/>
  <c r="N34" i="5" s="1"/>
  <c r="L35" i="5"/>
  <c r="M35" i="5"/>
  <c r="N35" i="5" s="1"/>
  <c r="L36" i="5"/>
  <c r="M36" i="5"/>
  <c r="N36" i="5" s="1"/>
  <c r="S36" i="5"/>
  <c r="L37" i="5"/>
  <c r="M37" i="5"/>
  <c r="N37" i="5" s="1"/>
  <c r="L38" i="5"/>
  <c r="M38" i="5"/>
  <c r="N38" i="5" s="1"/>
  <c r="L39" i="5"/>
  <c r="M39" i="5"/>
  <c r="N39" i="5" s="1"/>
  <c r="L40" i="5"/>
  <c r="M40" i="5"/>
  <c r="N40" i="5" s="1"/>
  <c r="L41" i="5"/>
  <c r="M41" i="5"/>
  <c r="N41" i="5" s="1"/>
  <c r="L42" i="5"/>
  <c r="M42" i="5"/>
  <c r="N42" i="5" s="1"/>
  <c r="L43" i="5"/>
  <c r="M43" i="5"/>
  <c r="N43" i="5" s="1"/>
  <c r="L44" i="5"/>
  <c r="M44" i="5"/>
  <c r="N44" i="5" s="1"/>
  <c r="L45" i="5"/>
  <c r="M45" i="5"/>
  <c r="N45" i="5" s="1"/>
  <c r="L46" i="5"/>
  <c r="M46" i="5"/>
  <c r="N46" i="5" s="1"/>
  <c r="L47" i="5"/>
  <c r="M47" i="5"/>
  <c r="N47" i="5" s="1"/>
  <c r="L48" i="5"/>
  <c r="M48" i="5"/>
  <c r="N48" i="5" s="1"/>
  <c r="L49" i="5"/>
  <c r="M49" i="5"/>
  <c r="N49" i="5" s="1"/>
  <c r="L50" i="5"/>
  <c r="M50" i="5"/>
  <c r="N50" i="5" s="1"/>
  <c r="L51" i="5"/>
  <c r="M51" i="5"/>
  <c r="N51" i="5" s="1"/>
  <c r="L52" i="5"/>
  <c r="M52" i="5"/>
  <c r="N52" i="5" s="1"/>
  <c r="L53" i="5"/>
  <c r="M53" i="5"/>
  <c r="N53" i="5" s="1"/>
  <c r="L54" i="5"/>
  <c r="M54" i="5"/>
  <c r="N54" i="5" s="1"/>
  <c r="L55" i="5"/>
  <c r="M55" i="5"/>
  <c r="N55" i="5" s="1"/>
  <c r="L56" i="5"/>
  <c r="M56" i="5"/>
  <c r="N56" i="5" s="1"/>
  <c r="L57" i="5"/>
  <c r="M57" i="5"/>
  <c r="N57" i="5" s="1"/>
  <c r="L58" i="5"/>
  <c r="M58" i="5"/>
  <c r="N58" i="5" s="1"/>
  <c r="L59" i="5"/>
  <c r="M59" i="5"/>
  <c r="N59" i="5" s="1"/>
  <c r="L60" i="5"/>
  <c r="M60" i="5"/>
  <c r="N60" i="5" s="1"/>
  <c r="L61" i="5"/>
  <c r="M61" i="5"/>
  <c r="N61" i="5" s="1"/>
  <c r="L62" i="5"/>
  <c r="M62" i="5"/>
  <c r="N62" i="5" s="1"/>
  <c r="L63" i="5"/>
  <c r="M63" i="5"/>
  <c r="N63" i="5" s="1"/>
  <c r="L64" i="5"/>
  <c r="M64" i="5"/>
  <c r="N64" i="5" s="1"/>
  <c r="L65" i="5"/>
  <c r="M65" i="5"/>
  <c r="N65" i="5" s="1"/>
  <c r="L66" i="5"/>
  <c r="M66" i="5"/>
  <c r="N66" i="5" s="1"/>
  <c r="L67" i="5"/>
  <c r="M67" i="5"/>
  <c r="N67" i="5" s="1"/>
  <c r="L68" i="5"/>
  <c r="M68" i="5"/>
  <c r="N68" i="5" s="1"/>
  <c r="L69" i="5"/>
  <c r="M69" i="5"/>
  <c r="N69" i="5" s="1"/>
  <c r="L70" i="5"/>
  <c r="M70" i="5"/>
  <c r="N70" i="5" s="1"/>
  <c r="L71" i="5"/>
  <c r="M71" i="5"/>
  <c r="N71" i="5" s="1"/>
  <c r="L72" i="5"/>
  <c r="M72" i="5"/>
  <c r="N72" i="5" s="1"/>
  <c r="L73" i="5"/>
  <c r="M73" i="5"/>
  <c r="N73" i="5" s="1"/>
  <c r="L74" i="5"/>
  <c r="M74" i="5"/>
  <c r="N74" i="5" s="1"/>
  <c r="L75" i="5"/>
  <c r="M75" i="5"/>
  <c r="N75" i="5" s="1"/>
  <c r="L76" i="5"/>
  <c r="M76" i="5"/>
  <c r="N76" i="5" s="1"/>
  <c r="L77" i="5"/>
  <c r="M77" i="5"/>
  <c r="N77" i="5" s="1"/>
  <c r="L78" i="5"/>
  <c r="M78" i="5"/>
  <c r="N78" i="5" s="1"/>
  <c r="L79" i="5"/>
  <c r="M79" i="5"/>
  <c r="N79" i="5" s="1"/>
  <c r="L80" i="5"/>
  <c r="M80" i="5"/>
  <c r="N80" i="5" s="1"/>
  <c r="L81" i="5"/>
  <c r="M81" i="5"/>
  <c r="N81" i="5" s="1"/>
  <c r="L82" i="5"/>
  <c r="M82" i="5"/>
  <c r="N82" i="5" s="1"/>
  <c r="L83" i="5"/>
  <c r="M83" i="5"/>
  <c r="N83" i="5" s="1"/>
  <c r="L84" i="5"/>
  <c r="M84" i="5"/>
  <c r="N84" i="5" s="1"/>
  <c r="S84" i="5"/>
  <c r="L85" i="5"/>
  <c r="M85" i="5"/>
  <c r="N85" i="5" s="1"/>
  <c r="L86" i="5"/>
  <c r="M86" i="5"/>
  <c r="N86" i="5" s="1"/>
  <c r="L87" i="5"/>
  <c r="M87" i="5"/>
  <c r="N87" i="5" s="1"/>
  <c r="L88" i="5"/>
  <c r="M88" i="5"/>
  <c r="N88" i="5" s="1"/>
  <c r="L89" i="5"/>
  <c r="M89" i="5"/>
  <c r="N89" i="5" s="1"/>
  <c r="L90" i="5"/>
  <c r="M90" i="5"/>
  <c r="N90" i="5" s="1"/>
  <c r="L91" i="5"/>
  <c r="M91" i="5"/>
  <c r="N91" i="5" s="1"/>
  <c r="L92" i="5"/>
  <c r="M92" i="5"/>
  <c r="N92" i="5" s="1"/>
  <c r="L93" i="5"/>
  <c r="M93" i="5"/>
  <c r="N93" i="5" s="1"/>
  <c r="L94" i="5"/>
  <c r="M94" i="5"/>
  <c r="N94" i="5" s="1"/>
  <c r="L95" i="5"/>
  <c r="M95" i="5"/>
  <c r="N95" i="5" s="1"/>
  <c r="L96" i="5"/>
  <c r="M96" i="5"/>
  <c r="N96" i="5" s="1"/>
  <c r="L97" i="5"/>
  <c r="M97" i="5"/>
  <c r="N97" i="5" s="1"/>
  <c r="L98" i="5"/>
  <c r="M98" i="5"/>
  <c r="N98" i="5" s="1"/>
  <c r="L99" i="5"/>
  <c r="M99" i="5"/>
  <c r="N99" i="5" s="1"/>
  <c r="L100" i="5"/>
  <c r="M100" i="5"/>
  <c r="N100" i="5" s="1"/>
  <c r="L101" i="5"/>
  <c r="M101" i="5"/>
  <c r="N101" i="5" s="1"/>
  <c r="L102" i="5"/>
  <c r="M102" i="5"/>
  <c r="N102" i="5" s="1"/>
  <c r="L103" i="5"/>
  <c r="M103" i="5"/>
  <c r="N103" i="5" s="1"/>
  <c r="L104" i="5"/>
  <c r="M104" i="5"/>
  <c r="N104" i="5" s="1"/>
  <c r="L105" i="5"/>
  <c r="M105" i="5"/>
  <c r="N105" i="5" s="1"/>
  <c r="L106" i="5"/>
  <c r="M106" i="5"/>
  <c r="N106" i="5" s="1"/>
  <c r="L107" i="5"/>
  <c r="M107" i="5"/>
  <c r="N107" i="5" s="1"/>
  <c r="L108" i="5"/>
  <c r="M108" i="5"/>
  <c r="N108" i="5" s="1"/>
  <c r="L109" i="5"/>
  <c r="M109" i="5"/>
  <c r="N109" i="5" s="1"/>
  <c r="L110" i="5"/>
  <c r="M110" i="5"/>
  <c r="N110" i="5" s="1"/>
  <c r="L111" i="5"/>
  <c r="M111" i="5"/>
  <c r="N111" i="5" s="1"/>
  <c r="L112" i="5"/>
  <c r="M112" i="5"/>
  <c r="N112" i="5" s="1"/>
  <c r="L113" i="5"/>
  <c r="M113" i="5"/>
  <c r="N113" i="5" s="1"/>
  <c r="L114" i="5"/>
  <c r="M114" i="5"/>
  <c r="N114" i="5" s="1"/>
  <c r="L115" i="5"/>
  <c r="M115" i="5"/>
  <c r="N115" i="5" s="1"/>
  <c r="L116" i="5"/>
  <c r="M116" i="5"/>
  <c r="N116" i="5" s="1"/>
  <c r="L117" i="5"/>
  <c r="M117" i="5"/>
  <c r="N117" i="5" s="1"/>
  <c r="L118" i="5"/>
  <c r="M118" i="5"/>
  <c r="N118" i="5" s="1"/>
  <c r="L119" i="5"/>
  <c r="M119" i="5"/>
  <c r="N119" i="5" s="1"/>
  <c r="L120" i="5"/>
  <c r="M120" i="5"/>
  <c r="N120" i="5" s="1"/>
  <c r="L121" i="5"/>
  <c r="M121" i="5"/>
  <c r="N121" i="5" s="1"/>
  <c r="L122" i="5"/>
  <c r="M122" i="5"/>
  <c r="N122" i="5" s="1"/>
  <c r="L123" i="5"/>
  <c r="M123" i="5"/>
  <c r="N123" i="5" s="1"/>
  <c r="L124" i="5"/>
  <c r="M124" i="5"/>
  <c r="N124" i="5" s="1"/>
  <c r="L125" i="5"/>
  <c r="M125" i="5"/>
  <c r="N125" i="5" s="1"/>
  <c r="L126" i="5"/>
  <c r="M126" i="5"/>
  <c r="N126" i="5" s="1"/>
  <c r="L127" i="5"/>
  <c r="M127" i="5"/>
  <c r="N127" i="5" s="1"/>
  <c r="L128" i="5"/>
  <c r="M128" i="5"/>
  <c r="N128" i="5" s="1"/>
  <c r="L129" i="5"/>
  <c r="M129" i="5"/>
  <c r="N129" i="5" s="1"/>
  <c r="L130" i="5"/>
  <c r="M130" i="5"/>
  <c r="N130" i="5" s="1"/>
  <c r="L131" i="5"/>
  <c r="M131" i="5"/>
  <c r="N131" i="5" s="1"/>
  <c r="L132" i="5"/>
  <c r="M132" i="5"/>
  <c r="N132" i="5" s="1"/>
  <c r="L133" i="5"/>
  <c r="M133" i="5"/>
  <c r="N133" i="5" s="1"/>
  <c r="L134" i="5"/>
  <c r="M134" i="5"/>
  <c r="N134" i="5" s="1"/>
  <c r="L135" i="5"/>
  <c r="M135" i="5"/>
  <c r="N135" i="5" s="1"/>
  <c r="L136" i="5"/>
  <c r="M136" i="5"/>
  <c r="N136" i="5" s="1"/>
  <c r="L137" i="5"/>
  <c r="M137" i="5"/>
  <c r="N137" i="5" s="1"/>
  <c r="L138" i="5"/>
  <c r="M138" i="5"/>
  <c r="N138" i="5" s="1"/>
  <c r="L139" i="5"/>
  <c r="M139" i="5"/>
  <c r="N139" i="5" s="1"/>
  <c r="L140" i="5"/>
  <c r="M140" i="5"/>
  <c r="N140" i="5" s="1"/>
  <c r="L141" i="5"/>
  <c r="M141" i="5"/>
  <c r="N141" i="5" s="1"/>
  <c r="L142" i="5"/>
  <c r="M142" i="5"/>
  <c r="N142" i="5" s="1"/>
  <c r="L143" i="5"/>
  <c r="M143" i="5"/>
  <c r="N143" i="5" s="1"/>
  <c r="L144" i="5"/>
  <c r="M144" i="5"/>
  <c r="N144" i="5" s="1"/>
  <c r="L145" i="5"/>
  <c r="M145" i="5"/>
  <c r="N145" i="5" s="1"/>
  <c r="L146" i="5"/>
  <c r="M146" i="5"/>
  <c r="N146" i="5" s="1"/>
  <c r="L147" i="5"/>
  <c r="M147" i="5"/>
  <c r="N147" i="5" s="1"/>
  <c r="L148" i="5"/>
  <c r="M148" i="5"/>
  <c r="N148" i="5" s="1"/>
  <c r="L149" i="5"/>
  <c r="M149" i="5"/>
  <c r="N149" i="5" s="1"/>
  <c r="L150" i="5"/>
  <c r="M150" i="5"/>
  <c r="N150" i="5" s="1"/>
  <c r="L151" i="5"/>
  <c r="M151" i="5"/>
  <c r="N151" i="5" s="1"/>
  <c r="L152" i="5"/>
  <c r="M152" i="5"/>
  <c r="N152" i="5" s="1"/>
  <c r="L153" i="5"/>
  <c r="M153" i="5"/>
  <c r="N153" i="5" s="1"/>
  <c r="L154" i="5"/>
  <c r="M154" i="5"/>
  <c r="N154" i="5" s="1"/>
  <c r="L155" i="5"/>
  <c r="M155" i="5"/>
  <c r="N155" i="5" s="1"/>
  <c r="L156" i="5"/>
  <c r="M156" i="5"/>
  <c r="N156" i="5" s="1"/>
  <c r="L157" i="5"/>
  <c r="M157" i="5"/>
  <c r="N157" i="5" s="1"/>
  <c r="L158" i="5"/>
  <c r="M158" i="5"/>
  <c r="N158" i="5" s="1"/>
  <c r="L159" i="5"/>
  <c r="M159" i="5"/>
  <c r="N159" i="5" s="1"/>
  <c r="L160" i="5"/>
  <c r="M160" i="5"/>
  <c r="N160" i="5" s="1"/>
  <c r="L161" i="5"/>
  <c r="M161" i="5"/>
  <c r="N161" i="5" s="1"/>
  <c r="L162" i="5"/>
  <c r="M162" i="5"/>
  <c r="N162" i="5" s="1"/>
  <c r="L163" i="5"/>
  <c r="M163" i="5"/>
  <c r="N163" i="5" s="1"/>
  <c r="L164" i="5"/>
  <c r="M164" i="5"/>
  <c r="N164" i="5" s="1"/>
  <c r="L165" i="5"/>
  <c r="M165" i="5"/>
  <c r="N165" i="5" s="1"/>
  <c r="L166" i="5"/>
  <c r="M166" i="5"/>
  <c r="N166" i="5" s="1"/>
  <c r="L167" i="5"/>
  <c r="M167" i="5"/>
  <c r="N167" i="5" s="1"/>
  <c r="L168" i="5"/>
  <c r="M168" i="5"/>
  <c r="N168" i="5" s="1"/>
  <c r="L169" i="5"/>
  <c r="M169" i="5"/>
  <c r="N169" i="5" s="1"/>
  <c r="L170" i="5"/>
  <c r="M170" i="5"/>
  <c r="N170" i="5" s="1"/>
  <c r="L171" i="5"/>
  <c r="M171" i="5"/>
  <c r="N171" i="5" s="1"/>
  <c r="L172" i="5"/>
  <c r="M172" i="5"/>
  <c r="N172" i="5" s="1"/>
  <c r="L173" i="5"/>
  <c r="M173" i="5"/>
  <c r="N173" i="5" s="1"/>
  <c r="L174" i="5"/>
  <c r="M174" i="5"/>
  <c r="N174" i="5" s="1"/>
  <c r="L175" i="5"/>
  <c r="M175" i="5"/>
  <c r="N175" i="5" s="1"/>
  <c r="L176" i="5"/>
  <c r="M176" i="5"/>
  <c r="N176" i="5" s="1"/>
  <c r="AK5" i="1"/>
  <c r="AL5" i="1" s="1"/>
  <c r="AM5" i="1"/>
  <c r="AN5" i="1"/>
  <c r="AK6" i="1"/>
  <c r="AL6" i="1" s="1"/>
  <c r="AM6" i="1"/>
  <c r="AN6" i="1"/>
  <c r="AK7" i="1"/>
  <c r="AL7" i="1" s="1"/>
  <c r="AM7" i="1"/>
  <c r="AN7" i="1"/>
  <c r="AK8" i="1"/>
  <c r="AL8" i="1" s="1"/>
  <c r="AM8" i="1"/>
  <c r="AN8" i="1"/>
  <c r="AK9" i="1"/>
  <c r="AL9" i="1" s="1"/>
  <c r="AM9" i="1"/>
  <c r="AN9" i="1"/>
  <c r="AK10" i="1"/>
  <c r="AL10" i="1" s="1"/>
  <c r="AM10" i="1"/>
  <c r="AN10" i="1"/>
  <c r="AK11" i="1"/>
  <c r="AL11" i="1" s="1"/>
  <c r="AM11" i="1"/>
  <c r="AN11" i="1"/>
  <c r="AK12" i="1"/>
  <c r="AL12" i="1" s="1"/>
  <c r="AM12" i="1"/>
  <c r="AN12" i="1"/>
  <c r="AK13" i="1"/>
  <c r="AL13" i="1" s="1"/>
  <c r="AM13" i="1"/>
  <c r="AN13" i="1"/>
  <c r="AK14" i="1"/>
  <c r="AL14" i="1" s="1"/>
  <c r="AM14" i="1"/>
  <c r="AN14" i="1"/>
  <c r="AK15" i="1"/>
  <c r="AL15" i="1" s="1"/>
  <c r="AM15" i="1"/>
  <c r="AN15" i="1"/>
  <c r="AK16" i="1"/>
  <c r="AL16" i="1" s="1"/>
  <c r="AM16" i="1"/>
  <c r="AN16" i="1"/>
  <c r="AK17" i="1"/>
  <c r="AL17" i="1" s="1"/>
  <c r="AM17" i="1"/>
  <c r="AN17" i="1"/>
  <c r="AK18" i="1"/>
  <c r="AL18" i="1" s="1"/>
  <c r="AM18" i="1"/>
  <c r="AN18" i="1"/>
  <c r="AK19" i="1"/>
  <c r="AL19" i="1" s="1"/>
  <c r="AM19" i="1"/>
  <c r="AN19" i="1"/>
  <c r="AK20" i="1"/>
  <c r="AL20" i="1" s="1"/>
  <c r="AM20" i="1"/>
  <c r="AN20" i="1"/>
  <c r="AK21" i="1"/>
  <c r="AL21" i="1" s="1"/>
  <c r="AM21" i="1"/>
  <c r="AN21" i="1"/>
  <c r="AK22" i="1"/>
  <c r="AL22" i="1" s="1"/>
  <c r="AM22" i="1"/>
  <c r="AN22" i="1"/>
  <c r="AK23" i="1"/>
  <c r="AL23" i="1" s="1"/>
  <c r="AM23" i="1"/>
  <c r="AN23" i="1"/>
  <c r="AK24" i="1"/>
  <c r="AL24" i="1" s="1"/>
  <c r="AM24" i="1"/>
  <c r="AN24" i="1"/>
  <c r="AK25" i="1"/>
  <c r="AL25" i="1" s="1"/>
  <c r="AM25" i="1"/>
  <c r="AN25" i="1"/>
  <c r="AK26" i="1"/>
  <c r="AL26" i="1" s="1"/>
  <c r="AM26" i="1"/>
  <c r="AN26" i="1"/>
  <c r="AK27" i="1"/>
  <c r="AL27" i="1" s="1"/>
  <c r="AM27" i="1"/>
  <c r="AN27" i="1"/>
  <c r="AK28" i="1"/>
  <c r="AL28" i="1" s="1"/>
  <c r="AM28" i="1"/>
  <c r="AN28" i="1"/>
  <c r="AK29" i="1"/>
  <c r="AL29" i="1" s="1"/>
  <c r="AM29" i="1"/>
  <c r="AN29" i="1"/>
  <c r="M30" i="1"/>
  <c r="P30" i="1"/>
  <c r="Q30" i="1"/>
  <c r="R30" i="1"/>
  <c r="S30" i="1"/>
  <c r="T30" i="1"/>
  <c r="U30" i="1"/>
  <c r="V30" i="1"/>
  <c r="AA30" i="1"/>
  <c r="AB30" i="1"/>
  <c r="AF30" i="1"/>
  <c r="AK30" i="1"/>
  <c r="AL30" i="1" s="1"/>
  <c r="AM30" i="1"/>
  <c r="AN30" i="1"/>
  <c r="M31" i="1"/>
  <c r="P31" i="1"/>
  <c r="Q31" i="1"/>
  <c r="R31" i="1"/>
  <c r="S31" i="1"/>
  <c r="T31" i="1"/>
  <c r="U31" i="1"/>
  <c r="V31" i="1"/>
  <c r="Y31" i="1"/>
  <c r="AA31" i="1"/>
  <c r="AB31" i="1"/>
  <c r="AK31" i="1"/>
  <c r="AL31" i="1" s="1"/>
  <c r="AM31" i="1"/>
  <c r="AN31" i="1"/>
  <c r="M32" i="1"/>
  <c r="P32" i="1"/>
  <c r="Q32" i="1"/>
  <c r="R32" i="1"/>
  <c r="S32" i="1"/>
  <c r="T32" i="1"/>
  <c r="U32" i="1"/>
  <c r="V32" i="1"/>
  <c r="Y32" i="1"/>
  <c r="AA32" i="1"/>
  <c r="AB32" i="1"/>
  <c r="AF32" i="1"/>
  <c r="AK32" i="1"/>
  <c r="AL32" i="1" s="1"/>
  <c r="AM32" i="1"/>
  <c r="AN32" i="1"/>
  <c r="M33" i="1"/>
  <c r="P33" i="1"/>
  <c r="Q33" i="1"/>
  <c r="R33" i="1"/>
  <c r="S33" i="1"/>
  <c r="T33" i="1"/>
  <c r="U33" i="1"/>
  <c r="V33" i="1"/>
  <c r="Y33" i="1"/>
  <c r="AA33" i="1"/>
  <c r="AB33" i="1"/>
  <c r="AF33" i="1"/>
  <c r="AK33" i="1"/>
  <c r="AL33" i="1" s="1"/>
  <c r="AM33" i="1"/>
  <c r="AN33" i="1"/>
  <c r="M34" i="1"/>
  <c r="P34" i="1"/>
  <c r="Q34" i="1"/>
  <c r="R34" i="1"/>
  <c r="S34" i="1"/>
  <c r="T34" i="1"/>
  <c r="U34" i="1"/>
  <c r="V34" i="1"/>
  <c r="Y34" i="1"/>
  <c r="Z34" i="1"/>
  <c r="AA34" i="1"/>
  <c r="AB34" i="1"/>
  <c r="AK34" i="1"/>
  <c r="AL34" i="1" s="1"/>
  <c r="AM34" i="1"/>
  <c r="AN34" i="1"/>
  <c r="M35" i="1"/>
  <c r="P35" i="1"/>
  <c r="Q35" i="1"/>
  <c r="R35" i="1"/>
  <c r="S35" i="1"/>
  <c r="T35" i="1"/>
  <c r="U35" i="1"/>
  <c r="V35" i="1"/>
  <c r="Z35" i="1"/>
  <c r="AA35" i="1"/>
  <c r="AB35" i="1"/>
  <c r="AF35" i="1"/>
  <c r="AK35" i="1"/>
  <c r="AL35" i="1" s="1"/>
  <c r="AM35" i="1"/>
  <c r="AN35" i="1"/>
  <c r="M36" i="1"/>
  <c r="P36" i="1"/>
  <c r="Q36" i="1"/>
  <c r="R36" i="1"/>
  <c r="S36" i="1"/>
  <c r="T36" i="1"/>
  <c r="U36" i="1"/>
  <c r="V36" i="1"/>
  <c r="Y36" i="1"/>
  <c r="Z36" i="1"/>
  <c r="AA36" i="1"/>
  <c r="AB36" i="1"/>
  <c r="AK36" i="1"/>
  <c r="AL36" i="1" s="1"/>
  <c r="AM36" i="1"/>
  <c r="AN36" i="1"/>
  <c r="M37" i="1"/>
  <c r="P37" i="1"/>
  <c r="Q37" i="1"/>
  <c r="R37" i="1"/>
  <c r="S37" i="1"/>
  <c r="T37" i="1"/>
  <c r="U37" i="1"/>
  <c r="V37" i="1"/>
  <c r="Y37" i="1"/>
  <c r="Z37" i="1"/>
  <c r="AA37" i="1"/>
  <c r="AB37" i="1"/>
  <c r="AK37" i="1"/>
  <c r="AL37" i="1" s="1"/>
  <c r="AM37" i="1"/>
  <c r="AN37" i="1"/>
  <c r="M38" i="1"/>
  <c r="P38" i="1"/>
  <c r="Q38" i="1"/>
  <c r="R38" i="1"/>
  <c r="S38" i="1"/>
  <c r="T38" i="1"/>
  <c r="U38" i="1"/>
  <c r="V38" i="1"/>
  <c r="Z38" i="1"/>
  <c r="AA38" i="1"/>
  <c r="AB38" i="1"/>
  <c r="AF38" i="1"/>
  <c r="AK38" i="1"/>
  <c r="AL38" i="1" s="1"/>
  <c r="AM38" i="1"/>
  <c r="AN38" i="1"/>
  <c r="M39" i="1"/>
  <c r="P39" i="1"/>
  <c r="Q39" i="1"/>
  <c r="R39" i="1"/>
  <c r="S39" i="1"/>
  <c r="T39" i="1"/>
  <c r="U39" i="1"/>
  <c r="V39" i="1"/>
  <c r="Z39" i="1"/>
  <c r="AA39" i="1"/>
  <c r="AB39" i="1"/>
  <c r="AF39" i="1"/>
  <c r="AK39" i="1"/>
  <c r="AL39" i="1" s="1"/>
  <c r="AM39" i="1"/>
  <c r="AN39" i="1"/>
  <c r="M40" i="1"/>
  <c r="P40" i="1"/>
  <c r="Q40" i="1"/>
  <c r="R40" i="1"/>
  <c r="S40" i="1"/>
  <c r="T40" i="1"/>
  <c r="U40" i="1"/>
  <c r="V40" i="1"/>
  <c r="Y40" i="1"/>
  <c r="Z40" i="1"/>
  <c r="AA40" i="1"/>
  <c r="AB40" i="1"/>
  <c r="AK40" i="1"/>
  <c r="AL40" i="1" s="1"/>
  <c r="AM40" i="1"/>
  <c r="AN40" i="1"/>
  <c r="M41" i="1"/>
  <c r="P41" i="1"/>
  <c r="Q41" i="1"/>
  <c r="R41" i="1"/>
  <c r="S41" i="1"/>
  <c r="T41" i="1"/>
  <c r="U41" i="1"/>
  <c r="V41" i="1"/>
  <c r="Z41" i="1"/>
  <c r="AA41" i="1"/>
  <c r="AB41" i="1"/>
  <c r="AF41" i="1"/>
  <c r="AK41" i="1"/>
  <c r="AL41" i="1" s="1"/>
  <c r="AM41" i="1"/>
  <c r="AN41" i="1"/>
  <c r="M42" i="1"/>
  <c r="P42" i="1"/>
  <c r="Q42" i="1"/>
  <c r="R42" i="1"/>
  <c r="S42" i="1"/>
  <c r="T42" i="1"/>
  <c r="U42" i="1"/>
  <c r="V42" i="1"/>
  <c r="Y42" i="1"/>
  <c r="Z42" i="1"/>
  <c r="AA42" i="1"/>
  <c r="AB42" i="1"/>
  <c r="AK42" i="1"/>
  <c r="AL42" i="1" s="1"/>
  <c r="AM42" i="1"/>
  <c r="AN42" i="1"/>
  <c r="M43" i="1"/>
  <c r="P43" i="1"/>
  <c r="Q43" i="1"/>
  <c r="R43" i="1"/>
  <c r="S43" i="1"/>
  <c r="T43" i="1"/>
  <c r="U43" i="1"/>
  <c r="V43" i="1"/>
  <c r="Y43" i="1"/>
  <c r="Z43" i="1"/>
  <c r="AA43" i="1"/>
  <c r="AB43" i="1"/>
  <c r="AF43" i="1"/>
  <c r="AK43" i="1"/>
  <c r="AL43" i="1" s="1"/>
  <c r="AM43" i="1"/>
  <c r="AN43" i="1"/>
  <c r="M44" i="1"/>
  <c r="N44" i="1"/>
  <c r="O44" i="1"/>
  <c r="P44" i="1"/>
  <c r="Q44" i="1"/>
  <c r="R44" i="1"/>
  <c r="S44" i="1"/>
  <c r="T44" i="1"/>
  <c r="U44" i="1"/>
  <c r="V44" i="1"/>
  <c r="Y44" i="1"/>
  <c r="Z44" i="1"/>
  <c r="AA44" i="1"/>
  <c r="AB44" i="1"/>
  <c r="AK44" i="1"/>
  <c r="AL44" i="1" s="1"/>
  <c r="AM44" i="1"/>
  <c r="AN44" i="1"/>
  <c r="M45" i="1"/>
  <c r="N45" i="1"/>
  <c r="O45" i="1"/>
  <c r="P45" i="1"/>
  <c r="Q45" i="1"/>
  <c r="R45" i="1"/>
  <c r="S45" i="1"/>
  <c r="T45" i="1"/>
  <c r="U45" i="1"/>
  <c r="V45" i="1"/>
  <c r="Y45" i="1"/>
  <c r="Z45" i="1"/>
  <c r="AA45" i="1"/>
  <c r="AB45" i="1"/>
  <c r="AF45" i="1"/>
  <c r="AK45" i="1"/>
  <c r="AL45" i="1" s="1"/>
  <c r="AM45" i="1"/>
  <c r="AN45" i="1"/>
  <c r="M46" i="1"/>
  <c r="P46" i="1"/>
  <c r="Q46" i="1"/>
  <c r="R46" i="1"/>
  <c r="S46" i="1"/>
  <c r="T46" i="1"/>
  <c r="U46" i="1"/>
  <c r="V46" i="1"/>
  <c r="Y46" i="1"/>
  <c r="Z46" i="1"/>
  <c r="AA46" i="1"/>
  <c r="AB46" i="1"/>
  <c r="AK46" i="1"/>
  <c r="AL46" i="1" s="1"/>
  <c r="AM46" i="1"/>
  <c r="AN46" i="1"/>
  <c r="M47" i="1"/>
  <c r="N47" i="1"/>
  <c r="O47" i="1"/>
  <c r="P47" i="1"/>
  <c r="Q47" i="1"/>
  <c r="R47" i="1"/>
  <c r="S47" i="1"/>
  <c r="T47" i="1"/>
  <c r="U47" i="1"/>
  <c r="V47" i="1"/>
  <c r="Y47" i="1"/>
  <c r="Z47" i="1"/>
  <c r="AA47" i="1"/>
  <c r="AB47" i="1"/>
  <c r="AK47" i="1"/>
  <c r="AL47" i="1" s="1"/>
  <c r="AM47" i="1"/>
  <c r="AN47" i="1"/>
  <c r="M48" i="1"/>
  <c r="N48" i="1"/>
  <c r="O48" i="1"/>
  <c r="P48" i="1"/>
  <c r="Q48" i="1"/>
  <c r="R48" i="1"/>
  <c r="S48" i="1"/>
  <c r="T48" i="1"/>
  <c r="U48" i="1"/>
  <c r="V48" i="1"/>
  <c r="Y48" i="1"/>
  <c r="Z48" i="1"/>
  <c r="AA48" i="1"/>
  <c r="AB48" i="1"/>
  <c r="AF48" i="1"/>
  <c r="AK48" i="1"/>
  <c r="AL48" i="1" s="1"/>
  <c r="AM48" i="1"/>
  <c r="AN48" i="1"/>
  <c r="M49" i="1"/>
  <c r="N49" i="1"/>
  <c r="O49" i="1"/>
  <c r="P49" i="1"/>
  <c r="Q49" i="1"/>
  <c r="R49" i="1"/>
  <c r="S49" i="1"/>
  <c r="T49" i="1"/>
  <c r="U49" i="1"/>
  <c r="V49" i="1"/>
  <c r="Y49" i="1"/>
  <c r="Z49" i="1"/>
  <c r="AA49" i="1"/>
  <c r="AB49" i="1"/>
  <c r="AF49" i="1"/>
  <c r="AK49" i="1"/>
  <c r="AL49" i="1" s="1"/>
  <c r="AM49" i="1"/>
  <c r="AN49" i="1"/>
  <c r="M50" i="1"/>
  <c r="N50" i="1"/>
  <c r="O50" i="1"/>
  <c r="P50" i="1"/>
  <c r="Q50" i="1"/>
  <c r="R50" i="1"/>
  <c r="S50" i="1"/>
  <c r="T50" i="1"/>
  <c r="U50" i="1"/>
  <c r="V50" i="1"/>
  <c r="Y50" i="1"/>
  <c r="Z50" i="1"/>
  <c r="AA50" i="1"/>
  <c r="AB50" i="1"/>
  <c r="AF50" i="1"/>
  <c r="AK50" i="1"/>
  <c r="AL50" i="1" s="1"/>
  <c r="AM50" i="1"/>
  <c r="AN50" i="1"/>
  <c r="M51" i="1"/>
  <c r="N51" i="1"/>
  <c r="O51" i="1"/>
  <c r="P51" i="1"/>
  <c r="Q51" i="1"/>
  <c r="R51" i="1"/>
  <c r="S51" i="1"/>
  <c r="T51" i="1"/>
  <c r="U51" i="1"/>
  <c r="V51" i="1"/>
  <c r="Y51" i="1"/>
  <c r="Z51" i="1"/>
  <c r="AA51" i="1"/>
  <c r="AB51" i="1"/>
  <c r="AF51" i="1"/>
  <c r="AK51" i="1"/>
  <c r="AL51" i="1" s="1"/>
  <c r="AM51" i="1"/>
  <c r="AN51" i="1"/>
  <c r="M52" i="1"/>
  <c r="N52" i="1"/>
  <c r="O52" i="1"/>
  <c r="P52" i="1"/>
  <c r="Q52" i="1"/>
  <c r="R52" i="1"/>
  <c r="S52" i="1"/>
  <c r="T52" i="1"/>
  <c r="U52" i="1"/>
  <c r="V52" i="1"/>
  <c r="Y52" i="1"/>
  <c r="Z52" i="1"/>
  <c r="AA52" i="1"/>
  <c r="AB52" i="1"/>
  <c r="AK52" i="1"/>
  <c r="AL52" i="1" s="1"/>
  <c r="AM52" i="1"/>
  <c r="AN52" i="1"/>
  <c r="M53" i="1"/>
  <c r="N53" i="1"/>
  <c r="O53" i="1"/>
  <c r="P53" i="1"/>
  <c r="Q53" i="1"/>
  <c r="R53" i="1"/>
  <c r="S53" i="1"/>
  <c r="T53" i="1"/>
  <c r="U53" i="1"/>
  <c r="V53" i="1"/>
  <c r="Y53" i="1"/>
  <c r="Z53" i="1"/>
  <c r="AA53" i="1"/>
  <c r="AB53" i="1"/>
  <c r="AK53" i="1"/>
  <c r="AL53" i="1" s="1"/>
  <c r="AM53" i="1"/>
  <c r="AN53" i="1"/>
  <c r="M54" i="1"/>
  <c r="N54" i="1"/>
  <c r="O54" i="1"/>
  <c r="P54" i="1"/>
  <c r="Q54" i="1"/>
  <c r="R54" i="1"/>
  <c r="S54" i="1"/>
  <c r="T54" i="1"/>
  <c r="U54" i="1"/>
  <c r="V54" i="1"/>
  <c r="Y54" i="1"/>
  <c r="Z54" i="1"/>
  <c r="AA54" i="1"/>
  <c r="AB54" i="1"/>
  <c r="AF54" i="1"/>
  <c r="AK54" i="1"/>
  <c r="AL54" i="1" s="1"/>
  <c r="AM54" i="1"/>
  <c r="AN54" i="1"/>
  <c r="M55" i="1"/>
  <c r="N55" i="1"/>
  <c r="O55" i="1"/>
  <c r="P55" i="1"/>
  <c r="Q55" i="1"/>
  <c r="R55" i="1"/>
  <c r="T55" i="1"/>
  <c r="U55" i="1"/>
  <c r="V55" i="1"/>
  <c r="Y55" i="1"/>
  <c r="Z55" i="1"/>
  <c r="AA55" i="1"/>
  <c r="AB55" i="1"/>
  <c r="AF55" i="1"/>
  <c r="AK55" i="1"/>
  <c r="AL55" i="1" s="1"/>
  <c r="AM55" i="1"/>
  <c r="AN55" i="1"/>
  <c r="M56" i="1"/>
  <c r="N56" i="1"/>
  <c r="O56" i="1"/>
  <c r="P56" i="1"/>
  <c r="Q56" i="1"/>
  <c r="R56" i="1"/>
  <c r="T56" i="1"/>
  <c r="U56" i="1"/>
  <c r="V56" i="1"/>
  <c r="Y56" i="1"/>
  <c r="Z56" i="1"/>
  <c r="AA56" i="1"/>
  <c r="AB56" i="1"/>
  <c r="AF56" i="1"/>
  <c r="AK56" i="1"/>
  <c r="AL56" i="1" s="1"/>
  <c r="AM56" i="1"/>
  <c r="AN56" i="1"/>
  <c r="M57" i="1"/>
  <c r="N57" i="1"/>
  <c r="O57" i="1"/>
  <c r="P57" i="1"/>
  <c r="Q57" i="1"/>
  <c r="R57" i="1"/>
  <c r="T57" i="1"/>
  <c r="U57" i="1"/>
  <c r="V57" i="1"/>
  <c r="Y57" i="1"/>
  <c r="Z57" i="1"/>
  <c r="AA57" i="1"/>
  <c r="AB57" i="1"/>
  <c r="AF57" i="1"/>
  <c r="AK57" i="1"/>
  <c r="AL57" i="1" s="1"/>
  <c r="AM57" i="1"/>
  <c r="AN57" i="1"/>
  <c r="M58" i="1"/>
  <c r="N58" i="1"/>
  <c r="O58" i="1"/>
  <c r="P58" i="1"/>
  <c r="Q58" i="1"/>
  <c r="R58" i="1"/>
  <c r="T58" i="1"/>
  <c r="U58" i="1"/>
  <c r="V58" i="1"/>
  <c r="Y58" i="1"/>
  <c r="Z58" i="1"/>
  <c r="AA58" i="1"/>
  <c r="AB58" i="1"/>
  <c r="AK58" i="1"/>
  <c r="AL58" i="1" s="1"/>
  <c r="AM58" i="1"/>
  <c r="AN58" i="1"/>
  <c r="M59" i="1"/>
  <c r="N59" i="1"/>
  <c r="O59" i="1"/>
  <c r="P59" i="1"/>
  <c r="Q59" i="1"/>
  <c r="R59" i="1"/>
  <c r="T59" i="1"/>
  <c r="U59" i="1"/>
  <c r="V59" i="1"/>
  <c r="Y59" i="1"/>
  <c r="Z59" i="1"/>
  <c r="AA59" i="1"/>
  <c r="AB59" i="1"/>
  <c r="AF59" i="1"/>
  <c r="AK59" i="1"/>
  <c r="AL59" i="1" s="1"/>
  <c r="AM59" i="1"/>
  <c r="AN59" i="1"/>
  <c r="M60" i="1"/>
  <c r="N60" i="1"/>
  <c r="O60" i="1"/>
  <c r="P60" i="1"/>
  <c r="Q60" i="1"/>
  <c r="R60" i="1"/>
  <c r="T60" i="1"/>
  <c r="U60" i="1"/>
  <c r="V60" i="1"/>
  <c r="Y60" i="1"/>
  <c r="Z60" i="1"/>
  <c r="AA60" i="1"/>
  <c r="AB60" i="1"/>
  <c r="AF60" i="1"/>
  <c r="AK60" i="1"/>
  <c r="AL60" i="1" s="1"/>
  <c r="AM60" i="1"/>
  <c r="AN60" i="1"/>
  <c r="M61" i="1"/>
  <c r="N61" i="1"/>
  <c r="O61" i="1"/>
  <c r="P61" i="1"/>
  <c r="Q61" i="1"/>
  <c r="R61" i="1"/>
  <c r="T61" i="1"/>
  <c r="U61" i="1"/>
  <c r="V61" i="1"/>
  <c r="Y61" i="1"/>
  <c r="Z61" i="1"/>
  <c r="AA61" i="1"/>
  <c r="AB61" i="1"/>
  <c r="AF61" i="1"/>
  <c r="AK61" i="1"/>
  <c r="AL61" i="1" s="1"/>
  <c r="AM61" i="1"/>
  <c r="AN61" i="1"/>
  <c r="M62" i="1"/>
  <c r="N62" i="1"/>
  <c r="O62" i="1"/>
  <c r="P62" i="1"/>
  <c r="Q62" i="1"/>
  <c r="R62" i="1"/>
  <c r="T62" i="1"/>
  <c r="U62" i="1"/>
  <c r="V62" i="1"/>
  <c r="Y62" i="1"/>
  <c r="Z62" i="1"/>
  <c r="AA62" i="1"/>
  <c r="AB62" i="1"/>
  <c r="AF62" i="1"/>
  <c r="AK62" i="1"/>
  <c r="AL62" i="1" s="1"/>
  <c r="AM62" i="1"/>
  <c r="AN62" i="1"/>
  <c r="M63" i="1"/>
  <c r="N63" i="1"/>
  <c r="O63" i="1"/>
  <c r="P63" i="1"/>
  <c r="Q63" i="1"/>
  <c r="R63" i="1"/>
  <c r="T63" i="1"/>
  <c r="U63" i="1"/>
  <c r="V63" i="1"/>
  <c r="Y63" i="1"/>
  <c r="Z63" i="1"/>
  <c r="AA63" i="1"/>
  <c r="AB63" i="1"/>
  <c r="AF63" i="1"/>
  <c r="AK63" i="1"/>
  <c r="AL63" i="1" s="1"/>
  <c r="AM63" i="1"/>
  <c r="AN63" i="1"/>
  <c r="M64" i="1"/>
  <c r="N64" i="1"/>
  <c r="O64" i="1"/>
  <c r="P64" i="1"/>
  <c r="Q64" i="1"/>
  <c r="R64" i="1"/>
  <c r="T64" i="1"/>
  <c r="U64" i="1"/>
  <c r="V64" i="1"/>
  <c r="Y64" i="1"/>
  <c r="Z64" i="1"/>
  <c r="AA64" i="1"/>
  <c r="AB64" i="1"/>
  <c r="AF64" i="1"/>
  <c r="AK64" i="1"/>
  <c r="AL64" i="1" s="1"/>
  <c r="AM64" i="1"/>
  <c r="AN64" i="1"/>
  <c r="M65" i="1"/>
  <c r="N65" i="1"/>
  <c r="O65" i="1"/>
  <c r="P65" i="1"/>
  <c r="Q65" i="1"/>
  <c r="R65" i="1"/>
  <c r="T65" i="1"/>
  <c r="U65" i="1"/>
  <c r="V65" i="1"/>
  <c r="Y65" i="1"/>
  <c r="Z65" i="1"/>
  <c r="AA65" i="1"/>
  <c r="AB65" i="1"/>
  <c r="AK65" i="1"/>
  <c r="AL65" i="1" s="1"/>
  <c r="AM65" i="1"/>
  <c r="AN65" i="1"/>
  <c r="M66" i="1"/>
  <c r="N66" i="1"/>
  <c r="O66" i="1"/>
  <c r="P66" i="1"/>
  <c r="Q66" i="1"/>
  <c r="R66" i="1"/>
  <c r="T66" i="1"/>
  <c r="U66" i="1"/>
  <c r="V66" i="1"/>
  <c r="Y66" i="1"/>
  <c r="Z66" i="1"/>
  <c r="AA66" i="1"/>
  <c r="AB66" i="1"/>
  <c r="AF66" i="1"/>
  <c r="AK66" i="1"/>
  <c r="AL66" i="1" s="1"/>
  <c r="AM66" i="1"/>
  <c r="AN66" i="1"/>
  <c r="M67" i="1"/>
  <c r="N67" i="1"/>
  <c r="O67" i="1"/>
  <c r="P67" i="1"/>
  <c r="Q67" i="1"/>
  <c r="R67" i="1"/>
  <c r="T67" i="1"/>
  <c r="U67" i="1"/>
  <c r="V67" i="1"/>
  <c r="Y67" i="1"/>
  <c r="Z67" i="1"/>
  <c r="AA67" i="1"/>
  <c r="AB67" i="1"/>
  <c r="AK67" i="1"/>
  <c r="AL67" i="1" s="1"/>
  <c r="AM67" i="1"/>
  <c r="AN67" i="1"/>
  <c r="M68" i="1"/>
  <c r="N68" i="1"/>
  <c r="O68" i="1"/>
  <c r="P68" i="1"/>
  <c r="Q68" i="1"/>
  <c r="R68" i="1"/>
  <c r="T68" i="1"/>
  <c r="U68" i="1"/>
  <c r="V68" i="1"/>
  <c r="Y68" i="1"/>
  <c r="Z68" i="1"/>
  <c r="AA68" i="1"/>
  <c r="AB68" i="1"/>
  <c r="AF68" i="1"/>
  <c r="AK68" i="1"/>
  <c r="AL68" i="1" s="1"/>
  <c r="AM68" i="1"/>
  <c r="AN68" i="1"/>
  <c r="M69" i="1"/>
  <c r="N69" i="1"/>
  <c r="O69" i="1"/>
  <c r="P69" i="1"/>
  <c r="Q69" i="1"/>
  <c r="R69" i="1"/>
  <c r="T69" i="1"/>
  <c r="U69" i="1"/>
  <c r="V69" i="1"/>
  <c r="Y69" i="1"/>
  <c r="Z69" i="1"/>
  <c r="AA69" i="1"/>
  <c r="AB69" i="1"/>
  <c r="AK69" i="1"/>
  <c r="AL69" i="1" s="1"/>
  <c r="AM69" i="1"/>
  <c r="AN69" i="1"/>
  <c r="M70" i="1"/>
  <c r="N70" i="1"/>
  <c r="O70" i="1"/>
  <c r="P70" i="1"/>
  <c r="Q70" i="1"/>
  <c r="R70" i="1"/>
  <c r="T70" i="1"/>
  <c r="U70" i="1"/>
  <c r="V70" i="1"/>
  <c r="Y70" i="1"/>
  <c r="Z70" i="1"/>
  <c r="AA70" i="1"/>
  <c r="AB70" i="1"/>
  <c r="AK70" i="1"/>
  <c r="AL70" i="1" s="1"/>
  <c r="AM70" i="1"/>
  <c r="AN70" i="1"/>
  <c r="M71" i="1"/>
  <c r="N71" i="1"/>
  <c r="O71" i="1"/>
  <c r="P71" i="1"/>
  <c r="Q71" i="1"/>
  <c r="R71" i="1"/>
  <c r="T71" i="1"/>
  <c r="U71" i="1"/>
  <c r="V71" i="1"/>
  <c r="Y71" i="1"/>
  <c r="Z71" i="1"/>
  <c r="AA71" i="1"/>
  <c r="AB71" i="1"/>
  <c r="AK71" i="1"/>
  <c r="AL71" i="1" s="1"/>
  <c r="AM71" i="1"/>
  <c r="AN71" i="1"/>
  <c r="M72" i="1"/>
  <c r="N72" i="1"/>
  <c r="O72" i="1"/>
  <c r="P72" i="1"/>
  <c r="Q72" i="1"/>
  <c r="R72" i="1"/>
  <c r="T72" i="1"/>
  <c r="U72" i="1"/>
  <c r="V72" i="1"/>
  <c r="Y72" i="1"/>
  <c r="Z72" i="1"/>
  <c r="AA72" i="1"/>
  <c r="AB72" i="1"/>
  <c r="AK72" i="1"/>
  <c r="AL72" i="1" s="1"/>
  <c r="AM72" i="1"/>
  <c r="AN72" i="1"/>
  <c r="M73" i="1"/>
  <c r="N73" i="1"/>
  <c r="O73" i="1"/>
  <c r="P73" i="1"/>
  <c r="Q73" i="1"/>
  <c r="R73" i="1"/>
  <c r="T73" i="1"/>
  <c r="U73" i="1"/>
  <c r="V73" i="1"/>
  <c r="Y73" i="1"/>
  <c r="Z73" i="1"/>
  <c r="AA73" i="1"/>
  <c r="AB73" i="1"/>
  <c r="AF73" i="1"/>
  <c r="AK73" i="1"/>
  <c r="AL73" i="1" s="1"/>
  <c r="AM73" i="1"/>
  <c r="AN73" i="1"/>
  <c r="M74" i="1"/>
  <c r="N74" i="1"/>
  <c r="O74" i="1"/>
  <c r="P74" i="1"/>
  <c r="Q74" i="1"/>
  <c r="R74" i="1"/>
  <c r="T74" i="1"/>
  <c r="U74" i="1"/>
  <c r="V74" i="1"/>
  <c r="Y74" i="1"/>
  <c r="Z74" i="1"/>
  <c r="AA74" i="1"/>
  <c r="AB74" i="1"/>
  <c r="AF74" i="1"/>
  <c r="AK74" i="1"/>
  <c r="AL74" i="1" s="1"/>
  <c r="AM74" i="1"/>
  <c r="AN74" i="1"/>
  <c r="M75" i="1"/>
  <c r="N75" i="1"/>
  <c r="O75" i="1"/>
  <c r="P75" i="1"/>
  <c r="Q75" i="1"/>
  <c r="R75" i="1"/>
  <c r="T75" i="1"/>
  <c r="U75" i="1"/>
  <c r="V75" i="1"/>
  <c r="Y75" i="1"/>
  <c r="Z75" i="1"/>
  <c r="AA75" i="1"/>
  <c r="AB75" i="1"/>
  <c r="AF75" i="1"/>
  <c r="AK75" i="1"/>
  <c r="AL75" i="1" s="1"/>
  <c r="AM75" i="1"/>
  <c r="AN75" i="1"/>
  <c r="M76" i="1"/>
  <c r="N76" i="1"/>
  <c r="O76" i="1"/>
  <c r="P76" i="1"/>
  <c r="Q76" i="1"/>
  <c r="R76" i="1"/>
  <c r="T76" i="1"/>
  <c r="U76" i="1"/>
  <c r="V76" i="1"/>
  <c r="Y76" i="1"/>
  <c r="Z76" i="1"/>
  <c r="AA76" i="1"/>
  <c r="AB76" i="1"/>
  <c r="AK76" i="1"/>
  <c r="AL76" i="1" s="1"/>
  <c r="AM76" i="1"/>
  <c r="AN76" i="1"/>
  <c r="M77" i="1"/>
  <c r="N77" i="1"/>
  <c r="O77" i="1"/>
  <c r="P77" i="1"/>
  <c r="Q77" i="1"/>
  <c r="R77" i="1"/>
  <c r="T77" i="1"/>
  <c r="U77" i="1"/>
  <c r="V77" i="1"/>
  <c r="Y77" i="1"/>
  <c r="Z77" i="1"/>
  <c r="AA77" i="1"/>
  <c r="AB77" i="1"/>
  <c r="AF77" i="1"/>
  <c r="AK77" i="1"/>
  <c r="AL77" i="1" s="1"/>
  <c r="AM77" i="1"/>
  <c r="AN77" i="1"/>
  <c r="M78" i="1"/>
  <c r="N78" i="1"/>
  <c r="O78" i="1"/>
  <c r="P78" i="1"/>
  <c r="Q78" i="1"/>
  <c r="R78" i="1"/>
  <c r="T78" i="1"/>
  <c r="U78" i="1"/>
  <c r="V78" i="1"/>
  <c r="Y78" i="1"/>
  <c r="Z78" i="1"/>
  <c r="AA78" i="1"/>
  <c r="AB78" i="1"/>
  <c r="AK78" i="1"/>
  <c r="AL78" i="1" s="1"/>
  <c r="AM78" i="1"/>
  <c r="AN78" i="1"/>
  <c r="M79" i="1"/>
  <c r="O79" i="1"/>
  <c r="P79" i="1"/>
  <c r="Q79" i="1"/>
  <c r="R79" i="1"/>
  <c r="T79" i="1"/>
  <c r="U79" i="1"/>
  <c r="V79" i="1"/>
  <c r="Y79" i="1"/>
  <c r="Z79" i="1"/>
  <c r="AA79" i="1"/>
  <c r="AB79" i="1"/>
  <c r="AF79" i="1"/>
  <c r="AK79" i="1"/>
  <c r="AL79" i="1" s="1"/>
  <c r="AM79" i="1"/>
  <c r="AN79" i="1"/>
  <c r="M80" i="1"/>
  <c r="N80" i="1"/>
  <c r="O80" i="1"/>
  <c r="P80" i="1"/>
  <c r="Q80" i="1"/>
  <c r="R80" i="1"/>
  <c r="T80" i="1"/>
  <c r="U80" i="1"/>
  <c r="V80" i="1"/>
  <c r="Y80" i="1"/>
  <c r="Z80" i="1"/>
  <c r="AA80" i="1"/>
  <c r="AB80" i="1"/>
  <c r="AK80" i="1"/>
  <c r="AL80" i="1" s="1"/>
  <c r="AM80" i="1"/>
  <c r="AN80" i="1"/>
  <c r="M81" i="1"/>
  <c r="N81" i="1"/>
  <c r="O81" i="1"/>
  <c r="P81" i="1"/>
  <c r="Q81" i="1"/>
  <c r="R81" i="1"/>
  <c r="T81" i="1"/>
  <c r="U81" i="1"/>
  <c r="V81" i="1"/>
  <c r="Y81" i="1"/>
  <c r="Z81" i="1"/>
  <c r="AA81" i="1"/>
  <c r="AB81" i="1"/>
  <c r="AK81" i="1"/>
  <c r="AL81" i="1" s="1"/>
  <c r="AM81" i="1"/>
  <c r="AN81" i="1"/>
  <c r="M82" i="1"/>
  <c r="O82" i="1"/>
  <c r="P82" i="1"/>
  <c r="Q82" i="1"/>
  <c r="R82" i="1"/>
  <c r="S82" i="1"/>
  <c r="T82" i="1"/>
  <c r="U82" i="1"/>
  <c r="V82" i="1"/>
  <c r="Y82" i="1"/>
  <c r="Z82" i="1"/>
  <c r="AA82" i="1"/>
  <c r="AB82" i="1"/>
  <c r="AK82" i="1"/>
  <c r="AL82" i="1" s="1"/>
  <c r="AM82" i="1"/>
  <c r="AN82" i="1"/>
  <c r="M83" i="1"/>
  <c r="N83" i="1"/>
  <c r="O83" i="1"/>
  <c r="P83" i="1"/>
  <c r="Q83" i="1"/>
  <c r="R83" i="1"/>
  <c r="S83" i="1"/>
  <c r="T83" i="1"/>
  <c r="U83" i="1"/>
  <c r="V83" i="1"/>
  <c r="Y83" i="1"/>
  <c r="Z83" i="1"/>
  <c r="AA83" i="1"/>
  <c r="AB83" i="1"/>
  <c r="AK83" i="1"/>
  <c r="AL83" i="1" s="1"/>
  <c r="AM83" i="1"/>
  <c r="AN83" i="1"/>
  <c r="M84" i="1"/>
  <c r="N84" i="1"/>
  <c r="O84" i="1"/>
  <c r="P84" i="1"/>
  <c r="Q84" i="1"/>
  <c r="R84" i="1"/>
  <c r="S84" i="1"/>
  <c r="T84" i="1"/>
  <c r="U84" i="1"/>
  <c r="V84" i="1"/>
  <c r="Y84" i="1"/>
  <c r="Z84" i="1"/>
  <c r="AA84" i="1"/>
  <c r="AB84" i="1"/>
  <c r="AK84" i="1"/>
  <c r="AL84" i="1" s="1"/>
  <c r="AM84" i="1"/>
  <c r="AN84" i="1"/>
  <c r="M85" i="1"/>
  <c r="Q85" i="1"/>
  <c r="R85" i="1"/>
  <c r="S85" i="1"/>
  <c r="T85" i="1"/>
  <c r="U85" i="1"/>
  <c r="V85" i="1"/>
  <c r="AA85" i="1"/>
  <c r="AB85" i="1"/>
  <c r="AF85" i="1"/>
  <c r="AK85" i="1"/>
  <c r="AL85" i="1" s="1"/>
  <c r="AM85" i="1"/>
  <c r="AN85" i="1"/>
  <c r="M86" i="1"/>
  <c r="N86" i="1"/>
  <c r="Q86" i="1"/>
  <c r="R86" i="1"/>
  <c r="S86" i="1"/>
  <c r="T86" i="1"/>
  <c r="U86" i="1"/>
  <c r="V86" i="1"/>
  <c r="Y86" i="1"/>
  <c r="Z86" i="1"/>
  <c r="AA86" i="1"/>
  <c r="AB86" i="1"/>
  <c r="AF86" i="1"/>
  <c r="AK86" i="1"/>
  <c r="AL86" i="1" s="1"/>
  <c r="AM86" i="1"/>
  <c r="AN86" i="1"/>
  <c r="M87" i="1"/>
  <c r="N87" i="1"/>
  <c r="Q87" i="1"/>
  <c r="R87" i="1"/>
  <c r="S87" i="1"/>
  <c r="T87" i="1"/>
  <c r="U87" i="1"/>
  <c r="V87" i="1"/>
  <c r="Y87" i="1"/>
  <c r="Z87" i="1"/>
  <c r="AA87" i="1"/>
  <c r="AB87" i="1"/>
  <c r="AF87" i="1"/>
  <c r="AK87" i="1"/>
  <c r="AL87" i="1" s="1"/>
  <c r="AM87" i="1"/>
  <c r="AN87" i="1"/>
  <c r="M88" i="1"/>
  <c r="Q88" i="1"/>
  <c r="R88" i="1"/>
  <c r="T88" i="1"/>
  <c r="U88" i="1"/>
  <c r="V88" i="1"/>
  <c r="AA88" i="1"/>
  <c r="AB88" i="1"/>
  <c r="AK88" i="1"/>
  <c r="AL88" i="1" s="1"/>
  <c r="AM88" i="1"/>
  <c r="AN88" i="1"/>
  <c r="M89" i="1"/>
  <c r="N89" i="1"/>
  <c r="O89" i="1"/>
  <c r="P89" i="1"/>
  <c r="Q89" i="1"/>
  <c r="R89" i="1"/>
  <c r="S89" i="1"/>
  <c r="T89" i="1"/>
  <c r="U89" i="1"/>
  <c r="V89" i="1"/>
  <c r="Y89" i="1"/>
  <c r="Z89" i="1"/>
  <c r="AA89" i="1"/>
  <c r="AB89" i="1"/>
  <c r="AK89" i="1"/>
  <c r="AL89" i="1" s="1"/>
  <c r="AM89" i="1"/>
  <c r="AN89" i="1"/>
  <c r="M90" i="1"/>
  <c r="N90" i="1"/>
  <c r="O90" i="1"/>
  <c r="P90" i="1"/>
  <c r="Q90" i="1"/>
  <c r="R90" i="1"/>
  <c r="T90" i="1"/>
  <c r="U90" i="1"/>
  <c r="V90" i="1"/>
  <c r="Y90" i="1"/>
  <c r="Z90" i="1"/>
  <c r="AA90" i="1"/>
  <c r="AB90" i="1"/>
  <c r="AF90" i="1"/>
  <c r="AK90" i="1"/>
  <c r="AL90" i="1" s="1"/>
  <c r="AM90" i="1"/>
  <c r="AN90" i="1"/>
  <c r="M91" i="1"/>
  <c r="N91" i="1"/>
  <c r="O91" i="1"/>
  <c r="P91" i="1"/>
  <c r="Q91" i="1"/>
  <c r="R91" i="1"/>
  <c r="S91" i="1"/>
  <c r="T91" i="1"/>
  <c r="U91" i="1"/>
  <c r="V91" i="1"/>
  <c r="Y91" i="1"/>
  <c r="Z91" i="1"/>
  <c r="AA91" i="1"/>
  <c r="AB91" i="1"/>
  <c r="AK91" i="1"/>
  <c r="AL91" i="1" s="1"/>
  <c r="AM91" i="1"/>
  <c r="AN91" i="1"/>
  <c r="M92" i="1"/>
  <c r="N92" i="1"/>
  <c r="O92" i="1"/>
  <c r="P92" i="1"/>
  <c r="Q92" i="1"/>
  <c r="R92" i="1"/>
  <c r="S92" i="1"/>
  <c r="T92" i="1"/>
  <c r="U92" i="1"/>
  <c r="V92" i="1"/>
  <c r="Y92" i="1"/>
  <c r="Z92" i="1"/>
  <c r="AA92" i="1"/>
  <c r="AB92" i="1"/>
  <c r="AK92" i="1"/>
  <c r="AL92" i="1" s="1"/>
  <c r="AM92" i="1"/>
  <c r="AN92" i="1"/>
  <c r="M93" i="1"/>
  <c r="N93" i="1"/>
  <c r="O93" i="1"/>
  <c r="P93" i="1"/>
  <c r="Q93" i="1"/>
  <c r="R93" i="1"/>
  <c r="S93" i="1"/>
  <c r="T93" i="1"/>
  <c r="U93" i="1"/>
  <c r="V93" i="1"/>
  <c r="Y93" i="1"/>
  <c r="Z93" i="1"/>
  <c r="AA93" i="1"/>
  <c r="AB93" i="1"/>
  <c r="AK93" i="1"/>
  <c r="AL93" i="1" s="1"/>
  <c r="AM93" i="1"/>
  <c r="AN93" i="1"/>
  <c r="M94" i="1"/>
  <c r="N94" i="1"/>
  <c r="O94" i="1"/>
  <c r="P94" i="1"/>
  <c r="Q94" i="1"/>
  <c r="R94" i="1"/>
  <c r="S94" i="1"/>
  <c r="T94" i="1"/>
  <c r="U94" i="1"/>
  <c r="V94" i="1"/>
  <c r="Y94" i="1"/>
  <c r="Z94" i="1"/>
  <c r="AA94" i="1"/>
  <c r="AB94" i="1"/>
  <c r="AF94" i="1"/>
  <c r="AK94" i="1"/>
  <c r="AL94" i="1" s="1"/>
  <c r="AM94" i="1"/>
  <c r="AN94" i="1"/>
  <c r="M95" i="1"/>
  <c r="N95" i="1"/>
  <c r="O95" i="1"/>
  <c r="P95" i="1"/>
  <c r="Q95" i="1"/>
  <c r="R95" i="1"/>
  <c r="S95" i="1"/>
  <c r="T95" i="1"/>
  <c r="U95" i="1"/>
  <c r="V95" i="1"/>
  <c r="Y95" i="1"/>
  <c r="Z95" i="1"/>
  <c r="AA95" i="1"/>
  <c r="AB95" i="1"/>
  <c r="AK95" i="1"/>
  <c r="AL95" i="1" s="1"/>
  <c r="AM95" i="1"/>
  <c r="AN95" i="1"/>
  <c r="M96" i="1"/>
  <c r="N96" i="1"/>
  <c r="O96" i="1"/>
  <c r="P96" i="1"/>
  <c r="Q96" i="1"/>
  <c r="R96" i="1"/>
  <c r="S96" i="1"/>
  <c r="T96" i="1"/>
  <c r="U96" i="1"/>
  <c r="V96" i="1"/>
  <c r="Y96" i="1"/>
  <c r="Z96" i="1"/>
  <c r="AA96" i="1"/>
  <c r="AB96" i="1"/>
  <c r="AK96" i="1"/>
  <c r="AL96" i="1" s="1"/>
  <c r="AM96" i="1"/>
  <c r="AN96" i="1"/>
  <c r="M97" i="1"/>
  <c r="N97" i="1"/>
  <c r="O97" i="1"/>
  <c r="P97" i="1"/>
  <c r="Q97" i="1"/>
  <c r="R97" i="1"/>
  <c r="S97" i="1"/>
  <c r="T97" i="1"/>
  <c r="U97" i="1"/>
  <c r="V97" i="1"/>
  <c r="Y97" i="1"/>
  <c r="Z97" i="1"/>
  <c r="AA97" i="1"/>
  <c r="AB97" i="1"/>
  <c r="AF97" i="1"/>
  <c r="AK97" i="1"/>
  <c r="AL97" i="1" s="1"/>
  <c r="AM97" i="1"/>
  <c r="AN97" i="1"/>
  <c r="M98" i="1"/>
  <c r="N98" i="1"/>
  <c r="O98" i="1"/>
  <c r="P98" i="1"/>
  <c r="Q98" i="1"/>
  <c r="R98" i="1"/>
  <c r="S98" i="1"/>
  <c r="T98" i="1"/>
  <c r="U98" i="1"/>
  <c r="V98" i="1"/>
  <c r="Y98" i="1"/>
  <c r="Z98" i="1"/>
  <c r="AA98" i="1"/>
  <c r="AB98" i="1"/>
  <c r="AF98" i="1"/>
  <c r="AK98" i="1"/>
  <c r="AL98" i="1" s="1"/>
  <c r="AM98" i="1"/>
  <c r="AN98" i="1"/>
  <c r="M99" i="1"/>
  <c r="N99" i="1"/>
  <c r="O99" i="1"/>
  <c r="P99" i="1"/>
  <c r="Q99" i="1"/>
  <c r="R99" i="1"/>
  <c r="S99" i="1"/>
  <c r="T99" i="1"/>
  <c r="U99" i="1"/>
  <c r="V99" i="1"/>
  <c r="Y99" i="1"/>
  <c r="Z99" i="1"/>
  <c r="AA99" i="1"/>
  <c r="AB99" i="1"/>
  <c r="AF99" i="1"/>
  <c r="AK99" i="1"/>
  <c r="AL99" i="1" s="1"/>
  <c r="AM99" i="1"/>
  <c r="AN99" i="1"/>
  <c r="M100" i="1"/>
  <c r="N100" i="1"/>
  <c r="O100" i="1"/>
  <c r="P100" i="1"/>
  <c r="Q100" i="1"/>
  <c r="R100" i="1"/>
  <c r="S100" i="1"/>
  <c r="T100" i="1"/>
  <c r="U100" i="1"/>
  <c r="V100" i="1"/>
  <c r="Y100" i="1"/>
  <c r="Z100" i="1"/>
  <c r="AA100" i="1"/>
  <c r="AB100" i="1"/>
  <c r="AK100" i="1"/>
  <c r="AL100" i="1" s="1"/>
  <c r="AM100" i="1"/>
  <c r="AN100" i="1"/>
  <c r="M101" i="1"/>
  <c r="N101" i="1"/>
  <c r="O101" i="1"/>
  <c r="P101" i="1"/>
  <c r="Q101" i="1"/>
  <c r="R101" i="1"/>
  <c r="S101" i="1"/>
  <c r="T101" i="1"/>
  <c r="U101" i="1"/>
  <c r="V101" i="1"/>
  <c r="Y101" i="1"/>
  <c r="Z101" i="1"/>
  <c r="AA101" i="1"/>
  <c r="AB101" i="1"/>
  <c r="AF101" i="1"/>
  <c r="AK101" i="1"/>
  <c r="AL101" i="1" s="1"/>
  <c r="AM101" i="1"/>
  <c r="AN101" i="1"/>
  <c r="M102" i="1"/>
  <c r="N102" i="1"/>
  <c r="O102" i="1"/>
  <c r="P102" i="1"/>
  <c r="Q102" i="1"/>
  <c r="R102" i="1"/>
  <c r="S102" i="1"/>
  <c r="T102" i="1"/>
  <c r="U102" i="1"/>
  <c r="V102" i="1"/>
  <c r="Y102" i="1"/>
  <c r="Z102" i="1"/>
  <c r="AA102" i="1"/>
  <c r="AB102" i="1"/>
  <c r="AK102" i="1"/>
  <c r="AL102" i="1" s="1"/>
  <c r="AM102" i="1"/>
  <c r="AN102" i="1"/>
  <c r="M103" i="1"/>
  <c r="N103" i="1"/>
  <c r="O103" i="1"/>
  <c r="P103" i="1"/>
  <c r="Q103" i="1"/>
  <c r="R103" i="1"/>
  <c r="T103" i="1"/>
  <c r="U103" i="1"/>
  <c r="V103" i="1"/>
  <c r="Y103" i="1"/>
  <c r="Z103" i="1"/>
  <c r="AA103" i="1"/>
  <c r="AB103" i="1"/>
  <c r="AF103" i="1"/>
  <c r="AK103" i="1"/>
  <c r="AL103" i="1" s="1"/>
  <c r="AM103" i="1"/>
  <c r="AN103" i="1"/>
  <c r="M104" i="1"/>
  <c r="N104" i="1"/>
  <c r="O104" i="1"/>
  <c r="P104" i="1"/>
  <c r="Q104" i="1"/>
  <c r="R104" i="1"/>
  <c r="S104" i="1"/>
  <c r="T104" i="1"/>
  <c r="U104" i="1"/>
  <c r="V104" i="1"/>
  <c r="Y104" i="1"/>
  <c r="Z104" i="1"/>
  <c r="AA104" i="1"/>
  <c r="AB104" i="1"/>
  <c r="AK104" i="1"/>
  <c r="AL104" i="1" s="1"/>
  <c r="AM104" i="1"/>
  <c r="AN104" i="1"/>
  <c r="M105" i="1"/>
  <c r="N105" i="1"/>
  <c r="O105" i="1"/>
  <c r="P105" i="1"/>
  <c r="Q105" i="1"/>
  <c r="R105" i="1"/>
  <c r="S105" i="1"/>
  <c r="T105" i="1"/>
  <c r="U105" i="1"/>
  <c r="V105" i="1"/>
  <c r="Y105" i="1"/>
  <c r="Z105" i="1"/>
  <c r="AA105" i="1"/>
  <c r="AB105" i="1"/>
  <c r="AF105" i="1"/>
  <c r="AK105" i="1"/>
  <c r="AL105" i="1" s="1"/>
  <c r="AM105" i="1"/>
  <c r="AN105" i="1"/>
  <c r="M106" i="1"/>
  <c r="N106" i="1"/>
  <c r="O106" i="1"/>
  <c r="P106" i="1"/>
  <c r="Q106" i="1"/>
  <c r="R106" i="1"/>
  <c r="S106" i="1"/>
  <c r="T106" i="1"/>
  <c r="U106" i="1"/>
  <c r="V106" i="1"/>
  <c r="Y106" i="1"/>
  <c r="Z106" i="1"/>
  <c r="AA106" i="1"/>
  <c r="AB106" i="1"/>
  <c r="AK106" i="1"/>
  <c r="AL106" i="1" s="1"/>
  <c r="AM106" i="1"/>
  <c r="AN106" i="1"/>
  <c r="M107" i="1"/>
  <c r="N107" i="1"/>
  <c r="O107" i="1"/>
  <c r="P107" i="1"/>
  <c r="Q107" i="1"/>
  <c r="R107" i="1"/>
  <c r="S107" i="1"/>
  <c r="T107" i="1"/>
  <c r="U107" i="1"/>
  <c r="V107" i="1"/>
  <c r="Y107" i="1"/>
  <c r="Z107" i="1"/>
  <c r="AA107" i="1"/>
  <c r="AB107" i="1"/>
  <c r="AK107" i="1"/>
  <c r="AL107" i="1" s="1"/>
  <c r="AM107" i="1"/>
  <c r="AN107" i="1"/>
  <c r="M108" i="1"/>
  <c r="N108" i="1"/>
  <c r="O108" i="1"/>
  <c r="P108" i="1"/>
  <c r="Q108" i="1"/>
  <c r="R108" i="1"/>
  <c r="S108" i="1"/>
  <c r="T108" i="1"/>
  <c r="U108" i="1"/>
  <c r="V108" i="1"/>
  <c r="Y108" i="1"/>
  <c r="Z108" i="1"/>
  <c r="AA108" i="1"/>
  <c r="AB108" i="1"/>
  <c r="AK108" i="1"/>
  <c r="AL108" i="1" s="1"/>
  <c r="AM108" i="1"/>
  <c r="AN108" i="1"/>
  <c r="M109" i="1"/>
  <c r="N109" i="1"/>
  <c r="O109" i="1"/>
  <c r="P109" i="1"/>
  <c r="Q109" i="1"/>
  <c r="R109" i="1"/>
  <c r="S109" i="1"/>
  <c r="T109" i="1"/>
  <c r="U109" i="1"/>
  <c r="V109" i="1"/>
  <c r="Y109" i="1"/>
  <c r="Z109" i="1"/>
  <c r="AA109" i="1"/>
  <c r="AB109" i="1"/>
  <c r="AK109" i="1"/>
  <c r="AL109" i="1" s="1"/>
  <c r="AM109" i="1"/>
  <c r="AN109" i="1"/>
  <c r="M110" i="1"/>
  <c r="N110" i="1"/>
  <c r="O110" i="1"/>
  <c r="P110" i="1"/>
  <c r="Q110" i="1"/>
  <c r="R110" i="1"/>
  <c r="T110" i="1"/>
  <c r="U110" i="1"/>
  <c r="V110" i="1"/>
  <c r="Y110" i="1"/>
  <c r="Z110" i="1"/>
  <c r="AA110" i="1"/>
  <c r="AB110" i="1"/>
  <c r="AK110" i="1"/>
  <c r="AL110" i="1" s="1"/>
  <c r="AM110" i="1"/>
  <c r="AN110" i="1"/>
  <c r="M111" i="1"/>
  <c r="N111" i="1"/>
  <c r="O111" i="1"/>
  <c r="P111" i="1"/>
  <c r="Q111" i="1"/>
  <c r="R111" i="1"/>
  <c r="S111" i="1"/>
  <c r="T111" i="1"/>
  <c r="U111" i="1"/>
  <c r="V111" i="1"/>
  <c r="Y111" i="1"/>
  <c r="Z111" i="1"/>
  <c r="AA111" i="1"/>
  <c r="AB111" i="1"/>
  <c r="AF111" i="1"/>
  <c r="AK111" i="1"/>
  <c r="AL111" i="1" s="1"/>
  <c r="AM111" i="1"/>
  <c r="AN111" i="1"/>
  <c r="M112" i="1"/>
  <c r="N112" i="1"/>
  <c r="O112" i="1"/>
  <c r="P112" i="1"/>
  <c r="Q112" i="1"/>
  <c r="R112" i="1"/>
  <c r="S112" i="1"/>
  <c r="T112" i="1"/>
  <c r="U112" i="1"/>
  <c r="V112" i="1"/>
  <c r="Y112" i="1"/>
  <c r="Z112" i="1"/>
  <c r="AA112" i="1"/>
  <c r="AB112" i="1"/>
  <c r="AF112" i="1"/>
  <c r="AK112" i="1"/>
  <c r="AL112" i="1" s="1"/>
  <c r="AM112" i="1"/>
  <c r="AN112" i="1"/>
  <c r="M113" i="1"/>
  <c r="N113" i="1"/>
  <c r="O113" i="1"/>
  <c r="P113" i="1"/>
  <c r="Q113" i="1"/>
  <c r="R113" i="1"/>
  <c r="S113" i="1"/>
  <c r="T113" i="1"/>
  <c r="U113" i="1"/>
  <c r="V113" i="1"/>
  <c r="Y113" i="1"/>
  <c r="Z113" i="1"/>
  <c r="AA113" i="1"/>
  <c r="AB113" i="1"/>
  <c r="AK113" i="1"/>
  <c r="AL113" i="1" s="1"/>
  <c r="AM113" i="1"/>
  <c r="AN113" i="1"/>
  <c r="M114" i="1"/>
  <c r="N114" i="1"/>
  <c r="O114" i="1"/>
  <c r="P114" i="1"/>
  <c r="Q114" i="1"/>
  <c r="R114" i="1"/>
  <c r="S114" i="1"/>
  <c r="T114" i="1"/>
  <c r="U114" i="1"/>
  <c r="V114" i="1"/>
  <c r="Y114" i="1"/>
  <c r="Z114" i="1"/>
  <c r="AA114" i="1"/>
  <c r="AB114" i="1"/>
  <c r="AF114" i="1"/>
  <c r="AK114" i="1"/>
  <c r="AL114" i="1" s="1"/>
  <c r="AM114" i="1"/>
  <c r="AN114" i="1"/>
  <c r="M115" i="1"/>
  <c r="N115" i="1"/>
  <c r="O115" i="1"/>
  <c r="P115" i="1"/>
  <c r="Q115" i="1"/>
  <c r="R115" i="1"/>
  <c r="T115" i="1"/>
  <c r="U115" i="1"/>
  <c r="V115" i="1"/>
  <c r="Y115" i="1"/>
  <c r="Z115" i="1"/>
  <c r="AA115" i="1"/>
  <c r="AB115" i="1"/>
  <c r="AK115" i="1"/>
  <c r="AL115" i="1" s="1"/>
  <c r="AM115" i="1"/>
  <c r="AN115" i="1"/>
  <c r="M116" i="1"/>
  <c r="N116" i="1"/>
  <c r="O116" i="1"/>
  <c r="P116" i="1"/>
  <c r="Q116" i="1"/>
  <c r="R116" i="1"/>
  <c r="S116" i="1"/>
  <c r="T116" i="1"/>
  <c r="U116" i="1"/>
  <c r="V116" i="1"/>
  <c r="Y116" i="1"/>
  <c r="Z116" i="1"/>
  <c r="AA116" i="1"/>
  <c r="AB116" i="1"/>
  <c r="AK116" i="1"/>
  <c r="AL116" i="1" s="1"/>
  <c r="AM116" i="1"/>
  <c r="AN116" i="1"/>
  <c r="M117" i="1"/>
  <c r="N117" i="1"/>
  <c r="O117" i="1"/>
  <c r="P117" i="1"/>
  <c r="Q117" i="1"/>
  <c r="R117" i="1"/>
  <c r="S117" i="1"/>
  <c r="T117" i="1"/>
  <c r="U117" i="1"/>
  <c r="V117" i="1"/>
  <c r="Y117" i="1"/>
  <c r="Z117" i="1"/>
  <c r="AA117" i="1"/>
  <c r="AB117" i="1"/>
  <c r="AF117" i="1"/>
  <c r="AK117" i="1"/>
  <c r="AL117" i="1" s="1"/>
  <c r="AM117" i="1"/>
  <c r="AN117" i="1"/>
  <c r="M118" i="1"/>
  <c r="N118" i="1"/>
  <c r="O118" i="1"/>
  <c r="P118" i="1"/>
  <c r="Q118" i="1"/>
  <c r="R118" i="1"/>
  <c r="S118" i="1"/>
  <c r="T118" i="1"/>
  <c r="U118" i="1"/>
  <c r="V118" i="1"/>
  <c r="Y118" i="1"/>
  <c r="Z118" i="1"/>
  <c r="AA118" i="1"/>
  <c r="AB118" i="1"/>
  <c r="AF118" i="1"/>
  <c r="AK118" i="1"/>
  <c r="AL118" i="1" s="1"/>
  <c r="AM118" i="1"/>
  <c r="AN118" i="1"/>
  <c r="M119" i="1"/>
  <c r="N119" i="1"/>
  <c r="O119" i="1"/>
  <c r="P119" i="1"/>
  <c r="Q119" i="1"/>
  <c r="R119" i="1"/>
  <c r="S119" i="1"/>
  <c r="T119" i="1"/>
  <c r="U119" i="1"/>
  <c r="V119" i="1"/>
  <c r="Y119" i="1"/>
  <c r="Z119" i="1"/>
  <c r="AA119" i="1"/>
  <c r="AB119" i="1"/>
  <c r="AK119" i="1"/>
  <c r="AL119" i="1" s="1"/>
  <c r="AM119" i="1"/>
  <c r="AN119" i="1"/>
  <c r="M120" i="1"/>
  <c r="N120" i="1"/>
  <c r="O120" i="1"/>
  <c r="P120" i="1"/>
  <c r="Q120" i="1"/>
  <c r="R120" i="1"/>
  <c r="S120" i="1"/>
  <c r="T120" i="1"/>
  <c r="U120" i="1"/>
  <c r="V120" i="1"/>
  <c r="Y120" i="1"/>
  <c r="Z120" i="1"/>
  <c r="AA120" i="1"/>
  <c r="AB120" i="1"/>
  <c r="AK120" i="1"/>
  <c r="AL120" i="1" s="1"/>
  <c r="AM120" i="1"/>
  <c r="AN120" i="1"/>
  <c r="M121" i="1"/>
  <c r="N121" i="1"/>
  <c r="O121" i="1"/>
  <c r="P121" i="1"/>
  <c r="Q121" i="1"/>
  <c r="R121" i="1"/>
  <c r="S121" i="1"/>
  <c r="T121" i="1"/>
  <c r="U121" i="1"/>
  <c r="V121" i="1"/>
  <c r="Y121" i="1"/>
  <c r="Z121" i="1"/>
  <c r="AA121" i="1"/>
  <c r="AB121" i="1"/>
  <c r="AK121" i="1"/>
  <c r="AL121" i="1" s="1"/>
  <c r="AM121" i="1"/>
  <c r="AN121" i="1"/>
  <c r="M122" i="1"/>
  <c r="N122" i="1"/>
  <c r="O122" i="1"/>
  <c r="P122" i="1"/>
  <c r="Q122" i="1"/>
  <c r="R122" i="1"/>
  <c r="S122" i="1"/>
  <c r="T122" i="1"/>
  <c r="U122" i="1"/>
  <c r="V122" i="1"/>
  <c r="Y122" i="1"/>
  <c r="Z122" i="1"/>
  <c r="AA122" i="1"/>
  <c r="AB122" i="1"/>
  <c r="AK122" i="1"/>
  <c r="AL122" i="1" s="1"/>
  <c r="AM122" i="1"/>
  <c r="AN122" i="1"/>
  <c r="M123" i="1"/>
  <c r="N123" i="1"/>
  <c r="O123" i="1"/>
  <c r="P123" i="1"/>
  <c r="Q123" i="1"/>
  <c r="R123" i="1"/>
  <c r="S123" i="1"/>
  <c r="T123" i="1"/>
  <c r="U123" i="1"/>
  <c r="V123" i="1"/>
  <c r="Y123" i="1"/>
  <c r="Z123" i="1"/>
  <c r="AA123" i="1"/>
  <c r="AB123" i="1"/>
  <c r="AK123" i="1"/>
  <c r="AL123" i="1" s="1"/>
  <c r="AM123" i="1"/>
  <c r="AN123" i="1"/>
  <c r="M124" i="1"/>
  <c r="N124" i="1"/>
  <c r="O124" i="1"/>
  <c r="P124" i="1"/>
  <c r="Q124" i="1"/>
  <c r="R124" i="1"/>
  <c r="S124" i="1"/>
  <c r="T124" i="1"/>
  <c r="U124" i="1"/>
  <c r="V124" i="1"/>
  <c r="Y124" i="1"/>
  <c r="Z124" i="1"/>
  <c r="AA124" i="1"/>
  <c r="AB124" i="1"/>
  <c r="AK124" i="1"/>
  <c r="AL124" i="1" s="1"/>
  <c r="AM124" i="1"/>
  <c r="AN124" i="1"/>
  <c r="M125" i="1"/>
  <c r="N125" i="1"/>
  <c r="O125" i="1"/>
  <c r="P125" i="1"/>
  <c r="Q125" i="1"/>
  <c r="R125" i="1"/>
  <c r="S125" i="1"/>
  <c r="T125" i="1"/>
  <c r="U125" i="1"/>
  <c r="V125" i="1"/>
  <c r="Y125" i="1"/>
  <c r="Z125" i="1"/>
  <c r="AA125" i="1"/>
  <c r="AB125" i="1"/>
  <c r="AF125" i="1"/>
  <c r="AK125" i="1"/>
  <c r="AL125" i="1" s="1"/>
  <c r="AM125" i="1"/>
  <c r="AN125" i="1"/>
  <c r="M126" i="1"/>
  <c r="N126" i="1"/>
  <c r="O126" i="1"/>
  <c r="P126" i="1"/>
  <c r="Q126" i="1"/>
  <c r="R126" i="1"/>
  <c r="S126" i="1"/>
  <c r="T126" i="1"/>
  <c r="U126" i="1"/>
  <c r="V126" i="1"/>
  <c r="Y126" i="1"/>
  <c r="Z126" i="1"/>
  <c r="AA126" i="1"/>
  <c r="AB126" i="1"/>
  <c r="AF126" i="1"/>
  <c r="AK126" i="1"/>
  <c r="AL126" i="1" s="1"/>
  <c r="AM126" i="1"/>
  <c r="AN126" i="1"/>
  <c r="M127" i="1"/>
  <c r="N127" i="1"/>
  <c r="O127" i="1"/>
  <c r="P127" i="1"/>
  <c r="Q127" i="1"/>
  <c r="R127" i="1"/>
  <c r="S127" i="1"/>
  <c r="T127" i="1"/>
  <c r="U127" i="1"/>
  <c r="V127" i="1"/>
  <c r="Y127" i="1"/>
  <c r="Z127" i="1"/>
  <c r="AA127" i="1"/>
  <c r="AB127" i="1"/>
  <c r="AK127" i="1"/>
  <c r="AL127" i="1" s="1"/>
  <c r="AM127" i="1"/>
  <c r="AN127" i="1"/>
  <c r="M128" i="1"/>
  <c r="P128" i="1"/>
  <c r="Q128" i="1"/>
  <c r="R128" i="1"/>
  <c r="U128" i="1"/>
  <c r="V128" i="1"/>
  <c r="Y128" i="1"/>
  <c r="Z128" i="1"/>
  <c r="AA128" i="1"/>
  <c r="AB128" i="1"/>
  <c r="AK128" i="1"/>
  <c r="AL128" i="1" s="1"/>
  <c r="AM128" i="1"/>
  <c r="AN128" i="1"/>
  <c r="M129" i="1"/>
  <c r="N129" i="1"/>
  <c r="O129" i="1"/>
  <c r="P129" i="1"/>
  <c r="Q129" i="1"/>
  <c r="R129" i="1"/>
  <c r="S129" i="1"/>
  <c r="T129" i="1"/>
  <c r="U129" i="1"/>
  <c r="V129" i="1"/>
  <c r="Y129" i="1"/>
  <c r="Z129" i="1"/>
  <c r="AA129" i="1"/>
  <c r="AB129" i="1"/>
  <c r="AK129" i="1"/>
  <c r="AL129" i="1" s="1"/>
  <c r="AM129" i="1"/>
  <c r="AN129" i="1"/>
  <c r="M130" i="1"/>
  <c r="N130" i="1"/>
  <c r="O130" i="1"/>
  <c r="P130" i="1"/>
  <c r="Q130" i="1"/>
  <c r="R130" i="1"/>
  <c r="S130" i="1"/>
  <c r="T130" i="1"/>
  <c r="U130" i="1"/>
  <c r="V130" i="1"/>
  <c r="Y130" i="1"/>
  <c r="Z130" i="1"/>
  <c r="AA130" i="1"/>
  <c r="AB130" i="1"/>
  <c r="AK130" i="1"/>
  <c r="AL130" i="1" s="1"/>
  <c r="AM130" i="1"/>
  <c r="AN130" i="1"/>
  <c r="M131" i="1"/>
  <c r="P131" i="1"/>
  <c r="Q131" i="1"/>
  <c r="R131" i="1"/>
  <c r="S131" i="1"/>
  <c r="T131" i="1"/>
  <c r="U131" i="1"/>
  <c r="V131" i="1"/>
  <c r="Z131" i="1"/>
  <c r="AA131" i="1"/>
  <c r="AB131" i="1"/>
  <c r="AF131" i="1"/>
  <c r="AK131" i="1"/>
  <c r="AL131" i="1" s="1"/>
  <c r="AM131" i="1"/>
  <c r="AN131" i="1"/>
  <c r="M132" i="1"/>
  <c r="N132" i="1"/>
  <c r="O132" i="1"/>
  <c r="P132" i="1"/>
  <c r="Q132" i="1"/>
  <c r="R132" i="1"/>
  <c r="S132" i="1"/>
  <c r="T132" i="1"/>
  <c r="U132" i="1"/>
  <c r="V132" i="1"/>
  <c r="Y132" i="1"/>
  <c r="Z132" i="1"/>
  <c r="AA132" i="1"/>
  <c r="AB132" i="1"/>
  <c r="AF132" i="1"/>
  <c r="AK132" i="1"/>
  <c r="AL132" i="1" s="1"/>
  <c r="AM132" i="1"/>
  <c r="AN132" i="1"/>
  <c r="M133" i="1"/>
  <c r="P133" i="1"/>
  <c r="Q133" i="1"/>
  <c r="R133" i="1"/>
  <c r="S133" i="1"/>
  <c r="T133" i="1"/>
  <c r="U133" i="1"/>
  <c r="V133" i="1"/>
  <c r="Y133" i="1"/>
  <c r="Z133" i="1"/>
  <c r="AA133" i="1"/>
  <c r="AB133" i="1"/>
  <c r="AF133" i="1"/>
  <c r="AK133" i="1"/>
  <c r="AL133" i="1" s="1"/>
  <c r="AM133" i="1"/>
  <c r="AN133" i="1"/>
  <c r="M134" i="1"/>
  <c r="N134" i="1"/>
  <c r="O134" i="1"/>
  <c r="P134" i="1"/>
  <c r="Q134" i="1"/>
  <c r="R134" i="1"/>
  <c r="S134" i="1"/>
  <c r="T134" i="1"/>
  <c r="U134" i="1"/>
  <c r="V134" i="1"/>
  <c r="Y134" i="1"/>
  <c r="Z134" i="1"/>
  <c r="AA134" i="1"/>
  <c r="AB134" i="1"/>
  <c r="AK134" i="1"/>
  <c r="AL134" i="1" s="1"/>
  <c r="AM134" i="1"/>
  <c r="AN134" i="1"/>
  <c r="M135" i="1"/>
  <c r="P135" i="1"/>
  <c r="Q135" i="1"/>
  <c r="R135" i="1"/>
  <c r="S135" i="1"/>
  <c r="T135" i="1"/>
  <c r="U135" i="1"/>
  <c r="V135" i="1"/>
  <c r="Z135" i="1"/>
  <c r="AA135" i="1"/>
  <c r="AB135" i="1"/>
  <c r="AF135" i="1"/>
  <c r="AK135" i="1"/>
  <c r="AL135" i="1" s="1"/>
  <c r="AM135" i="1"/>
  <c r="AN135" i="1"/>
  <c r="M136" i="1"/>
  <c r="P136" i="1"/>
  <c r="Q136" i="1"/>
  <c r="R136" i="1"/>
  <c r="S136" i="1"/>
  <c r="T136" i="1"/>
  <c r="U136" i="1"/>
  <c r="V136" i="1"/>
  <c r="Z136" i="1"/>
  <c r="AA136" i="1"/>
  <c r="AB136" i="1"/>
  <c r="AK136" i="1"/>
  <c r="AL136" i="1" s="1"/>
  <c r="AM136" i="1"/>
  <c r="AN136" i="1"/>
  <c r="M137" i="1"/>
  <c r="Q137" i="1"/>
  <c r="R137" i="1"/>
  <c r="S137" i="1"/>
  <c r="T137" i="1"/>
  <c r="U137" i="1"/>
  <c r="V137" i="1"/>
  <c r="Z137" i="1"/>
  <c r="AA137" i="1"/>
  <c r="AB137" i="1"/>
  <c r="AF137" i="1"/>
  <c r="AK137" i="1"/>
  <c r="AL137" i="1" s="1"/>
  <c r="AM137" i="1"/>
  <c r="AN137" i="1"/>
  <c r="Z138" i="1"/>
  <c r="AB138" i="1"/>
  <c r="AF138" i="1"/>
  <c r="AK138" i="1"/>
  <c r="AL138" i="1" s="1"/>
  <c r="AM138" i="1"/>
  <c r="AN138" i="1"/>
  <c r="X139" i="1"/>
  <c r="Y139" i="1"/>
  <c r="Z139" i="1"/>
  <c r="AB139" i="1"/>
  <c r="AF139" i="1"/>
  <c r="AK139" i="1"/>
  <c r="AL139" i="1" s="1"/>
  <c r="AM139" i="1"/>
  <c r="AN139" i="1"/>
  <c r="X140" i="1"/>
  <c r="Y140" i="1"/>
  <c r="Z140" i="1"/>
  <c r="AB140" i="1"/>
  <c r="AF140" i="1"/>
  <c r="AK140" i="1"/>
  <c r="AL140" i="1" s="1"/>
  <c r="AM140" i="1"/>
  <c r="AN140" i="1"/>
  <c r="X141" i="1"/>
  <c r="Y141" i="1"/>
  <c r="Z141" i="1"/>
  <c r="AB141" i="1"/>
  <c r="AK141" i="1"/>
  <c r="AL141" i="1" s="1"/>
  <c r="AM141" i="1"/>
  <c r="AN141" i="1"/>
  <c r="X142" i="1"/>
  <c r="Y142" i="1"/>
  <c r="Z142" i="1"/>
  <c r="AB142" i="1"/>
  <c r="AF142" i="1"/>
  <c r="AK142" i="1"/>
  <c r="AL142" i="1" s="1"/>
  <c r="AM142" i="1"/>
  <c r="AN142" i="1"/>
  <c r="X143" i="1"/>
  <c r="Y143" i="1"/>
  <c r="Z143" i="1"/>
  <c r="AB143" i="1"/>
  <c r="AF143" i="1"/>
  <c r="AK143" i="1"/>
  <c r="AL143" i="1" s="1"/>
  <c r="AM143" i="1"/>
  <c r="AN143" i="1"/>
  <c r="X144" i="1"/>
  <c r="Y144" i="1"/>
  <c r="Z144" i="1"/>
  <c r="AB144" i="1"/>
  <c r="AK144" i="1"/>
  <c r="AL144" i="1" s="1"/>
  <c r="AM144" i="1"/>
  <c r="AN144" i="1"/>
  <c r="X145" i="1"/>
  <c r="Y145" i="1"/>
  <c r="Z145" i="1"/>
  <c r="AB145" i="1"/>
  <c r="AF145" i="1"/>
  <c r="AK145" i="1"/>
  <c r="AL145" i="1" s="1"/>
  <c r="AM145" i="1"/>
  <c r="AN145" i="1"/>
  <c r="X146" i="1"/>
  <c r="Y146" i="1"/>
  <c r="Z146" i="1"/>
  <c r="AB146" i="1"/>
  <c r="AK146" i="1"/>
  <c r="AL146" i="1" s="1"/>
  <c r="AM146" i="1"/>
  <c r="AN146" i="1"/>
  <c r="X147" i="1"/>
  <c r="Y147" i="1"/>
  <c r="Z147" i="1"/>
  <c r="AB147" i="1"/>
  <c r="AF147" i="1"/>
  <c r="AK147" i="1"/>
  <c r="AL147" i="1" s="1"/>
  <c r="AM147" i="1"/>
  <c r="AN147" i="1"/>
  <c r="X148" i="1"/>
  <c r="Z148" i="1"/>
  <c r="AB148" i="1"/>
  <c r="AF148" i="1"/>
  <c r="AK148" i="1"/>
  <c r="AL148" i="1" s="1"/>
  <c r="AM148" i="1"/>
  <c r="AN148" i="1"/>
  <c r="X149" i="1"/>
  <c r="Z149" i="1"/>
  <c r="AA149" i="1"/>
  <c r="AB149" i="1"/>
  <c r="AF149" i="1"/>
  <c r="AK149" i="1"/>
  <c r="AL149" i="1" s="1"/>
  <c r="AM149" i="1"/>
  <c r="AN149" i="1"/>
  <c r="X150" i="1"/>
  <c r="Z150" i="1"/>
  <c r="AA150" i="1"/>
  <c r="AB150" i="1"/>
  <c r="AF150" i="1"/>
  <c r="AK150" i="1"/>
  <c r="AL150" i="1" s="1"/>
  <c r="AM150" i="1"/>
  <c r="AN150" i="1"/>
  <c r="X151" i="1"/>
  <c r="Z151" i="1"/>
  <c r="AA151" i="1"/>
  <c r="AB151" i="1"/>
  <c r="AF151" i="1"/>
  <c r="AK151" i="1"/>
  <c r="AL151" i="1" s="1"/>
  <c r="AM151" i="1"/>
  <c r="AN151" i="1"/>
  <c r="S100" i="5" l="1"/>
  <c r="S126" i="5"/>
  <c r="S90" i="5"/>
  <c r="S30" i="5"/>
  <c r="S97" i="5"/>
  <c r="S104" i="5"/>
  <c r="S123" i="5"/>
  <c r="S39" i="5"/>
  <c r="S118" i="5"/>
  <c r="S106" i="5"/>
  <c r="S82" i="5"/>
  <c r="S46" i="5"/>
  <c r="S22" i="5"/>
  <c r="S89" i="5"/>
  <c r="S65" i="5"/>
  <c r="S29" i="5"/>
  <c r="S17" i="5"/>
  <c r="S120" i="5"/>
  <c r="S108" i="5"/>
  <c r="S72" i="5"/>
  <c r="S60" i="5"/>
  <c r="S48" i="5"/>
  <c r="S127" i="5"/>
  <c r="S115" i="5"/>
  <c r="S103" i="5"/>
  <c r="S91" i="5"/>
  <c r="S67" i="5"/>
  <c r="S19" i="5"/>
  <c r="S134" i="5"/>
  <c r="S98" i="5"/>
  <c r="S86" i="5"/>
  <c r="S74" i="5"/>
  <c r="S62" i="5"/>
  <c r="S50" i="5"/>
  <c r="S38" i="5"/>
  <c r="S14" i="5"/>
  <c r="S129" i="5"/>
  <c r="S105" i="5"/>
  <c r="S93" i="5"/>
  <c r="S81" i="5"/>
  <c r="S69" i="5"/>
  <c r="S57" i="5"/>
  <c r="S45" i="5"/>
  <c r="S33" i="5"/>
  <c r="S21" i="5"/>
  <c r="S88" i="5"/>
  <c r="S64" i="5"/>
  <c r="S52" i="5"/>
  <c r="S40" i="5"/>
  <c r="S16" i="5"/>
  <c r="S131" i="5"/>
  <c r="S35" i="5"/>
  <c r="S18" i="5"/>
  <c r="S58" i="5"/>
  <c r="S42" i="5"/>
  <c r="S34" i="5"/>
  <c r="S122" i="5"/>
  <c r="S24" i="5"/>
  <c r="S26" i="5"/>
  <c r="S10" i="5"/>
  <c r="S27" i="5"/>
  <c r="S54" i="5"/>
  <c r="S77" i="5"/>
  <c r="O144" i="5"/>
  <c r="O138" i="5"/>
  <c r="O57" i="5"/>
  <c r="O132" i="5"/>
  <c r="O111" i="5"/>
  <c r="S56" i="5"/>
  <c r="O43" i="5"/>
  <c r="O14" i="5"/>
  <c r="O60" i="5"/>
  <c r="O56" i="5"/>
  <c r="O5" i="5"/>
  <c r="O84" i="5"/>
  <c r="O83" i="5"/>
  <c r="O23" i="5"/>
  <c r="S117" i="5"/>
  <c r="S110" i="5"/>
  <c r="S92" i="5"/>
  <c r="S135" i="5"/>
  <c r="S111" i="5"/>
  <c r="S94" i="5"/>
  <c r="S76" i="5"/>
  <c r="S137" i="5"/>
  <c r="S113" i="5"/>
  <c r="S101" i="5"/>
  <c r="S125" i="5"/>
  <c r="S53" i="5"/>
  <c r="S136" i="5"/>
  <c r="S8" i="5"/>
  <c r="S20" i="5"/>
  <c r="S114" i="5"/>
  <c r="S71" i="5"/>
  <c r="S55" i="5"/>
  <c r="S32" i="5"/>
  <c r="S130" i="5"/>
  <c r="S66" i="5"/>
  <c r="S119" i="5"/>
  <c r="S116" i="5"/>
  <c r="S102" i="5"/>
  <c r="S78" i="5"/>
  <c r="O92" i="5"/>
  <c r="O12" i="5"/>
  <c r="O124" i="5"/>
  <c r="O114" i="5"/>
  <c r="O36" i="5"/>
  <c r="O39" i="5"/>
  <c r="O70" i="5"/>
  <c r="O74" i="5"/>
  <c r="O7" i="5"/>
  <c r="O4" i="5"/>
  <c r="O85" i="5"/>
  <c r="O69" i="5"/>
  <c r="O65" i="5"/>
  <c r="O106" i="5"/>
  <c r="O72" i="5"/>
  <c r="O64" i="5"/>
  <c r="O24" i="5"/>
  <c r="O15" i="5"/>
  <c r="O87" i="5"/>
  <c r="O47" i="5"/>
  <c r="O126" i="5"/>
  <c r="O115" i="5"/>
  <c r="O42" i="5"/>
  <c r="O29" i="5"/>
  <c r="O128" i="5"/>
  <c r="O141" i="5"/>
  <c r="O136" i="5"/>
  <c r="O88" i="5"/>
  <c r="O79" i="5"/>
  <c r="O61" i="5"/>
  <c r="O75" i="5"/>
  <c r="O113" i="5"/>
  <c r="O93" i="5"/>
  <c r="O145" i="5"/>
  <c r="O139" i="5"/>
  <c r="O135" i="5"/>
  <c r="O121" i="5"/>
  <c r="O118" i="5"/>
  <c r="O97" i="5"/>
  <c r="O78" i="5"/>
  <c r="O11" i="5"/>
  <c r="O38" i="5"/>
  <c r="O17" i="5"/>
  <c r="O25" i="5"/>
  <c r="O52" i="5"/>
  <c r="O48" i="5"/>
  <c r="O34" i="5"/>
  <c r="O142" i="5"/>
  <c r="O123" i="5"/>
  <c r="O110" i="5"/>
  <c r="O55" i="5"/>
  <c r="O6" i="5"/>
  <c r="O129" i="5"/>
  <c r="O119" i="5"/>
  <c r="O116" i="5"/>
  <c r="O108" i="5"/>
  <c r="O101" i="5"/>
  <c r="O46" i="5"/>
  <c r="O82" i="5"/>
  <c r="O73" i="5"/>
  <c r="S63" i="5"/>
  <c r="S75" i="5"/>
  <c r="O37" i="5"/>
  <c r="O26" i="5"/>
  <c r="O20" i="5"/>
  <c r="O96" i="5"/>
  <c r="O91" i="5"/>
  <c r="O8" i="5"/>
  <c r="S99" i="5"/>
  <c r="S95" i="5"/>
  <c r="O66" i="5"/>
  <c r="S51" i="5"/>
  <c r="O31" i="5"/>
  <c r="O28" i="5"/>
  <c r="O22" i="5"/>
  <c r="S87" i="5"/>
  <c r="O80" i="5"/>
  <c r="O16" i="5"/>
  <c r="O13" i="5"/>
  <c r="O59" i="5"/>
  <c r="O19" i="5"/>
  <c r="O109" i="5"/>
  <c r="S79" i="5"/>
  <c r="O77" i="5"/>
  <c r="O54" i="5"/>
  <c r="O44" i="5"/>
  <c r="O41" i="5"/>
  <c r="O10" i="5"/>
  <c r="O95" i="5"/>
  <c r="O120" i="5"/>
  <c r="O102" i="5"/>
  <c r="O90" i="5"/>
  <c r="O62" i="5"/>
  <c r="O51" i="5"/>
  <c r="S43" i="5"/>
  <c r="O127" i="5"/>
  <c r="O105" i="5"/>
  <c r="O98" i="5"/>
  <c r="S70" i="5"/>
  <c r="O33" i="5"/>
  <c r="O30" i="5"/>
  <c r="O21" i="5"/>
  <c r="S109" i="5"/>
  <c r="S85" i="5"/>
  <c r="S124" i="5"/>
  <c r="S13" i="5"/>
  <c r="S73" i="5"/>
  <c r="S37" i="5"/>
  <c r="S68" i="5"/>
  <c r="S47" i="5"/>
  <c r="S44" i="5"/>
  <c r="S121" i="5"/>
  <c r="S128" i="5"/>
  <c r="S112" i="5"/>
  <c r="S96" i="5"/>
  <c r="S83" i="5"/>
  <c r="S80" i="5"/>
  <c r="S59" i="5"/>
  <c r="S41" i="5"/>
  <c r="S107" i="5"/>
  <c r="S49" i="5"/>
  <c r="S25" i="5"/>
  <c r="S133" i="5"/>
  <c r="S61" i="5"/>
  <c r="O133" i="5"/>
  <c r="O104" i="5"/>
  <c r="O67" i="5"/>
  <c r="O49" i="5"/>
  <c r="O166" i="5"/>
  <c r="O163" i="5"/>
  <c r="O160" i="5"/>
  <c r="O157" i="5"/>
  <c r="O154" i="5"/>
  <c r="O151" i="5"/>
  <c r="O148" i="5"/>
  <c r="O125" i="5"/>
  <c r="O122" i="5"/>
  <c r="O71" i="5"/>
  <c r="O53" i="5"/>
  <c r="O35" i="5"/>
  <c r="O174" i="5"/>
  <c r="O171" i="5"/>
  <c r="O168" i="5"/>
  <c r="O165" i="5"/>
  <c r="O162" i="5"/>
  <c r="O159" i="5"/>
  <c r="O156" i="5"/>
  <c r="O153" i="5"/>
  <c r="O150" i="5"/>
  <c r="O147" i="5"/>
  <c r="O103" i="5"/>
  <c r="O100" i="5"/>
  <c r="O89" i="5"/>
  <c r="O68" i="5"/>
  <c r="O50" i="5"/>
  <c r="O32" i="5"/>
  <c r="O176" i="5"/>
  <c r="O173" i="5"/>
  <c r="O170" i="5"/>
  <c r="O167" i="5"/>
  <c r="O164" i="5"/>
  <c r="O161" i="5"/>
  <c r="O158" i="5"/>
  <c r="O155" i="5"/>
  <c r="O152" i="5"/>
  <c r="O149" i="5"/>
  <c r="O146" i="5"/>
  <c r="O143" i="5"/>
  <c r="O140" i="5"/>
  <c r="O137" i="5"/>
  <c r="O134" i="5"/>
  <c r="O131" i="5"/>
  <c r="O86" i="5"/>
  <c r="O107" i="5"/>
  <c r="O130" i="5"/>
  <c r="O117" i="5"/>
  <c r="O112" i="5"/>
  <c r="O99" i="5"/>
  <c r="O94" i="5"/>
  <c r="O81" i="5"/>
  <c r="O76" i="5"/>
  <c r="O63" i="5"/>
  <c r="O58" i="5"/>
  <c r="O45" i="5"/>
  <c r="O40" i="5"/>
  <c r="O27" i="5"/>
  <c r="O18" i="5"/>
  <c r="O9" i="5"/>
  <c r="O175" i="5"/>
  <c r="O172" i="5"/>
  <c r="O169" i="5"/>
  <c r="W14" i="3" l="1"/>
  <c r="T6" i="3"/>
  <c r="T8" i="3"/>
  <c r="T9" i="3"/>
  <c r="T11" i="3"/>
  <c r="T12" i="3"/>
  <c r="T13" i="3"/>
  <c r="T14" i="3"/>
  <c r="T15" i="3"/>
  <c r="C3" i="5" l="1"/>
  <c r="S4" i="1" l="1"/>
  <c r="S175" i="5" l="1"/>
  <c r="S171" i="5"/>
  <c r="S168" i="5"/>
  <c r="S165" i="5"/>
  <c r="S162" i="5"/>
  <c r="S159" i="5"/>
  <c r="S156" i="5"/>
  <c r="S153" i="5"/>
  <c r="S150" i="5"/>
  <c r="S147" i="5"/>
  <c r="S144" i="5"/>
  <c r="S141" i="5"/>
  <c r="S138" i="5"/>
  <c r="S174" i="5"/>
  <c r="S176" i="5"/>
  <c r="S173" i="5"/>
  <c r="S170" i="5"/>
  <c r="S167" i="5"/>
  <c r="S164" i="5"/>
  <c r="S161" i="5"/>
  <c r="S158" i="5"/>
  <c r="S155" i="5"/>
  <c r="S152" i="5"/>
  <c r="S149" i="5"/>
  <c r="S146" i="5"/>
  <c r="S143" i="5"/>
  <c r="S140" i="5"/>
  <c r="S172" i="5"/>
  <c r="S169" i="5"/>
  <c r="S166" i="5"/>
  <c r="S163" i="5"/>
  <c r="S160" i="5"/>
  <c r="S157" i="5"/>
  <c r="S154" i="5"/>
  <c r="S151" i="5"/>
  <c r="S148" i="5"/>
  <c r="S145" i="5"/>
  <c r="S142" i="5"/>
  <c r="S139" i="5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B23" i="43"/>
  <c r="C23" i="43"/>
  <c r="D23" i="43"/>
  <c r="E23" i="43"/>
  <c r="F23" i="43"/>
  <c r="B24" i="43"/>
  <c r="C24" i="43"/>
  <c r="D24" i="43"/>
  <c r="E24" i="43"/>
  <c r="F24" i="43"/>
  <c r="B25" i="43"/>
  <c r="C25" i="43"/>
  <c r="D25" i="43"/>
  <c r="E25" i="43"/>
  <c r="F25" i="43"/>
  <c r="B26" i="43"/>
  <c r="C26" i="43"/>
  <c r="D26" i="43"/>
  <c r="E26" i="43"/>
  <c r="F26" i="43"/>
  <c r="B27" i="43"/>
  <c r="C27" i="43"/>
  <c r="D27" i="43"/>
  <c r="E27" i="43"/>
  <c r="F27" i="43"/>
  <c r="B28" i="43"/>
  <c r="C28" i="43"/>
  <c r="D28" i="43"/>
  <c r="E28" i="43"/>
  <c r="F28" i="43"/>
  <c r="B29" i="43"/>
  <c r="C29" i="43"/>
  <c r="D29" i="43"/>
  <c r="E29" i="43"/>
  <c r="F29" i="43"/>
  <c r="B30" i="43"/>
  <c r="C30" i="43"/>
  <c r="D30" i="43"/>
  <c r="E30" i="43"/>
  <c r="F30" i="43"/>
  <c r="B31" i="43"/>
  <c r="C31" i="43"/>
  <c r="D31" i="43"/>
  <c r="E31" i="43"/>
  <c r="F31" i="43"/>
  <c r="B32" i="43"/>
  <c r="C32" i="43"/>
  <c r="D32" i="43"/>
  <c r="E32" i="43"/>
  <c r="F32" i="43"/>
  <c r="B33" i="43"/>
  <c r="C33" i="43"/>
  <c r="D33" i="43"/>
  <c r="E33" i="43"/>
  <c r="F33" i="43"/>
  <c r="B34" i="43"/>
  <c r="C34" i="43"/>
  <c r="D34" i="43"/>
  <c r="E34" i="43"/>
  <c r="F34" i="43"/>
  <c r="B35" i="43"/>
  <c r="C35" i="43"/>
  <c r="D35" i="43"/>
  <c r="E35" i="43"/>
  <c r="F35" i="43"/>
  <c r="A36" i="43"/>
  <c r="B36" i="43"/>
  <c r="C36" i="43"/>
  <c r="D36" i="43"/>
  <c r="E36" i="43"/>
  <c r="F36" i="43"/>
  <c r="B37" i="43"/>
  <c r="C37" i="43"/>
  <c r="D37" i="43"/>
  <c r="E37" i="43"/>
  <c r="F37" i="43"/>
  <c r="B38" i="43"/>
  <c r="C38" i="43"/>
  <c r="D38" i="43"/>
  <c r="E38" i="43"/>
  <c r="F38" i="43"/>
  <c r="B39" i="43"/>
  <c r="C39" i="43"/>
  <c r="D39" i="43"/>
  <c r="E39" i="43"/>
  <c r="F39" i="43"/>
  <c r="B40" i="43"/>
  <c r="C40" i="43"/>
  <c r="D40" i="43"/>
  <c r="E40" i="43"/>
  <c r="F40" i="43"/>
  <c r="B41" i="43"/>
  <c r="C41" i="43"/>
  <c r="D41" i="43"/>
  <c r="E41" i="43"/>
  <c r="F41" i="43"/>
  <c r="B42" i="43"/>
  <c r="C42" i="43"/>
  <c r="D42" i="43"/>
  <c r="E42" i="43"/>
  <c r="F42" i="43"/>
  <c r="B43" i="43"/>
  <c r="C43" i="43"/>
  <c r="D43" i="43"/>
  <c r="E43" i="43"/>
  <c r="F43" i="43"/>
  <c r="B44" i="43"/>
  <c r="C44" i="43"/>
  <c r="D44" i="43"/>
  <c r="E44" i="43"/>
  <c r="F44" i="43"/>
  <c r="B45" i="43"/>
  <c r="C45" i="43"/>
  <c r="D45" i="43"/>
  <c r="E45" i="43"/>
  <c r="F45" i="43"/>
  <c r="B46" i="43"/>
  <c r="C46" i="43"/>
  <c r="D46" i="43"/>
  <c r="E46" i="43"/>
  <c r="F46" i="43"/>
  <c r="B47" i="43"/>
  <c r="C47" i="43"/>
  <c r="D47" i="43"/>
  <c r="E47" i="43"/>
  <c r="F47" i="43"/>
  <c r="B48" i="43"/>
  <c r="C48" i="43"/>
  <c r="D48" i="43"/>
  <c r="E48" i="43"/>
  <c r="F48" i="43"/>
  <c r="B49" i="43"/>
  <c r="C49" i="43"/>
  <c r="D49" i="43"/>
  <c r="E49" i="43"/>
  <c r="F49" i="43"/>
  <c r="A50" i="43"/>
  <c r="B50" i="43"/>
  <c r="C50" i="43"/>
  <c r="D50" i="43"/>
  <c r="E50" i="43"/>
  <c r="F50" i="43"/>
  <c r="B51" i="43"/>
  <c r="C51" i="43"/>
  <c r="D51" i="43"/>
  <c r="E51" i="43"/>
  <c r="F51" i="43"/>
  <c r="B52" i="43"/>
  <c r="C52" i="43"/>
  <c r="D52" i="43"/>
  <c r="E52" i="43"/>
  <c r="F52" i="43"/>
  <c r="B53" i="43"/>
  <c r="C53" i="43"/>
  <c r="D53" i="43"/>
  <c r="E53" i="43"/>
  <c r="F53" i="43"/>
  <c r="B54" i="43"/>
  <c r="C54" i="43"/>
  <c r="D54" i="43"/>
  <c r="E54" i="43"/>
  <c r="F54" i="43"/>
  <c r="A55" i="43"/>
  <c r="B55" i="43"/>
  <c r="C55" i="43"/>
  <c r="D55" i="43"/>
  <c r="E55" i="43"/>
  <c r="F55" i="43"/>
  <c r="B56" i="43"/>
  <c r="C56" i="43"/>
  <c r="D56" i="43"/>
  <c r="E56" i="43"/>
  <c r="F56" i="43"/>
  <c r="B57" i="43"/>
  <c r="C57" i="43"/>
  <c r="D57" i="43"/>
  <c r="E57" i="43"/>
  <c r="F57" i="43"/>
  <c r="B58" i="43"/>
  <c r="C58" i="43"/>
  <c r="D58" i="43"/>
  <c r="E58" i="43"/>
  <c r="F58" i="43"/>
  <c r="B59" i="43"/>
  <c r="C59" i="43"/>
  <c r="D59" i="43"/>
  <c r="E59" i="43"/>
  <c r="F59" i="43"/>
  <c r="B60" i="43"/>
  <c r="C60" i="43"/>
  <c r="D60" i="43"/>
  <c r="E60" i="43"/>
  <c r="F60" i="43"/>
  <c r="B61" i="43"/>
  <c r="C61" i="43"/>
  <c r="D61" i="43"/>
  <c r="E61" i="43"/>
  <c r="F61" i="43"/>
  <c r="B62" i="43"/>
  <c r="C62" i="43"/>
  <c r="D62" i="43"/>
  <c r="E62" i="43"/>
  <c r="F62" i="43"/>
  <c r="B63" i="43"/>
  <c r="C63" i="43"/>
  <c r="D63" i="43"/>
  <c r="E63" i="43"/>
  <c r="F63" i="43"/>
  <c r="B64" i="43"/>
  <c r="C64" i="43"/>
  <c r="D64" i="43"/>
  <c r="E64" i="43"/>
  <c r="F64" i="43"/>
  <c r="B65" i="43"/>
  <c r="C65" i="43"/>
  <c r="D65" i="43"/>
  <c r="E65" i="43"/>
  <c r="F65" i="43"/>
  <c r="B66" i="43"/>
  <c r="C66" i="43"/>
  <c r="D66" i="43"/>
  <c r="E66" i="43"/>
  <c r="F66" i="43"/>
  <c r="B67" i="43"/>
  <c r="C67" i="43"/>
  <c r="D67" i="43"/>
  <c r="E67" i="43"/>
  <c r="F67" i="43"/>
  <c r="B68" i="43"/>
  <c r="C68" i="43"/>
  <c r="D68" i="43"/>
  <c r="E68" i="43"/>
  <c r="F68" i="43"/>
  <c r="B69" i="43"/>
  <c r="C69" i="43"/>
  <c r="D69" i="43"/>
  <c r="E69" i="43"/>
  <c r="F69" i="43"/>
  <c r="B70" i="43"/>
  <c r="C70" i="43"/>
  <c r="D70" i="43"/>
  <c r="E70" i="43"/>
  <c r="F70" i="43"/>
  <c r="B71" i="43"/>
  <c r="C71" i="43"/>
  <c r="D71" i="43"/>
  <c r="E71" i="43"/>
  <c r="F71" i="43"/>
  <c r="B72" i="43"/>
  <c r="C72" i="43"/>
  <c r="D72" i="43"/>
  <c r="E72" i="43"/>
  <c r="F72" i="43"/>
  <c r="B73" i="43"/>
  <c r="C73" i="43"/>
  <c r="D73" i="43"/>
  <c r="E73" i="43"/>
  <c r="F73" i="43"/>
  <c r="B74" i="43"/>
  <c r="C74" i="43"/>
  <c r="D74" i="43"/>
  <c r="E74" i="43"/>
  <c r="F74" i="43"/>
  <c r="B75" i="43"/>
  <c r="C75" i="43"/>
  <c r="D75" i="43"/>
  <c r="E75" i="43"/>
  <c r="F75" i="43"/>
  <c r="B76" i="43"/>
  <c r="C76" i="43"/>
  <c r="D76" i="43"/>
  <c r="E76" i="43"/>
  <c r="F76" i="43"/>
  <c r="B77" i="43"/>
  <c r="C77" i="43"/>
  <c r="D77" i="43"/>
  <c r="E77" i="43"/>
  <c r="F77" i="43"/>
  <c r="B78" i="43"/>
  <c r="C78" i="43"/>
  <c r="D78" i="43"/>
  <c r="E78" i="43"/>
  <c r="F78" i="43"/>
  <c r="B79" i="43"/>
  <c r="C79" i="43"/>
  <c r="D79" i="43"/>
  <c r="E79" i="43"/>
  <c r="F79" i="43"/>
  <c r="A80" i="43"/>
  <c r="B80" i="43"/>
  <c r="C80" i="43"/>
  <c r="D80" i="43"/>
  <c r="E80" i="43"/>
  <c r="F80" i="43"/>
  <c r="B81" i="43"/>
  <c r="C81" i="43"/>
  <c r="D81" i="43"/>
  <c r="E81" i="43"/>
  <c r="F81" i="43"/>
  <c r="B82" i="43"/>
  <c r="C82" i="43"/>
  <c r="D82" i="43"/>
  <c r="E82" i="43"/>
  <c r="F82" i="43"/>
  <c r="B83" i="43"/>
  <c r="C83" i="43"/>
  <c r="D83" i="43"/>
  <c r="E83" i="43"/>
  <c r="F83" i="43"/>
  <c r="B84" i="43"/>
  <c r="C84" i="43"/>
  <c r="D84" i="43"/>
  <c r="E84" i="43"/>
  <c r="F84" i="43"/>
  <c r="B85" i="43"/>
  <c r="C85" i="43"/>
  <c r="D85" i="43"/>
  <c r="E85" i="43"/>
  <c r="F85" i="43"/>
  <c r="B86" i="43"/>
  <c r="C86" i="43"/>
  <c r="D86" i="43"/>
  <c r="E86" i="43"/>
  <c r="F86" i="43"/>
  <c r="B87" i="43"/>
  <c r="C87" i="43"/>
  <c r="D87" i="43"/>
  <c r="E87" i="43"/>
  <c r="F87" i="43"/>
  <c r="B88" i="43"/>
  <c r="C88" i="43"/>
  <c r="D88" i="43"/>
  <c r="E88" i="43"/>
  <c r="F88" i="43"/>
  <c r="B89" i="43"/>
  <c r="C89" i="43"/>
  <c r="D89" i="43"/>
  <c r="E89" i="43"/>
  <c r="F89" i="43"/>
  <c r="B90" i="43"/>
  <c r="C90" i="43"/>
  <c r="D90" i="43"/>
  <c r="E90" i="43"/>
  <c r="F90" i="43"/>
  <c r="B91" i="43"/>
  <c r="C91" i="43"/>
  <c r="D91" i="43"/>
  <c r="E91" i="43"/>
  <c r="F91" i="43"/>
  <c r="B92" i="43"/>
  <c r="C92" i="43"/>
  <c r="D92" i="43"/>
  <c r="E92" i="43"/>
  <c r="F92" i="43"/>
  <c r="B93" i="43"/>
  <c r="C93" i="43"/>
  <c r="D93" i="43"/>
  <c r="E93" i="43"/>
  <c r="F93" i="43"/>
  <c r="B94" i="43"/>
  <c r="C94" i="43"/>
  <c r="D94" i="43"/>
  <c r="E94" i="43"/>
  <c r="F94" i="43"/>
  <c r="B95" i="43"/>
  <c r="C95" i="43"/>
  <c r="D95" i="43"/>
  <c r="E95" i="43"/>
  <c r="F95" i="43"/>
  <c r="B96" i="43"/>
  <c r="C96" i="43"/>
  <c r="D96" i="43"/>
  <c r="E96" i="43"/>
  <c r="F96" i="43"/>
  <c r="B97" i="43"/>
  <c r="C97" i="43"/>
  <c r="D97" i="43"/>
  <c r="E97" i="43"/>
  <c r="F97" i="43"/>
  <c r="B98" i="43"/>
  <c r="C98" i="43"/>
  <c r="D98" i="43"/>
  <c r="E98" i="43"/>
  <c r="F98" i="43"/>
  <c r="B99" i="43"/>
  <c r="C99" i="43"/>
  <c r="D99" i="43"/>
  <c r="E99" i="43"/>
  <c r="F99" i="43"/>
  <c r="B100" i="43"/>
  <c r="C100" i="43"/>
  <c r="D100" i="43"/>
  <c r="E100" i="43"/>
  <c r="F100" i="43"/>
  <c r="B101" i="43"/>
  <c r="C101" i="43"/>
  <c r="D101" i="43"/>
  <c r="E101" i="43"/>
  <c r="F101" i="43"/>
  <c r="B102" i="43"/>
  <c r="C102" i="43"/>
  <c r="D102" i="43"/>
  <c r="E102" i="43"/>
  <c r="F102" i="43"/>
  <c r="B103" i="43"/>
  <c r="C103" i="43"/>
  <c r="D103" i="43"/>
  <c r="E103" i="43"/>
  <c r="F103" i="43"/>
  <c r="B104" i="43"/>
  <c r="C104" i="43"/>
  <c r="D104" i="43"/>
  <c r="E104" i="43"/>
  <c r="F104" i="43"/>
  <c r="B105" i="43"/>
  <c r="C105" i="43"/>
  <c r="D105" i="43"/>
  <c r="E105" i="43"/>
  <c r="F105" i="43"/>
  <c r="B106" i="43"/>
  <c r="C106" i="43"/>
  <c r="D106" i="43"/>
  <c r="E106" i="43"/>
  <c r="F106" i="43"/>
  <c r="B107" i="43"/>
  <c r="C107" i="43"/>
  <c r="D107" i="43"/>
  <c r="E107" i="43"/>
  <c r="F107" i="43"/>
  <c r="B108" i="43"/>
  <c r="C108" i="43"/>
  <c r="D108" i="43"/>
  <c r="E108" i="43"/>
  <c r="F108" i="43"/>
  <c r="B109" i="43"/>
  <c r="C109" i="43"/>
  <c r="D109" i="43"/>
  <c r="E109" i="43"/>
  <c r="F109" i="43"/>
  <c r="B110" i="43"/>
  <c r="C110" i="43"/>
  <c r="D110" i="43"/>
  <c r="E110" i="43"/>
  <c r="F110" i="43"/>
  <c r="B111" i="43"/>
  <c r="C111" i="43"/>
  <c r="D111" i="43"/>
  <c r="E111" i="43"/>
  <c r="F111" i="43"/>
  <c r="B112" i="43"/>
  <c r="C112" i="43"/>
  <c r="D112" i="43"/>
  <c r="E112" i="43"/>
  <c r="F112" i="43"/>
  <c r="B113" i="43"/>
  <c r="C113" i="43"/>
  <c r="D113" i="43"/>
  <c r="E113" i="43"/>
  <c r="F113" i="43"/>
  <c r="B114" i="43"/>
  <c r="C114" i="43"/>
  <c r="D114" i="43"/>
  <c r="E114" i="43"/>
  <c r="F114" i="43"/>
  <c r="B115" i="43"/>
  <c r="C115" i="43"/>
  <c r="D115" i="43"/>
  <c r="E115" i="43"/>
  <c r="F115" i="43"/>
  <c r="B116" i="43"/>
  <c r="C116" i="43"/>
  <c r="D116" i="43"/>
  <c r="E116" i="43"/>
  <c r="F116" i="43"/>
  <c r="B117" i="43"/>
  <c r="C117" i="43"/>
  <c r="D117" i="43"/>
  <c r="E117" i="43"/>
  <c r="F117" i="43"/>
  <c r="B118" i="43"/>
  <c r="C118" i="43"/>
  <c r="D118" i="43"/>
  <c r="E118" i="43"/>
  <c r="F118" i="43"/>
  <c r="B119" i="43"/>
  <c r="C119" i="43"/>
  <c r="D119" i="43"/>
  <c r="E119" i="43"/>
  <c r="F119" i="43"/>
  <c r="B120" i="43"/>
  <c r="C120" i="43"/>
  <c r="D120" i="43"/>
  <c r="E120" i="43"/>
  <c r="F120" i="43"/>
  <c r="B121" i="43"/>
  <c r="C121" i="43"/>
  <c r="D121" i="43"/>
  <c r="E121" i="43"/>
  <c r="F121" i="43"/>
  <c r="B122" i="43"/>
  <c r="C122" i="43"/>
  <c r="D122" i="43"/>
  <c r="E122" i="43"/>
  <c r="F122" i="43"/>
  <c r="B123" i="43"/>
  <c r="C123" i="43"/>
  <c r="D123" i="43"/>
  <c r="E123" i="43"/>
  <c r="F123" i="43"/>
  <c r="B124" i="43"/>
  <c r="C124" i="43"/>
  <c r="D124" i="43"/>
  <c r="E124" i="43"/>
  <c r="F124" i="43"/>
  <c r="B125" i="43"/>
  <c r="C125" i="43"/>
  <c r="D125" i="43"/>
  <c r="E125" i="43"/>
  <c r="F125" i="43"/>
  <c r="B126" i="43"/>
  <c r="C126" i="43"/>
  <c r="D126" i="43"/>
  <c r="E126" i="43"/>
  <c r="F126" i="43"/>
  <c r="B127" i="43"/>
  <c r="C127" i="43"/>
  <c r="D127" i="43"/>
  <c r="E127" i="43"/>
  <c r="F127" i="43"/>
  <c r="B128" i="43"/>
  <c r="C128" i="43"/>
  <c r="D128" i="43"/>
  <c r="E128" i="43"/>
  <c r="F128" i="43"/>
  <c r="B129" i="43"/>
  <c r="C129" i="43"/>
  <c r="D129" i="43"/>
  <c r="E129" i="43"/>
  <c r="F129" i="43"/>
  <c r="B130" i="43"/>
  <c r="C130" i="43"/>
  <c r="D130" i="43"/>
  <c r="E130" i="43"/>
  <c r="F130" i="43"/>
  <c r="B131" i="43"/>
  <c r="C131" i="43"/>
  <c r="D131" i="43"/>
  <c r="E131" i="43"/>
  <c r="F131" i="43"/>
  <c r="B132" i="43"/>
  <c r="C132" i="43"/>
  <c r="D132" i="43"/>
  <c r="E132" i="43"/>
  <c r="F132" i="43"/>
  <c r="B133" i="43"/>
  <c r="C133" i="43"/>
  <c r="D133" i="43"/>
  <c r="E133" i="43"/>
  <c r="F133" i="43"/>
  <c r="B134" i="43"/>
  <c r="C134" i="43"/>
  <c r="D134" i="43"/>
  <c r="E134" i="43"/>
  <c r="F134" i="43"/>
  <c r="B135" i="43"/>
  <c r="C135" i="43"/>
  <c r="D135" i="43"/>
  <c r="E135" i="43"/>
  <c r="F135" i="43"/>
  <c r="B136" i="43"/>
  <c r="C136" i="43"/>
  <c r="D136" i="43"/>
  <c r="E136" i="43"/>
  <c r="F136" i="43"/>
  <c r="B137" i="43"/>
  <c r="C137" i="43"/>
  <c r="D137" i="43"/>
  <c r="E137" i="43"/>
  <c r="F137" i="43"/>
  <c r="B138" i="43"/>
  <c r="C138" i="43"/>
  <c r="D138" i="43"/>
  <c r="E138" i="43"/>
  <c r="F138" i="43"/>
  <c r="B139" i="43"/>
  <c r="C139" i="43"/>
  <c r="D139" i="43"/>
  <c r="E139" i="43"/>
  <c r="F139" i="43"/>
  <c r="B140" i="43"/>
  <c r="C140" i="43"/>
  <c r="D140" i="43"/>
  <c r="E140" i="43"/>
  <c r="F140" i="43"/>
  <c r="B141" i="43"/>
  <c r="C141" i="43"/>
  <c r="D141" i="43"/>
  <c r="E141" i="43"/>
  <c r="F141" i="43"/>
  <c r="B142" i="43"/>
  <c r="C142" i="43"/>
  <c r="D142" i="43"/>
  <c r="E142" i="43"/>
  <c r="F142" i="43"/>
  <c r="B143" i="43"/>
  <c r="C143" i="43"/>
  <c r="D143" i="43"/>
  <c r="E143" i="43"/>
  <c r="F143" i="43"/>
  <c r="B144" i="43"/>
  <c r="C144" i="43"/>
  <c r="D144" i="43"/>
  <c r="E144" i="43"/>
  <c r="F144" i="43"/>
  <c r="B145" i="43"/>
  <c r="C145" i="43"/>
  <c r="D145" i="43"/>
  <c r="E145" i="43"/>
  <c r="F145" i="43"/>
  <c r="B146" i="43"/>
  <c r="C146" i="43"/>
  <c r="D146" i="43"/>
  <c r="E146" i="43"/>
  <c r="F146" i="43"/>
  <c r="B147" i="43"/>
  <c r="C147" i="43"/>
  <c r="D147" i="43"/>
  <c r="E147" i="43"/>
  <c r="F147" i="43"/>
  <c r="B148" i="43"/>
  <c r="C148" i="43"/>
  <c r="D148" i="43"/>
  <c r="E148" i="43"/>
  <c r="F148" i="43"/>
  <c r="B149" i="43"/>
  <c r="C149" i="43"/>
  <c r="D149" i="43"/>
  <c r="E149" i="43"/>
  <c r="F149" i="43"/>
  <c r="B150" i="43"/>
  <c r="C150" i="43"/>
  <c r="D150" i="43"/>
  <c r="E150" i="43"/>
  <c r="F150" i="43"/>
  <c r="B151" i="43"/>
  <c r="C151" i="43"/>
  <c r="D151" i="43"/>
  <c r="E151" i="43"/>
  <c r="F151" i="43"/>
  <c r="B152" i="43"/>
  <c r="C152" i="43"/>
  <c r="D152" i="43"/>
  <c r="E152" i="43"/>
  <c r="F152" i="43"/>
  <c r="B153" i="43"/>
  <c r="C153" i="43"/>
  <c r="D153" i="43"/>
  <c r="E153" i="43"/>
  <c r="F153" i="43"/>
  <c r="S23" i="32" l="1"/>
  <c r="S19" i="32"/>
  <c r="S20" i="32"/>
  <c r="S18" i="32"/>
  <c r="G2" i="32"/>
  <c r="G3" i="32"/>
  <c r="G4" i="32"/>
  <c r="G5" i="32"/>
  <c r="G6" i="32"/>
  <c r="G7" i="32"/>
  <c r="G8" i="32"/>
  <c r="G9" i="32"/>
  <c r="G10" i="32"/>
  <c r="G11" i="32"/>
  <c r="S13" i="32"/>
  <c r="S12" i="32"/>
  <c r="S11" i="32"/>
  <c r="S10" i="32"/>
  <c r="S9" i="32"/>
  <c r="S8" i="32"/>
  <c r="S7" i="32"/>
  <c r="S6" i="32"/>
  <c r="S5" i="32"/>
  <c r="S4" i="32"/>
  <c r="S3" i="32"/>
  <c r="S2" i="32"/>
  <c r="G18" i="47" l="1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AM11" i="42" l="1"/>
  <c r="W11" i="42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R10" i="32" l="1"/>
  <c r="R11" i="32"/>
  <c r="R12" i="32"/>
  <c r="R3" i="32"/>
  <c r="R4" i="32"/>
  <c r="R2" i="32"/>
  <c r="G6" i="19"/>
  <c r="V14" i="3"/>
  <c r="R17" i="32"/>
  <c r="S17" i="32"/>
  <c r="R23" i="32"/>
  <c r="S22" i="32"/>
  <c r="R20" i="32"/>
  <c r="R19" i="32"/>
  <c r="R18" i="32"/>
  <c r="R9" i="32"/>
  <c r="R8" i="32"/>
  <c r="R7" i="32"/>
  <c r="R6" i="32"/>
  <c r="R5" i="32"/>
  <c r="Z4" i="1" l="1"/>
  <c r="P3" i="47"/>
  <c r="Q3" i="47"/>
  <c r="P4" i="47"/>
  <c r="Q4" i="47"/>
  <c r="P5" i="47"/>
  <c r="Q5" i="47"/>
  <c r="P6" i="47"/>
  <c r="Q6" i="47"/>
  <c r="P7" i="47"/>
  <c r="Q7" i="47"/>
  <c r="P8" i="47"/>
  <c r="Q8" i="47"/>
  <c r="P9" i="47"/>
  <c r="Q9" i="47"/>
  <c r="P10" i="47"/>
  <c r="Q10" i="47"/>
  <c r="P11" i="47"/>
  <c r="Q11" i="47"/>
  <c r="P12" i="47"/>
  <c r="Q12" i="47"/>
  <c r="P13" i="47"/>
  <c r="Q13" i="47"/>
  <c r="P14" i="47"/>
  <c r="Q14" i="47"/>
  <c r="P15" i="47"/>
  <c r="Q15" i="47"/>
  <c r="P16" i="47"/>
  <c r="Q16" i="47"/>
  <c r="P17" i="47"/>
  <c r="Q17" i="47"/>
  <c r="P18" i="47"/>
  <c r="Q18" i="47"/>
  <c r="Q2" i="47"/>
  <c r="P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2" i="47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X30" i="1" s="1"/>
  <c r="H127" i="41"/>
  <c r="X31" i="1" s="1"/>
  <c r="H128" i="41"/>
  <c r="X32" i="1" s="1"/>
  <c r="H129" i="41"/>
  <c r="X33" i="1" s="1"/>
  <c r="H130" i="41"/>
  <c r="H131" i="41"/>
  <c r="H132" i="41"/>
  <c r="H133" i="41"/>
  <c r="H134" i="41"/>
  <c r="H135" i="41"/>
  <c r="H136" i="41"/>
  <c r="H137" i="41"/>
  <c r="H138" i="41"/>
  <c r="H139" i="41"/>
  <c r="X5" i="1" s="1"/>
  <c r="H140" i="41"/>
  <c r="X6" i="1" s="1"/>
  <c r="H141" i="41"/>
  <c r="X7" i="1" s="1"/>
  <c r="H142" i="41"/>
  <c r="X8" i="1" s="1"/>
  <c r="H143" i="41"/>
  <c r="X9" i="1" s="1"/>
  <c r="H144" i="41"/>
  <c r="X10" i="1" s="1"/>
  <c r="H145" i="41"/>
  <c r="X138" i="1" s="1"/>
  <c r="H146" i="41"/>
  <c r="X11" i="1" s="1"/>
  <c r="H147" i="41"/>
  <c r="X12" i="1" s="1"/>
  <c r="H148" i="41"/>
  <c r="X13" i="1" s="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30" i="41"/>
  <c r="H24" i="41"/>
  <c r="H23" i="41"/>
  <c r="H22" i="41"/>
  <c r="H21" i="41"/>
  <c r="H6" i="41"/>
  <c r="H7" i="41"/>
  <c r="H8" i="41"/>
  <c r="H9" i="41"/>
  <c r="H10" i="41"/>
  <c r="H11" i="41"/>
  <c r="H12" i="41"/>
  <c r="H13" i="41"/>
  <c r="H15" i="41"/>
  <c r="H5" i="41"/>
  <c r="P4" i="1"/>
  <c r="X50" i="1" l="1"/>
  <c r="X86" i="1"/>
  <c r="X117" i="1"/>
  <c r="X78" i="1"/>
  <c r="X76" i="1"/>
  <c r="X115" i="1"/>
  <c r="X74" i="1"/>
  <c r="X123" i="1"/>
  <c r="X36" i="1"/>
  <c r="X62" i="1"/>
  <c r="X48" i="1"/>
  <c r="X127" i="1"/>
  <c r="X77" i="1"/>
  <c r="X91" i="1"/>
  <c r="X104" i="1"/>
  <c r="X87" i="1"/>
  <c r="X100" i="1"/>
  <c r="X113" i="1"/>
  <c r="X133" i="1"/>
  <c r="X99" i="1"/>
  <c r="X121" i="1"/>
  <c r="X131" i="1"/>
  <c r="X68" i="1"/>
  <c r="X94" i="1"/>
  <c r="X54" i="1"/>
  <c r="X79" i="1"/>
  <c r="X92" i="1"/>
  <c r="X105" i="1"/>
  <c r="X73" i="1"/>
  <c r="X122" i="1"/>
  <c r="X97" i="1"/>
  <c r="X109" i="1"/>
  <c r="X57" i="1"/>
  <c r="X81" i="1"/>
  <c r="X107" i="1"/>
  <c r="X45" i="1"/>
  <c r="X44" i="1"/>
  <c r="X56" i="1"/>
  <c r="X67" i="1"/>
  <c r="X39" i="1"/>
  <c r="X89" i="1"/>
  <c r="X102" i="1"/>
  <c r="X135" i="1"/>
  <c r="X132" i="1"/>
  <c r="X72" i="1"/>
  <c r="X126" i="1"/>
  <c r="X84" i="1"/>
  <c r="X110" i="1"/>
  <c r="X120" i="1"/>
  <c r="X59" i="1"/>
  <c r="X70" i="1"/>
  <c r="X128" i="1"/>
  <c r="X41" i="1"/>
  <c r="X53" i="1"/>
  <c r="X17" i="1"/>
  <c r="X65" i="1"/>
  <c r="X125" i="1"/>
  <c r="X38" i="1"/>
  <c r="X52" i="1"/>
  <c r="X64" i="1"/>
  <c r="X75" i="1"/>
  <c r="X88" i="1"/>
  <c r="X101" i="1"/>
  <c r="X114" i="1"/>
  <c r="X124" i="1"/>
  <c r="X134" i="1"/>
  <c r="X37" i="1"/>
  <c r="X51" i="1"/>
  <c r="X63" i="1"/>
  <c r="X112" i="1"/>
  <c r="X49" i="1"/>
  <c r="X85" i="1"/>
  <c r="X98" i="1"/>
  <c r="X111" i="1"/>
  <c r="X35" i="1"/>
  <c r="X61" i="1"/>
  <c r="X34" i="1"/>
  <c r="X60" i="1"/>
  <c r="X71" i="1"/>
  <c r="X130" i="1"/>
  <c r="X83" i="1"/>
  <c r="X96" i="1"/>
  <c r="X119" i="1"/>
  <c r="X129" i="1"/>
  <c r="X46" i="1"/>
  <c r="X58" i="1"/>
  <c r="X69" i="1"/>
  <c r="X82" i="1"/>
  <c r="X95" i="1"/>
  <c r="X108" i="1"/>
  <c r="X118" i="1"/>
  <c r="X80" i="1"/>
  <c r="X93" i="1"/>
  <c r="X106" i="1"/>
  <c r="X116" i="1"/>
  <c r="X137" i="1"/>
  <c r="X47" i="1"/>
  <c r="X16" i="1"/>
  <c r="X43" i="1"/>
  <c r="X15" i="1"/>
  <c r="X66" i="1"/>
  <c r="X40" i="1"/>
  <c r="X55" i="1"/>
  <c r="X42" i="1"/>
  <c r="X14" i="1"/>
  <c r="X90" i="1"/>
  <c r="X103" i="1"/>
  <c r="X136" i="1"/>
  <c r="R9" i="47"/>
  <c r="S9" i="47" s="1"/>
  <c r="Z25" i="1" s="1"/>
  <c r="R5" i="47"/>
  <c r="S5" i="47" s="1"/>
  <c r="Z21" i="1" s="1"/>
  <c r="R17" i="47"/>
  <c r="S17" i="47" s="1"/>
  <c r="Z33" i="1" s="1"/>
  <c r="R11" i="47"/>
  <c r="S11" i="47" s="1"/>
  <c r="Z27" i="1" s="1"/>
  <c r="R18" i="47"/>
  <c r="S18" i="47" s="1"/>
  <c r="R12" i="47"/>
  <c r="S12" i="47" s="1"/>
  <c r="Z28" i="1" s="1"/>
  <c r="R6" i="47"/>
  <c r="S6" i="47" s="1"/>
  <c r="Z22" i="1" s="1"/>
  <c r="R2" i="47"/>
  <c r="S2" i="47" s="1"/>
  <c r="Z18" i="1" s="1"/>
  <c r="R13" i="47"/>
  <c r="S13" i="47" s="1"/>
  <c r="Z29" i="1" s="1"/>
  <c r="R7" i="47"/>
  <c r="S7" i="47" s="1"/>
  <c r="Z23" i="1" s="1"/>
  <c r="R16" i="47"/>
  <c r="S16" i="47" s="1"/>
  <c r="Z32" i="1" s="1"/>
  <c r="R10" i="47"/>
  <c r="S10" i="47" s="1"/>
  <c r="Z26" i="1" s="1"/>
  <c r="R4" i="47"/>
  <c r="S4" i="47" s="1"/>
  <c r="Z20" i="1" s="1"/>
  <c r="R8" i="47"/>
  <c r="S8" i="47" s="1"/>
  <c r="Z24" i="1" s="1"/>
  <c r="R15" i="47"/>
  <c r="S15" i="47" s="1"/>
  <c r="Z31" i="1" s="1"/>
  <c r="R14" i="47"/>
  <c r="S14" i="47" s="1"/>
  <c r="Z30" i="1" s="1"/>
  <c r="R3" i="47"/>
  <c r="S3" i="47" s="1"/>
  <c r="Z19" i="1" s="1"/>
  <c r="Q23" i="47"/>
  <c r="P23" i="47"/>
  <c r="R23" i="47" l="1"/>
  <c r="S27" i="32" s="1"/>
  <c r="S23" i="47" l="1"/>
  <c r="R27" i="32" s="1"/>
  <c r="AL14" i="3" s="1"/>
  <c r="G6" i="35"/>
  <c r="G12" i="32" l="1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Q23" i="32"/>
  <c r="P23" i="32"/>
  <c r="O23" i="32"/>
  <c r="N23" i="32"/>
  <c r="M23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Q2" i="32"/>
  <c r="P2" i="32"/>
  <c r="O2" i="32"/>
  <c r="N2" i="32"/>
  <c r="M2" i="32"/>
  <c r="A3" i="30" l="1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B2" i="30"/>
  <c r="A2" i="30"/>
  <c r="M5" i="3" l="1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G5" i="3"/>
  <c r="AP5" i="3"/>
  <c r="AR5" i="3"/>
  <c r="M6" i="3"/>
  <c r="N6" i="3"/>
  <c r="O6" i="3"/>
  <c r="P6" i="3"/>
  <c r="Q6" i="3"/>
  <c r="R6" i="3"/>
  <c r="S6" i="3"/>
  <c r="U6" i="3"/>
  <c r="V6" i="3"/>
  <c r="W6" i="3"/>
  <c r="X6" i="3"/>
  <c r="Y6" i="3"/>
  <c r="Z6" i="3"/>
  <c r="AA6" i="3"/>
  <c r="AB6" i="3"/>
  <c r="AG6" i="3"/>
  <c r="AP6" i="3"/>
  <c r="AR6" i="3"/>
  <c r="M7" i="3"/>
  <c r="N7" i="3"/>
  <c r="O7" i="3"/>
  <c r="P7" i="3"/>
  <c r="Q7" i="3"/>
  <c r="R7" i="3"/>
  <c r="S7" i="3"/>
  <c r="U7" i="3"/>
  <c r="V7" i="3"/>
  <c r="W7" i="3"/>
  <c r="X7" i="3"/>
  <c r="Y7" i="3"/>
  <c r="Z7" i="3"/>
  <c r="AA7" i="3"/>
  <c r="AB7" i="3"/>
  <c r="AG7" i="3"/>
  <c r="AP7" i="3"/>
  <c r="M8" i="3"/>
  <c r="N8" i="3"/>
  <c r="O8" i="3"/>
  <c r="P8" i="3"/>
  <c r="Q8" i="3"/>
  <c r="R8" i="3"/>
  <c r="S8" i="3"/>
  <c r="U8" i="3"/>
  <c r="V8" i="3"/>
  <c r="W8" i="3"/>
  <c r="X8" i="3"/>
  <c r="Y8" i="3"/>
  <c r="Z8" i="3"/>
  <c r="AA8" i="3"/>
  <c r="AB8" i="3"/>
  <c r="AG8" i="3"/>
  <c r="AP8" i="3"/>
  <c r="M9" i="3"/>
  <c r="N9" i="3"/>
  <c r="O9" i="3"/>
  <c r="P9" i="3"/>
  <c r="Q9" i="3"/>
  <c r="R9" i="3"/>
  <c r="S9" i="3"/>
  <c r="U9" i="3"/>
  <c r="V9" i="3"/>
  <c r="W9" i="3"/>
  <c r="X9" i="3"/>
  <c r="Y9" i="3"/>
  <c r="Z9" i="3"/>
  <c r="AA9" i="3"/>
  <c r="AB9" i="3"/>
  <c r="AG9" i="3"/>
  <c r="AP9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AA10" i="3"/>
  <c r="AB10" i="3"/>
  <c r="AG10" i="3"/>
  <c r="AP10" i="3"/>
  <c r="AR10" i="3"/>
  <c r="M11" i="3"/>
  <c r="N11" i="3"/>
  <c r="O11" i="3"/>
  <c r="P11" i="3"/>
  <c r="Q11" i="3"/>
  <c r="R11" i="3"/>
  <c r="S11" i="3"/>
  <c r="U11" i="3"/>
  <c r="V11" i="3"/>
  <c r="W11" i="3"/>
  <c r="X11" i="3"/>
  <c r="Y11" i="3"/>
  <c r="Z11" i="3"/>
  <c r="AA11" i="3"/>
  <c r="AB11" i="3"/>
  <c r="AG11" i="3"/>
  <c r="AP11" i="3"/>
  <c r="AR11" i="3"/>
  <c r="M12" i="3"/>
  <c r="N12" i="3"/>
  <c r="O12" i="3"/>
  <c r="P12" i="3"/>
  <c r="Q12" i="3"/>
  <c r="R12" i="3"/>
  <c r="S12" i="3"/>
  <c r="U12" i="3"/>
  <c r="V12" i="3"/>
  <c r="W12" i="3"/>
  <c r="X12" i="3"/>
  <c r="Y12" i="3"/>
  <c r="Z12" i="3"/>
  <c r="AA12" i="3"/>
  <c r="AB12" i="3"/>
  <c r="AG12" i="3"/>
  <c r="AP12" i="3"/>
  <c r="AQ12" i="3"/>
  <c r="AR12" i="3"/>
  <c r="M13" i="3"/>
  <c r="N13" i="3"/>
  <c r="O13" i="3"/>
  <c r="P13" i="3"/>
  <c r="Q13" i="3"/>
  <c r="R13" i="3"/>
  <c r="S13" i="3"/>
  <c r="U13" i="3"/>
  <c r="V13" i="3"/>
  <c r="W13" i="3"/>
  <c r="X13" i="3"/>
  <c r="Y13" i="3"/>
  <c r="Z13" i="3"/>
  <c r="AA13" i="3"/>
  <c r="AB13" i="3"/>
  <c r="AG13" i="3"/>
  <c r="AP13" i="3"/>
  <c r="AQ13" i="3"/>
  <c r="AR13" i="3"/>
  <c r="M14" i="3"/>
  <c r="N14" i="3"/>
  <c r="O14" i="3"/>
  <c r="P14" i="3"/>
  <c r="Q14" i="3"/>
  <c r="R14" i="3"/>
  <c r="S14" i="3"/>
  <c r="U14" i="3"/>
  <c r="X14" i="3"/>
  <c r="Y14" i="3"/>
  <c r="Z14" i="3"/>
  <c r="AA14" i="3"/>
  <c r="AB14" i="3"/>
  <c r="AF14" i="3"/>
  <c r="AP14" i="3"/>
  <c r="AR14" i="3"/>
  <c r="M15" i="3"/>
  <c r="N15" i="3"/>
  <c r="O15" i="3"/>
  <c r="P15" i="3"/>
  <c r="Q15" i="3"/>
  <c r="R15" i="3"/>
  <c r="S15" i="3"/>
  <c r="U15" i="3"/>
  <c r="V15" i="3"/>
  <c r="W15" i="3"/>
  <c r="X15" i="3"/>
  <c r="Y15" i="3"/>
  <c r="Z15" i="3"/>
  <c r="AA15" i="3"/>
  <c r="AB15" i="3"/>
  <c r="AG15" i="3"/>
  <c r="AP15" i="3"/>
  <c r="H44" i="42" l="1"/>
  <c r="AJ3" i="42" s="1"/>
  <c r="G5" i="35" l="1"/>
  <c r="AC15" i="30" l="1"/>
  <c r="AC14" i="30"/>
  <c r="AC13" i="30"/>
  <c r="AE6" i="30"/>
  <c r="AE7" i="30"/>
  <c r="AE5" i="30"/>
  <c r="AE4" i="30"/>
  <c r="T11" i="42" l="1"/>
  <c r="F6" i="35"/>
  <c r="G4" i="35" l="1"/>
  <c r="G2" i="19"/>
  <c r="Y4" i="1" l="1"/>
  <c r="AN4" i="1"/>
  <c r="AM4" i="1" l="1"/>
  <c r="K14" i="44"/>
  <c r="K13" i="44"/>
  <c r="K12" i="44"/>
  <c r="K11" i="44"/>
  <c r="K10" i="44"/>
  <c r="K9" i="44"/>
  <c r="K8" i="44"/>
  <c r="K7" i="44"/>
  <c r="D24" i="44" l="1"/>
  <c r="C24" i="44"/>
  <c r="E24" i="44" l="1"/>
  <c r="F12" i="44" s="1"/>
  <c r="K26" i="43"/>
  <c r="G50" i="43"/>
  <c r="P50" i="43" s="1"/>
  <c r="K50" i="43"/>
  <c r="G55" i="43"/>
  <c r="P55" i="43" s="1"/>
  <c r="K74" i="43"/>
  <c r="G80" i="43"/>
  <c r="P80" i="43" s="1"/>
  <c r="K98" i="43"/>
  <c r="K122" i="43"/>
  <c r="L142" i="43"/>
  <c r="L143" i="43"/>
  <c r="F4" i="43"/>
  <c r="E4" i="43"/>
  <c r="D4" i="43"/>
  <c r="C4" i="43"/>
  <c r="B4" i="43"/>
  <c r="A4" i="43"/>
  <c r="F14" i="44" l="1"/>
  <c r="F8" i="44"/>
  <c r="F11" i="44"/>
  <c r="F13" i="44"/>
  <c r="F7" i="44"/>
  <c r="F10" i="44"/>
  <c r="F9" i="44"/>
  <c r="M68" i="43"/>
  <c r="U68" i="43" s="1"/>
  <c r="M20" i="43"/>
  <c r="U20" i="43" s="1"/>
  <c r="H127" i="43"/>
  <c r="Q127" i="43" s="1"/>
  <c r="N77" i="43"/>
  <c r="V77" i="43" s="1"/>
  <c r="N65" i="43"/>
  <c r="V65" i="43" s="1"/>
  <c r="N5" i="43"/>
  <c r="V5" i="43" s="1"/>
  <c r="H126" i="43"/>
  <c r="Q126" i="43" s="1"/>
  <c r="N112" i="43"/>
  <c r="N40" i="43"/>
  <c r="V40" i="43" s="1"/>
  <c r="O109" i="43"/>
  <c r="O97" i="43"/>
  <c r="O85" i="43"/>
  <c r="M49" i="43"/>
  <c r="U49" i="43" s="1"/>
  <c r="O37" i="43"/>
  <c r="O25" i="43"/>
  <c r="O13" i="43"/>
  <c r="H125" i="43"/>
  <c r="Q125" i="43" s="1"/>
  <c r="H129" i="43"/>
  <c r="Q129" i="43" s="1"/>
  <c r="H128" i="43"/>
  <c r="Q128" i="43" s="1"/>
  <c r="M9" i="43"/>
  <c r="U9" i="43" s="1"/>
  <c r="N101" i="43"/>
  <c r="V101" i="43" s="1"/>
  <c r="L98" i="43"/>
  <c r="T98" i="43" s="1"/>
  <c r="N29" i="43"/>
  <c r="V29" i="43" s="1"/>
  <c r="L74" i="43"/>
  <c r="O121" i="43"/>
  <c r="O60" i="43"/>
  <c r="L50" i="43"/>
  <c r="T50" i="43" s="1"/>
  <c r="O49" i="43"/>
  <c r="M117" i="43"/>
  <c r="U117" i="43" s="1"/>
  <c r="M69" i="43"/>
  <c r="N153" i="43"/>
  <c r="V153" i="43" s="1"/>
  <c r="O153" i="43"/>
  <c r="M153" i="43"/>
  <c r="U153" i="43" s="1"/>
  <c r="N151" i="43"/>
  <c r="O151" i="43"/>
  <c r="M151" i="43"/>
  <c r="U151" i="43" s="1"/>
  <c r="O149" i="43"/>
  <c r="M149" i="43"/>
  <c r="U149" i="43" s="1"/>
  <c r="N149" i="43"/>
  <c r="V149" i="43" s="1"/>
  <c r="O147" i="43"/>
  <c r="M147" i="43"/>
  <c r="U147" i="43" s="1"/>
  <c r="N147" i="43"/>
  <c r="V147" i="43" s="1"/>
  <c r="N145" i="43"/>
  <c r="V145" i="43" s="1"/>
  <c r="O145" i="43"/>
  <c r="M145" i="43"/>
  <c r="U145" i="43" s="1"/>
  <c r="M143" i="43"/>
  <c r="U143" i="43" s="1"/>
  <c r="N143" i="43"/>
  <c r="V143" i="43" s="1"/>
  <c r="O143" i="43"/>
  <c r="N141" i="43"/>
  <c r="V141" i="43" s="1"/>
  <c r="O141" i="43"/>
  <c r="M141" i="43"/>
  <c r="U141" i="43" s="1"/>
  <c r="N139" i="43"/>
  <c r="V139" i="43" s="1"/>
  <c r="O139" i="43"/>
  <c r="M139" i="43"/>
  <c r="U139" i="43" s="1"/>
  <c r="I139" i="43"/>
  <c r="R139" i="43" s="1"/>
  <c r="O137" i="43"/>
  <c r="M137" i="43"/>
  <c r="N137" i="43"/>
  <c r="V137" i="43" s="1"/>
  <c r="O135" i="43"/>
  <c r="M135" i="43"/>
  <c r="U135" i="43" s="1"/>
  <c r="N135" i="43"/>
  <c r="V135" i="43" s="1"/>
  <c r="N133" i="43"/>
  <c r="V133" i="43" s="1"/>
  <c r="M133" i="43"/>
  <c r="U133" i="43" s="1"/>
  <c r="O133" i="43"/>
  <c r="M131" i="43"/>
  <c r="N131" i="43"/>
  <c r="V131" i="43" s="1"/>
  <c r="O131" i="43"/>
  <c r="N129" i="43"/>
  <c r="V129" i="43" s="1"/>
  <c r="O129" i="43"/>
  <c r="M129" i="43"/>
  <c r="U129" i="43" s="1"/>
  <c r="L4" i="43"/>
  <c r="K4" i="43"/>
  <c r="K128" i="43"/>
  <c r="L128" i="43"/>
  <c r="K120" i="43"/>
  <c r="L120" i="43"/>
  <c r="K110" i="43"/>
  <c r="L110" i="43"/>
  <c r="K104" i="43"/>
  <c r="L104" i="43"/>
  <c r="K94" i="43"/>
  <c r="L94" i="43"/>
  <c r="K88" i="43"/>
  <c r="L88" i="43"/>
  <c r="K86" i="43"/>
  <c r="L86" i="43"/>
  <c r="K76" i="43"/>
  <c r="L76" i="43"/>
  <c r="K72" i="43"/>
  <c r="L72" i="43"/>
  <c r="K64" i="43"/>
  <c r="L64" i="43"/>
  <c r="K62" i="43"/>
  <c r="L62" i="43"/>
  <c r="K60" i="43"/>
  <c r="L60" i="43"/>
  <c r="K58" i="43"/>
  <c r="L58" i="43"/>
  <c r="K56" i="43"/>
  <c r="L56" i="43"/>
  <c r="K46" i="43"/>
  <c r="L46" i="43"/>
  <c r="K44" i="43"/>
  <c r="L44" i="43"/>
  <c r="K40" i="43"/>
  <c r="L40" i="43"/>
  <c r="K38" i="43"/>
  <c r="L38" i="43"/>
  <c r="K36" i="43"/>
  <c r="L36" i="43"/>
  <c r="K34" i="43"/>
  <c r="L34" i="43"/>
  <c r="K32" i="43"/>
  <c r="L32" i="43"/>
  <c r="K30" i="43"/>
  <c r="L30" i="43"/>
  <c r="K28" i="43"/>
  <c r="L28" i="43"/>
  <c r="K24" i="43"/>
  <c r="L24" i="43"/>
  <c r="K22" i="43"/>
  <c r="L22" i="43"/>
  <c r="K20" i="43"/>
  <c r="L20" i="43"/>
  <c r="K18" i="43"/>
  <c r="L18" i="43"/>
  <c r="K16" i="43"/>
  <c r="L16" i="43"/>
  <c r="K14" i="43"/>
  <c r="L14" i="43"/>
  <c r="K12" i="43"/>
  <c r="L12" i="43"/>
  <c r="K10" i="43"/>
  <c r="L10" i="43"/>
  <c r="K8" i="43"/>
  <c r="L8" i="43"/>
  <c r="K6" i="43"/>
  <c r="L6" i="43"/>
  <c r="K152" i="43"/>
  <c r="L152" i="43"/>
  <c r="K144" i="43"/>
  <c r="L144" i="43"/>
  <c r="K130" i="43"/>
  <c r="L130" i="43"/>
  <c r="K112" i="43"/>
  <c r="L112" i="43"/>
  <c r="K96" i="43"/>
  <c r="L96" i="43"/>
  <c r="K78" i="43"/>
  <c r="L78" i="43"/>
  <c r="K48" i="43"/>
  <c r="L48" i="43"/>
  <c r="O150" i="43"/>
  <c r="M150" i="43"/>
  <c r="U150" i="43" s="1"/>
  <c r="N150" i="43"/>
  <c r="V150" i="43" s="1"/>
  <c r="M146" i="43"/>
  <c r="U146" i="43" s="1"/>
  <c r="N146" i="43"/>
  <c r="V146" i="43" s="1"/>
  <c r="O146" i="43"/>
  <c r="N142" i="43"/>
  <c r="O142" i="43"/>
  <c r="M142" i="43"/>
  <c r="U142" i="43" s="1"/>
  <c r="M134" i="43"/>
  <c r="N134" i="43"/>
  <c r="V134" i="43" s="1"/>
  <c r="O134" i="43"/>
  <c r="O124" i="43"/>
  <c r="M124" i="43"/>
  <c r="U124" i="43" s="1"/>
  <c r="N124" i="43"/>
  <c r="V124" i="43" s="1"/>
  <c r="O114" i="43"/>
  <c r="M114" i="43"/>
  <c r="U114" i="43" s="1"/>
  <c r="N114" i="43"/>
  <c r="V114" i="43" s="1"/>
  <c r="M108" i="43"/>
  <c r="U108" i="43" s="1"/>
  <c r="N108" i="43"/>
  <c r="V108" i="43" s="1"/>
  <c r="O108" i="43"/>
  <c r="M98" i="43"/>
  <c r="U98" i="43" s="1"/>
  <c r="N98" i="43"/>
  <c r="V98" i="43" s="1"/>
  <c r="O98" i="43"/>
  <c r="O88" i="43"/>
  <c r="M88" i="43"/>
  <c r="U88" i="43" s="1"/>
  <c r="N88" i="43"/>
  <c r="V88" i="43" s="1"/>
  <c r="M74" i="43"/>
  <c r="N74" i="43"/>
  <c r="V74" i="43" s="1"/>
  <c r="O74" i="43"/>
  <c r="L26" i="43"/>
  <c r="T26" i="43" s="1"/>
  <c r="M4" i="43"/>
  <c r="N4" i="43"/>
  <c r="V4" i="43" s="1"/>
  <c r="O4" i="43"/>
  <c r="L148" i="43"/>
  <c r="K148" i="43"/>
  <c r="K140" i="43"/>
  <c r="L140" i="43"/>
  <c r="K132" i="43"/>
  <c r="L132" i="43"/>
  <c r="K114" i="43"/>
  <c r="L114" i="43"/>
  <c r="K106" i="43"/>
  <c r="L106" i="43"/>
  <c r="K84" i="43"/>
  <c r="L84" i="43"/>
  <c r="K66" i="43"/>
  <c r="L66" i="43"/>
  <c r="K54" i="43"/>
  <c r="L54" i="43"/>
  <c r="L146" i="43"/>
  <c r="K146" i="43"/>
  <c r="K138" i="43"/>
  <c r="L138" i="43"/>
  <c r="K134" i="43"/>
  <c r="L134" i="43"/>
  <c r="K124" i="43"/>
  <c r="L124" i="43"/>
  <c r="K118" i="43"/>
  <c r="L118" i="43"/>
  <c r="K108" i="43"/>
  <c r="L108" i="43"/>
  <c r="K100" i="43"/>
  <c r="L100" i="43"/>
  <c r="K92" i="43"/>
  <c r="L92" i="43"/>
  <c r="K82" i="43"/>
  <c r="L82" i="43"/>
  <c r="K68" i="43"/>
  <c r="L68" i="43"/>
  <c r="K42" i="43"/>
  <c r="L42" i="43"/>
  <c r="N152" i="43"/>
  <c r="V152" i="43" s="1"/>
  <c r="O152" i="43"/>
  <c r="M152" i="43"/>
  <c r="O148" i="43"/>
  <c r="M148" i="43"/>
  <c r="U148" i="43" s="1"/>
  <c r="N148" i="43"/>
  <c r="V148" i="43" s="1"/>
  <c r="M144" i="43"/>
  <c r="U144" i="43" s="1"/>
  <c r="N144" i="43"/>
  <c r="V144" i="43" s="1"/>
  <c r="O144" i="43"/>
  <c r="N140" i="43"/>
  <c r="V140" i="43" s="1"/>
  <c r="O140" i="43"/>
  <c r="M140" i="43"/>
  <c r="U140" i="43" s="1"/>
  <c r="O138" i="43"/>
  <c r="M138" i="43"/>
  <c r="U138" i="43" s="1"/>
  <c r="N138" i="43"/>
  <c r="V138" i="43" s="1"/>
  <c r="O136" i="43"/>
  <c r="M136" i="43"/>
  <c r="U136" i="43" s="1"/>
  <c r="N136" i="43"/>
  <c r="V136" i="43" s="1"/>
  <c r="M132" i="43"/>
  <c r="U132" i="43" s="1"/>
  <c r="N132" i="43"/>
  <c r="V132" i="43" s="1"/>
  <c r="N130" i="43"/>
  <c r="V130" i="43" s="1"/>
  <c r="O130" i="43"/>
  <c r="M130" i="43"/>
  <c r="U130" i="43" s="1"/>
  <c r="N128" i="43"/>
  <c r="V128" i="43" s="1"/>
  <c r="O128" i="43"/>
  <c r="M128" i="43"/>
  <c r="U128" i="43" s="1"/>
  <c r="O126" i="43"/>
  <c r="M126" i="43"/>
  <c r="U126" i="43" s="1"/>
  <c r="N126" i="43"/>
  <c r="V126" i="43" s="1"/>
  <c r="M122" i="43"/>
  <c r="U122" i="43" s="1"/>
  <c r="N122" i="43"/>
  <c r="V122" i="43" s="1"/>
  <c r="O122" i="43"/>
  <c r="M120" i="43"/>
  <c r="U120" i="43" s="1"/>
  <c r="N120" i="43"/>
  <c r="V120" i="43" s="1"/>
  <c r="O120" i="43"/>
  <c r="N118" i="43"/>
  <c r="V118" i="43" s="1"/>
  <c r="O118" i="43"/>
  <c r="M118" i="43"/>
  <c r="U118" i="43" s="1"/>
  <c r="N116" i="43"/>
  <c r="V116" i="43" s="1"/>
  <c r="O116" i="43"/>
  <c r="O112" i="43"/>
  <c r="M112" i="43"/>
  <c r="U112" i="43" s="1"/>
  <c r="M110" i="43"/>
  <c r="U110" i="43" s="1"/>
  <c r="N110" i="43"/>
  <c r="V110" i="43" s="1"/>
  <c r="O110" i="43"/>
  <c r="N106" i="43"/>
  <c r="V106" i="43" s="1"/>
  <c r="O106" i="43"/>
  <c r="M106" i="43"/>
  <c r="U106" i="43" s="1"/>
  <c r="N104" i="43"/>
  <c r="V104" i="43" s="1"/>
  <c r="O104" i="43"/>
  <c r="M104" i="43"/>
  <c r="U104" i="43" s="1"/>
  <c r="O102" i="43"/>
  <c r="M102" i="43"/>
  <c r="U102" i="43" s="1"/>
  <c r="N102" i="43"/>
  <c r="V102" i="43" s="1"/>
  <c r="O100" i="43"/>
  <c r="M100" i="43"/>
  <c r="U100" i="43" s="1"/>
  <c r="N100" i="43"/>
  <c r="V100" i="43" s="1"/>
  <c r="M96" i="43"/>
  <c r="U96" i="43" s="1"/>
  <c r="N96" i="43"/>
  <c r="V96" i="43" s="1"/>
  <c r="O96" i="43"/>
  <c r="N94" i="43"/>
  <c r="V94" i="43" s="1"/>
  <c r="O94" i="43"/>
  <c r="M94" i="43"/>
  <c r="U94" i="43" s="1"/>
  <c r="N92" i="43"/>
  <c r="O92" i="43"/>
  <c r="M92" i="43"/>
  <c r="U92" i="43" s="1"/>
  <c r="O90" i="43"/>
  <c r="M90" i="43"/>
  <c r="U90" i="43" s="1"/>
  <c r="N90" i="43"/>
  <c r="V90" i="43" s="1"/>
  <c r="M86" i="43"/>
  <c r="U86" i="43" s="1"/>
  <c r="N86" i="43"/>
  <c r="V86" i="43" s="1"/>
  <c r="O86" i="43"/>
  <c r="M84" i="43"/>
  <c r="U84" i="43" s="1"/>
  <c r="N84" i="43"/>
  <c r="V84" i="43" s="1"/>
  <c r="O84" i="43"/>
  <c r="N82" i="43"/>
  <c r="V82" i="43" s="1"/>
  <c r="O82" i="43"/>
  <c r="M82" i="43"/>
  <c r="U82" i="43" s="1"/>
  <c r="N80" i="43"/>
  <c r="V80" i="43" s="1"/>
  <c r="O80" i="43"/>
  <c r="M80" i="43"/>
  <c r="U80" i="43" s="1"/>
  <c r="O78" i="43"/>
  <c r="M78" i="43"/>
  <c r="U78" i="43" s="1"/>
  <c r="N78" i="43"/>
  <c r="V78" i="43" s="1"/>
  <c r="O76" i="43"/>
  <c r="M76" i="43"/>
  <c r="U76" i="43" s="1"/>
  <c r="N76" i="43"/>
  <c r="V76" i="43" s="1"/>
  <c r="M72" i="43"/>
  <c r="U72" i="43" s="1"/>
  <c r="N72" i="43"/>
  <c r="V72" i="43" s="1"/>
  <c r="O72" i="43"/>
  <c r="K143" i="43"/>
  <c r="T143" i="43" s="1"/>
  <c r="O132" i="43"/>
  <c r="K150" i="43"/>
  <c r="L150" i="43"/>
  <c r="L136" i="43"/>
  <c r="K136" i="43"/>
  <c r="K126" i="43"/>
  <c r="L126" i="43"/>
  <c r="K116" i="43"/>
  <c r="L116" i="43"/>
  <c r="K102" i="43"/>
  <c r="L102" i="43"/>
  <c r="K90" i="43"/>
  <c r="L90" i="43"/>
  <c r="K80" i="43"/>
  <c r="L80" i="43"/>
  <c r="K70" i="43"/>
  <c r="L70" i="43"/>
  <c r="K52" i="43"/>
  <c r="L52" i="43"/>
  <c r="K142" i="43"/>
  <c r="T142" i="43" s="1"/>
  <c r="L122" i="43"/>
  <c r="T122" i="43" s="1"/>
  <c r="L153" i="43"/>
  <c r="K153" i="43"/>
  <c r="K151" i="43"/>
  <c r="L151" i="43"/>
  <c r="L149" i="43"/>
  <c r="K149" i="43"/>
  <c r="L147" i="43"/>
  <c r="K147" i="43"/>
  <c r="K145" i="43"/>
  <c r="L145" i="43"/>
  <c r="L141" i="43"/>
  <c r="K141" i="43"/>
  <c r="K139" i="43"/>
  <c r="L139" i="43"/>
  <c r="L137" i="43"/>
  <c r="K137" i="43"/>
  <c r="L135" i="43"/>
  <c r="K135" i="43"/>
  <c r="K133" i="43"/>
  <c r="L133" i="43"/>
  <c r="L131" i="43"/>
  <c r="K131" i="43"/>
  <c r="L129" i="43"/>
  <c r="K129" i="43"/>
  <c r="K127" i="43"/>
  <c r="L127" i="43"/>
  <c r="K125" i="43"/>
  <c r="L125" i="43"/>
  <c r="L123" i="43"/>
  <c r="K123" i="43"/>
  <c r="K121" i="43"/>
  <c r="L121" i="43"/>
  <c r="K119" i="43"/>
  <c r="L119" i="43"/>
  <c r="L117" i="43"/>
  <c r="K117" i="43"/>
  <c r="K115" i="43"/>
  <c r="L115" i="43"/>
  <c r="K113" i="43"/>
  <c r="L113" i="43"/>
  <c r="L111" i="43"/>
  <c r="K111" i="43"/>
  <c r="K109" i="43"/>
  <c r="L109" i="43"/>
  <c r="K107" i="43"/>
  <c r="L107" i="43"/>
  <c r="L105" i="43"/>
  <c r="K105" i="43"/>
  <c r="K103" i="43"/>
  <c r="L103" i="43"/>
  <c r="K101" i="43"/>
  <c r="L101" i="43"/>
  <c r="L99" i="43"/>
  <c r="K99" i="43"/>
  <c r="K97" i="43"/>
  <c r="L97" i="43"/>
  <c r="K95" i="43"/>
  <c r="L95" i="43"/>
  <c r="L93" i="43"/>
  <c r="K93" i="43"/>
  <c r="K91" i="43"/>
  <c r="L91" i="43"/>
  <c r="K89" i="43"/>
  <c r="L89" i="43"/>
  <c r="L87" i="43"/>
  <c r="K87" i="43"/>
  <c r="K85" i="43"/>
  <c r="L85" i="43"/>
  <c r="K83" i="43"/>
  <c r="L83" i="43"/>
  <c r="L81" i="43"/>
  <c r="K81" i="43"/>
  <c r="K79" i="43"/>
  <c r="L79" i="43"/>
  <c r="K77" i="43"/>
  <c r="L77" i="43"/>
  <c r="L75" i="43"/>
  <c r="K75" i="43"/>
  <c r="K73" i="43"/>
  <c r="L73" i="43"/>
  <c r="K71" i="43"/>
  <c r="L71" i="43"/>
  <c r="L69" i="43"/>
  <c r="K69" i="43"/>
  <c r="K67" i="43"/>
  <c r="L67" i="43"/>
  <c r="K65" i="43"/>
  <c r="L65" i="43"/>
  <c r="L63" i="43"/>
  <c r="K63" i="43"/>
  <c r="K61" i="43"/>
  <c r="L61" i="43"/>
  <c r="K59" i="43"/>
  <c r="L59" i="43"/>
  <c r="L57" i="43"/>
  <c r="K57" i="43"/>
  <c r="K55" i="43"/>
  <c r="L55" i="43"/>
  <c r="K53" i="43"/>
  <c r="L53" i="43"/>
  <c r="L51" i="43"/>
  <c r="K51" i="43"/>
  <c r="K49" i="43"/>
  <c r="L49" i="43"/>
  <c r="K47" i="43"/>
  <c r="L47" i="43"/>
  <c r="L45" i="43"/>
  <c r="K45" i="43"/>
  <c r="M116" i="43"/>
  <c r="U116" i="43" s="1"/>
  <c r="M121" i="43"/>
  <c r="U121" i="43" s="1"/>
  <c r="M73" i="43"/>
  <c r="U73" i="43" s="1"/>
  <c r="M21" i="43"/>
  <c r="U21" i="43" s="1"/>
  <c r="N113" i="43"/>
  <c r="V113" i="43" s="1"/>
  <c r="N41" i="43"/>
  <c r="V41" i="43" s="1"/>
  <c r="O61" i="43"/>
  <c r="N70" i="43"/>
  <c r="V70" i="43" s="1"/>
  <c r="O70" i="43"/>
  <c r="M70" i="43"/>
  <c r="U70" i="43" s="1"/>
  <c r="N68" i="43"/>
  <c r="V68" i="43" s="1"/>
  <c r="O68" i="43"/>
  <c r="O66" i="43"/>
  <c r="M66" i="43"/>
  <c r="U66" i="43" s="1"/>
  <c r="N66" i="43"/>
  <c r="V66" i="43" s="1"/>
  <c r="O64" i="43"/>
  <c r="M64" i="43"/>
  <c r="U64" i="43" s="1"/>
  <c r="M62" i="43"/>
  <c r="U62" i="43" s="1"/>
  <c r="N62" i="43"/>
  <c r="V62" i="43" s="1"/>
  <c r="O62" i="43"/>
  <c r="M60" i="43"/>
  <c r="U60" i="43" s="1"/>
  <c r="N60" i="43"/>
  <c r="V60" i="43" s="1"/>
  <c r="N58" i="43"/>
  <c r="V58" i="43" s="1"/>
  <c r="O58" i="43"/>
  <c r="M58" i="43"/>
  <c r="U58" i="43" s="1"/>
  <c r="N56" i="43"/>
  <c r="V56" i="43" s="1"/>
  <c r="O56" i="43"/>
  <c r="O54" i="43"/>
  <c r="M54" i="43"/>
  <c r="U54" i="43" s="1"/>
  <c r="N54" i="43"/>
  <c r="V54" i="43" s="1"/>
  <c r="O52" i="43"/>
  <c r="M52" i="43"/>
  <c r="U52" i="43" s="1"/>
  <c r="M50" i="43"/>
  <c r="U50" i="43" s="1"/>
  <c r="N50" i="43"/>
  <c r="V50" i="43" s="1"/>
  <c r="O50" i="43"/>
  <c r="M48" i="43"/>
  <c r="U48" i="43" s="1"/>
  <c r="N48" i="43"/>
  <c r="V48" i="43" s="1"/>
  <c r="N46" i="43"/>
  <c r="V46" i="43" s="1"/>
  <c r="O46" i="43"/>
  <c r="M46" i="43"/>
  <c r="U46" i="43" s="1"/>
  <c r="N44" i="43"/>
  <c r="V44" i="43" s="1"/>
  <c r="O44" i="43"/>
  <c r="O42" i="43"/>
  <c r="M42" i="43"/>
  <c r="U42" i="43" s="1"/>
  <c r="N42" i="43"/>
  <c r="V42" i="43" s="1"/>
  <c r="O40" i="43"/>
  <c r="M40" i="43"/>
  <c r="U40" i="43" s="1"/>
  <c r="M38" i="43"/>
  <c r="U38" i="43" s="1"/>
  <c r="N38" i="43"/>
  <c r="V38" i="43" s="1"/>
  <c r="O38" i="43"/>
  <c r="M36" i="43"/>
  <c r="U36" i="43" s="1"/>
  <c r="N36" i="43"/>
  <c r="V36" i="43" s="1"/>
  <c r="N34" i="43"/>
  <c r="V34" i="43" s="1"/>
  <c r="O34" i="43"/>
  <c r="M34" i="43"/>
  <c r="U34" i="43" s="1"/>
  <c r="N32" i="43"/>
  <c r="V32" i="43" s="1"/>
  <c r="O32" i="43"/>
  <c r="O30" i="43"/>
  <c r="M30" i="43"/>
  <c r="U30" i="43" s="1"/>
  <c r="N30" i="43"/>
  <c r="V30" i="43" s="1"/>
  <c r="O28" i="43"/>
  <c r="M28" i="43"/>
  <c r="U28" i="43" s="1"/>
  <c r="M26" i="43"/>
  <c r="U26" i="43" s="1"/>
  <c r="N26" i="43"/>
  <c r="V26" i="43" s="1"/>
  <c r="O26" i="43"/>
  <c r="M24" i="43"/>
  <c r="U24" i="43" s="1"/>
  <c r="N24" i="43"/>
  <c r="V24" i="43" s="1"/>
  <c r="N22" i="43"/>
  <c r="V22" i="43" s="1"/>
  <c r="O22" i="43"/>
  <c r="M22" i="43"/>
  <c r="U22" i="43" s="1"/>
  <c r="N20" i="43"/>
  <c r="V20" i="43" s="1"/>
  <c r="O20" i="43"/>
  <c r="O18" i="43"/>
  <c r="M18" i="43"/>
  <c r="U18" i="43" s="1"/>
  <c r="N18" i="43"/>
  <c r="V18" i="43" s="1"/>
  <c r="O16" i="43"/>
  <c r="M16" i="43"/>
  <c r="U16" i="43" s="1"/>
  <c r="M14" i="43"/>
  <c r="U14" i="43" s="1"/>
  <c r="N14" i="43"/>
  <c r="V14" i="43" s="1"/>
  <c r="O14" i="43"/>
  <c r="M12" i="43"/>
  <c r="U12" i="43" s="1"/>
  <c r="N12" i="43"/>
  <c r="V12" i="43" s="1"/>
  <c r="N10" i="43"/>
  <c r="V10" i="43" s="1"/>
  <c r="O10" i="43"/>
  <c r="M10" i="43"/>
  <c r="U10" i="43" s="1"/>
  <c r="N8" i="43"/>
  <c r="V8" i="43" s="1"/>
  <c r="O8" i="43"/>
  <c r="O6" i="43"/>
  <c r="M6" i="43"/>
  <c r="U6" i="43" s="1"/>
  <c r="N6" i="43"/>
  <c r="V6" i="43" s="1"/>
  <c r="M109" i="43"/>
  <c r="U109" i="43" s="1"/>
  <c r="M61" i="43"/>
  <c r="U61" i="43" s="1"/>
  <c r="M8" i="43"/>
  <c r="U8" i="43" s="1"/>
  <c r="N28" i="43"/>
  <c r="V28" i="43" s="1"/>
  <c r="O48" i="43"/>
  <c r="M105" i="43"/>
  <c r="U105" i="43" s="1"/>
  <c r="M57" i="43"/>
  <c r="U57" i="43" s="1"/>
  <c r="N89" i="43"/>
  <c r="V89" i="43" s="1"/>
  <c r="N17" i="43"/>
  <c r="V17" i="43" s="1"/>
  <c r="M56" i="43"/>
  <c r="U56" i="43" s="1"/>
  <c r="N16" i="43"/>
  <c r="V16" i="43" s="1"/>
  <c r="O36" i="43"/>
  <c r="M97" i="43"/>
  <c r="U97" i="43" s="1"/>
  <c r="M93" i="43"/>
  <c r="U93" i="43" s="1"/>
  <c r="M45" i="43"/>
  <c r="U45" i="43" s="1"/>
  <c r="O24" i="43"/>
  <c r="K43" i="43"/>
  <c r="L43" i="43"/>
  <c r="K41" i="43"/>
  <c r="L41" i="43"/>
  <c r="L39" i="43"/>
  <c r="K39" i="43"/>
  <c r="K37" i="43"/>
  <c r="L37" i="43"/>
  <c r="K35" i="43"/>
  <c r="L35" i="43"/>
  <c r="L33" i="43"/>
  <c r="K33" i="43"/>
  <c r="K31" i="43"/>
  <c r="L31" i="43"/>
  <c r="K29" i="43"/>
  <c r="L29" i="43"/>
  <c r="L27" i="43"/>
  <c r="K27" i="43"/>
  <c r="K25" i="43"/>
  <c r="L25" i="43"/>
  <c r="K23" i="43"/>
  <c r="L23" i="43"/>
  <c r="L21" i="43"/>
  <c r="K21" i="43"/>
  <c r="K19" i="43"/>
  <c r="L19" i="43"/>
  <c r="K17" i="43"/>
  <c r="L17" i="43"/>
  <c r="L15" i="43"/>
  <c r="K15" i="43"/>
  <c r="K13" i="43"/>
  <c r="L13" i="43"/>
  <c r="K11" i="43"/>
  <c r="L11" i="43"/>
  <c r="L9" i="43"/>
  <c r="K9" i="43"/>
  <c r="K7" i="43"/>
  <c r="L7" i="43"/>
  <c r="K5" i="43"/>
  <c r="L5" i="43"/>
  <c r="M44" i="43"/>
  <c r="U44" i="43" s="1"/>
  <c r="N127" i="43"/>
  <c r="V127" i="43" s="1"/>
  <c r="O127" i="43"/>
  <c r="M127" i="43"/>
  <c r="U127" i="43" s="1"/>
  <c r="O125" i="43"/>
  <c r="M125" i="43"/>
  <c r="U125" i="43" s="1"/>
  <c r="O123" i="43"/>
  <c r="M123" i="43"/>
  <c r="U123" i="43" s="1"/>
  <c r="N123" i="43"/>
  <c r="V123" i="43" s="1"/>
  <c r="N121" i="43"/>
  <c r="V121" i="43" s="1"/>
  <c r="M119" i="43"/>
  <c r="U119" i="43" s="1"/>
  <c r="N119" i="43"/>
  <c r="V119" i="43" s="1"/>
  <c r="O119" i="43"/>
  <c r="N117" i="43"/>
  <c r="V117" i="43" s="1"/>
  <c r="O117" i="43"/>
  <c r="N115" i="43"/>
  <c r="V115" i="43" s="1"/>
  <c r="O115" i="43"/>
  <c r="M115" i="43"/>
  <c r="U115" i="43" s="1"/>
  <c r="O113" i="43"/>
  <c r="M113" i="43"/>
  <c r="U113" i="43" s="1"/>
  <c r="O111" i="43"/>
  <c r="M111" i="43"/>
  <c r="U111" i="43" s="1"/>
  <c r="N111" i="43"/>
  <c r="V111" i="43" s="1"/>
  <c r="N109" i="43"/>
  <c r="V109" i="43" s="1"/>
  <c r="M107" i="43"/>
  <c r="U107" i="43" s="1"/>
  <c r="N107" i="43"/>
  <c r="V107" i="43" s="1"/>
  <c r="O107" i="43"/>
  <c r="N105" i="43"/>
  <c r="V105" i="43" s="1"/>
  <c r="O105" i="43"/>
  <c r="N103" i="43"/>
  <c r="V103" i="43" s="1"/>
  <c r="O103" i="43"/>
  <c r="M103" i="43"/>
  <c r="U103" i="43" s="1"/>
  <c r="O101" i="43"/>
  <c r="M101" i="43"/>
  <c r="U101" i="43" s="1"/>
  <c r="O99" i="43"/>
  <c r="M99" i="43"/>
  <c r="U99" i="43" s="1"/>
  <c r="N99" i="43"/>
  <c r="V99" i="43" s="1"/>
  <c r="N97" i="43"/>
  <c r="V97" i="43" s="1"/>
  <c r="M95" i="43"/>
  <c r="U95" i="43" s="1"/>
  <c r="N95" i="43"/>
  <c r="V95" i="43" s="1"/>
  <c r="O95" i="43"/>
  <c r="N93" i="43"/>
  <c r="V93" i="43" s="1"/>
  <c r="O93" i="43"/>
  <c r="N91" i="43"/>
  <c r="V91" i="43" s="1"/>
  <c r="O91" i="43"/>
  <c r="M91" i="43"/>
  <c r="U91" i="43" s="1"/>
  <c r="O89" i="43"/>
  <c r="M89" i="43"/>
  <c r="U89" i="43" s="1"/>
  <c r="O87" i="43"/>
  <c r="M87" i="43"/>
  <c r="U87" i="43" s="1"/>
  <c r="N87" i="43"/>
  <c r="V87" i="43" s="1"/>
  <c r="N85" i="43"/>
  <c r="V85" i="43" s="1"/>
  <c r="M83" i="43"/>
  <c r="U83" i="43" s="1"/>
  <c r="N83" i="43"/>
  <c r="V83" i="43" s="1"/>
  <c r="O83" i="43"/>
  <c r="N81" i="43"/>
  <c r="V81" i="43" s="1"/>
  <c r="O81" i="43"/>
  <c r="N79" i="43"/>
  <c r="V79" i="43" s="1"/>
  <c r="O79" i="43"/>
  <c r="M79" i="43"/>
  <c r="U79" i="43" s="1"/>
  <c r="O77" i="43"/>
  <c r="M77" i="43"/>
  <c r="U77" i="43" s="1"/>
  <c r="O75" i="43"/>
  <c r="M75" i="43"/>
  <c r="U75" i="43" s="1"/>
  <c r="N75" i="43"/>
  <c r="V75" i="43" s="1"/>
  <c r="N73" i="43"/>
  <c r="V73" i="43" s="1"/>
  <c r="M71" i="43"/>
  <c r="U71" i="43" s="1"/>
  <c r="N71" i="43"/>
  <c r="V71" i="43" s="1"/>
  <c r="O71" i="43"/>
  <c r="N69" i="43"/>
  <c r="V69" i="43" s="1"/>
  <c r="O69" i="43"/>
  <c r="N67" i="43"/>
  <c r="V67" i="43" s="1"/>
  <c r="O67" i="43"/>
  <c r="M67" i="43"/>
  <c r="U67" i="43" s="1"/>
  <c r="O65" i="43"/>
  <c r="M65" i="43"/>
  <c r="U65" i="43" s="1"/>
  <c r="O63" i="43"/>
  <c r="M63" i="43"/>
  <c r="U63" i="43" s="1"/>
  <c r="N63" i="43"/>
  <c r="V63" i="43" s="1"/>
  <c r="N61" i="43"/>
  <c r="V61" i="43" s="1"/>
  <c r="M59" i="43"/>
  <c r="U59" i="43" s="1"/>
  <c r="N59" i="43"/>
  <c r="V59" i="43" s="1"/>
  <c r="O59" i="43"/>
  <c r="N57" i="43"/>
  <c r="V57" i="43" s="1"/>
  <c r="O57" i="43"/>
  <c r="N55" i="43"/>
  <c r="V55" i="43" s="1"/>
  <c r="O55" i="43"/>
  <c r="M55" i="43"/>
  <c r="U55" i="43" s="1"/>
  <c r="O53" i="43"/>
  <c r="M53" i="43"/>
  <c r="U53" i="43" s="1"/>
  <c r="O51" i="43"/>
  <c r="M51" i="43"/>
  <c r="U51" i="43" s="1"/>
  <c r="N51" i="43"/>
  <c r="V51" i="43" s="1"/>
  <c r="N49" i="43"/>
  <c r="V49" i="43" s="1"/>
  <c r="M47" i="43"/>
  <c r="U47" i="43" s="1"/>
  <c r="N47" i="43"/>
  <c r="V47" i="43" s="1"/>
  <c r="O47" i="43"/>
  <c r="N45" i="43"/>
  <c r="V45" i="43" s="1"/>
  <c r="O45" i="43"/>
  <c r="N43" i="43"/>
  <c r="V43" i="43" s="1"/>
  <c r="O43" i="43"/>
  <c r="M43" i="43"/>
  <c r="U43" i="43" s="1"/>
  <c r="O41" i="43"/>
  <c r="M41" i="43"/>
  <c r="U41" i="43" s="1"/>
  <c r="O39" i="43"/>
  <c r="M39" i="43"/>
  <c r="U39" i="43" s="1"/>
  <c r="N39" i="43"/>
  <c r="V39" i="43" s="1"/>
  <c r="N37" i="43"/>
  <c r="V37" i="43" s="1"/>
  <c r="M35" i="43"/>
  <c r="U35" i="43" s="1"/>
  <c r="N35" i="43"/>
  <c r="V35" i="43" s="1"/>
  <c r="O35" i="43"/>
  <c r="N33" i="43"/>
  <c r="V33" i="43" s="1"/>
  <c r="O33" i="43"/>
  <c r="N31" i="43"/>
  <c r="V31" i="43" s="1"/>
  <c r="O31" i="43"/>
  <c r="M31" i="43"/>
  <c r="U31" i="43" s="1"/>
  <c r="O29" i="43"/>
  <c r="M29" i="43"/>
  <c r="U29" i="43" s="1"/>
  <c r="O27" i="43"/>
  <c r="M27" i="43"/>
  <c r="U27" i="43" s="1"/>
  <c r="N27" i="43"/>
  <c r="V27" i="43" s="1"/>
  <c r="M25" i="43"/>
  <c r="U25" i="43" s="1"/>
  <c r="N25" i="43"/>
  <c r="V25" i="43" s="1"/>
  <c r="M23" i="43"/>
  <c r="U23" i="43" s="1"/>
  <c r="N23" i="43"/>
  <c r="V23" i="43" s="1"/>
  <c r="O23" i="43"/>
  <c r="N21" i="43"/>
  <c r="V21" i="43" s="1"/>
  <c r="O21" i="43"/>
  <c r="N19" i="43"/>
  <c r="V19" i="43" s="1"/>
  <c r="O19" i="43"/>
  <c r="M19" i="43"/>
  <c r="U19" i="43" s="1"/>
  <c r="O17" i="43"/>
  <c r="M17" i="43"/>
  <c r="U17" i="43" s="1"/>
  <c r="O15" i="43"/>
  <c r="M15" i="43"/>
  <c r="U15" i="43" s="1"/>
  <c r="N15" i="43"/>
  <c r="V15" i="43" s="1"/>
  <c r="M13" i="43"/>
  <c r="U13" i="43" s="1"/>
  <c r="N13" i="43"/>
  <c r="V13" i="43" s="1"/>
  <c r="M11" i="43"/>
  <c r="U11" i="43" s="1"/>
  <c r="N11" i="43"/>
  <c r="V11" i="43" s="1"/>
  <c r="O11" i="43"/>
  <c r="N9" i="43"/>
  <c r="V9" i="43" s="1"/>
  <c r="O9" i="43"/>
  <c r="N7" i="43"/>
  <c r="V7" i="43" s="1"/>
  <c r="O7" i="43"/>
  <c r="M7" i="43"/>
  <c r="U7" i="43" s="1"/>
  <c r="O5" i="43"/>
  <c r="M5" i="43"/>
  <c r="U5" i="43" s="1"/>
  <c r="M85" i="43"/>
  <c r="U85" i="43" s="1"/>
  <c r="M37" i="43"/>
  <c r="U37" i="43" s="1"/>
  <c r="N64" i="43"/>
  <c r="V64" i="43" s="1"/>
  <c r="O12" i="43"/>
  <c r="I28" i="43"/>
  <c r="R28" i="43" s="1"/>
  <c r="M81" i="43"/>
  <c r="U81" i="43" s="1"/>
  <c r="M33" i="43"/>
  <c r="U33" i="43" s="1"/>
  <c r="N125" i="43"/>
  <c r="V125" i="43" s="1"/>
  <c r="N53" i="43"/>
  <c r="V53" i="43" s="1"/>
  <c r="O73" i="43"/>
  <c r="M32" i="43"/>
  <c r="U32" i="43" s="1"/>
  <c r="N52" i="43"/>
  <c r="V52" i="43" s="1"/>
  <c r="T152" i="43"/>
  <c r="T74" i="43"/>
  <c r="V92" i="43"/>
  <c r="U4" i="43"/>
  <c r="U74" i="43"/>
  <c r="U69" i="43"/>
  <c r="U131" i="43"/>
  <c r="U152" i="43"/>
  <c r="U137" i="43"/>
  <c r="V112" i="43"/>
  <c r="U134" i="43"/>
  <c r="V142" i="43"/>
  <c r="V151" i="43"/>
  <c r="T70" i="43" l="1"/>
  <c r="T116" i="43"/>
  <c r="T28" i="43"/>
  <c r="T134" i="43"/>
  <c r="T132" i="43"/>
  <c r="T82" i="43"/>
  <c r="T136" i="43"/>
  <c r="T42" i="43"/>
  <c r="T66" i="43"/>
  <c r="T148" i="43"/>
  <c r="T48" i="43"/>
  <c r="T30" i="43"/>
  <c r="T64" i="43"/>
  <c r="T124" i="43"/>
  <c r="T78" i="43"/>
  <c r="T6" i="43"/>
  <c r="T18" i="43"/>
  <c r="T32" i="43"/>
  <c r="T46" i="43"/>
  <c r="T72" i="43"/>
  <c r="T110" i="43"/>
  <c r="T112" i="43"/>
  <c r="T8" i="43"/>
  <c r="T20" i="43"/>
  <c r="T34" i="43"/>
  <c r="T56" i="43"/>
  <c r="T76" i="43"/>
  <c r="T138" i="43"/>
  <c r="T52" i="43"/>
  <c r="T106" i="43"/>
  <c r="T130" i="43"/>
  <c r="T10" i="43"/>
  <c r="T22" i="43"/>
  <c r="T36" i="43"/>
  <c r="T90" i="43"/>
  <c r="T100" i="43"/>
  <c r="T146" i="43"/>
  <c r="T58" i="43"/>
  <c r="T86" i="43"/>
  <c r="T128" i="43"/>
  <c r="T54" i="43"/>
  <c r="T140" i="43"/>
  <c r="T16" i="43"/>
  <c r="T44" i="43"/>
  <c r="T104" i="43"/>
  <c r="T144" i="43"/>
  <c r="T12" i="43"/>
  <c r="T24" i="43"/>
  <c r="T38" i="43"/>
  <c r="T60" i="43"/>
  <c r="T88" i="43"/>
  <c r="T4" i="43"/>
  <c r="T118" i="43"/>
  <c r="T139" i="43"/>
  <c r="T92" i="43"/>
  <c r="T29" i="43"/>
  <c r="T91" i="43"/>
  <c r="T150" i="43"/>
  <c r="T7" i="43"/>
  <c r="T31" i="43"/>
  <c r="T69" i="43"/>
  <c r="T117" i="43"/>
  <c r="T126" i="43"/>
  <c r="T147" i="43"/>
  <c r="T55" i="43"/>
  <c r="T67" i="43"/>
  <c r="T79" i="43"/>
  <c r="T103" i="43"/>
  <c r="T153" i="43"/>
  <c r="T115" i="43"/>
  <c r="T127" i="43"/>
  <c r="T47" i="43"/>
  <c r="T59" i="43"/>
  <c r="T71" i="43"/>
  <c r="T83" i="43"/>
  <c r="T95" i="43"/>
  <c r="T145" i="43"/>
  <c r="T133" i="43"/>
  <c r="T80" i="43"/>
  <c r="T53" i="43"/>
  <c r="T65" i="43"/>
  <c r="T77" i="43"/>
  <c r="T89" i="43"/>
  <c r="T101" i="43"/>
  <c r="T113" i="43"/>
  <c r="T125" i="43"/>
  <c r="T137" i="43"/>
  <c r="T121" i="43"/>
  <c r="T85" i="43"/>
  <c r="T45" i="43"/>
  <c r="T57" i="43"/>
  <c r="T131" i="43"/>
  <c r="T63" i="43"/>
  <c r="T123" i="43"/>
  <c r="T151" i="43"/>
  <c r="T87" i="43"/>
  <c r="T111" i="43"/>
  <c r="T68" i="43"/>
  <c r="T84" i="43"/>
  <c r="T96" i="43"/>
  <c r="T14" i="43"/>
  <c r="T40" i="43"/>
  <c r="T62" i="43"/>
  <c r="T81" i="43"/>
  <c r="T93" i="43"/>
  <c r="T105" i="43"/>
  <c r="T129" i="43"/>
  <c r="T141" i="43"/>
  <c r="T49" i="43"/>
  <c r="T73" i="43"/>
  <c r="T97" i="43"/>
  <c r="T109" i="43"/>
  <c r="T149" i="43"/>
  <c r="T9" i="43"/>
  <c r="T21" i="43"/>
  <c r="T33" i="43"/>
  <c r="T11" i="43"/>
  <c r="T23" i="43"/>
  <c r="T35" i="43"/>
  <c r="T15" i="43"/>
  <c r="T39" i="43"/>
  <c r="T51" i="43"/>
  <c r="T75" i="43"/>
  <c r="T99" i="43"/>
  <c r="T135" i="43"/>
  <c r="T61" i="43"/>
  <c r="T25" i="43"/>
  <c r="T37" i="43"/>
  <c r="T5" i="43"/>
  <c r="T17" i="43"/>
  <c r="T41" i="43"/>
  <c r="T19" i="43"/>
  <c r="T43" i="43"/>
  <c r="T108" i="43"/>
  <c r="T102" i="43"/>
  <c r="T13" i="43"/>
  <c r="T27" i="43"/>
  <c r="T119" i="43"/>
  <c r="T94" i="43"/>
  <c r="T120" i="43"/>
  <c r="T107" i="43"/>
  <c r="T114" i="43"/>
  <c r="I6" i="43"/>
  <c r="R6" i="43" s="1"/>
  <c r="I7" i="43"/>
  <c r="R7" i="43" s="1"/>
  <c r="I8" i="43"/>
  <c r="R8" i="43" s="1"/>
  <c r="I9" i="43"/>
  <c r="R9" i="43" s="1"/>
  <c r="I10" i="43"/>
  <c r="R10" i="43" s="1"/>
  <c r="I11" i="43"/>
  <c r="R11" i="43" s="1"/>
  <c r="I12" i="43"/>
  <c r="R12" i="43" s="1"/>
  <c r="I13" i="43"/>
  <c r="R13" i="43" s="1"/>
  <c r="I14" i="43"/>
  <c r="R14" i="43" s="1"/>
  <c r="I15" i="43"/>
  <c r="R15" i="43" s="1"/>
  <c r="I16" i="43"/>
  <c r="R16" i="43" s="1"/>
  <c r="I17" i="43"/>
  <c r="R17" i="43" s="1"/>
  <c r="I18" i="43"/>
  <c r="R18" i="43" s="1"/>
  <c r="I19" i="43"/>
  <c r="R19" i="43" s="1"/>
  <c r="I20" i="43"/>
  <c r="R20" i="43" s="1"/>
  <c r="I21" i="43"/>
  <c r="R21" i="43" s="1"/>
  <c r="I22" i="43"/>
  <c r="R22" i="43" s="1"/>
  <c r="I23" i="43"/>
  <c r="R23" i="43" s="1"/>
  <c r="I24" i="43"/>
  <c r="R24" i="43" s="1"/>
  <c r="I25" i="43"/>
  <c r="R25" i="43" s="1"/>
  <c r="I26" i="43"/>
  <c r="R26" i="43" s="1"/>
  <c r="I27" i="43"/>
  <c r="R27" i="43" s="1"/>
  <c r="I29" i="43"/>
  <c r="R29" i="43" s="1"/>
  <c r="I30" i="43"/>
  <c r="R30" i="43" s="1"/>
  <c r="I31" i="43"/>
  <c r="R31" i="43" s="1"/>
  <c r="I32" i="43"/>
  <c r="R32" i="43" s="1"/>
  <c r="I33" i="43"/>
  <c r="R33" i="43" s="1"/>
  <c r="I34" i="43"/>
  <c r="R34" i="43" s="1"/>
  <c r="I35" i="43"/>
  <c r="R35" i="43" s="1"/>
  <c r="I36" i="43"/>
  <c r="R36" i="43" s="1"/>
  <c r="I37" i="43"/>
  <c r="R37" i="43" s="1"/>
  <c r="I38" i="43"/>
  <c r="R38" i="43" s="1"/>
  <c r="I39" i="43"/>
  <c r="R39" i="43" s="1"/>
  <c r="I40" i="43"/>
  <c r="R40" i="43" s="1"/>
  <c r="I41" i="43"/>
  <c r="R41" i="43" s="1"/>
  <c r="I42" i="43"/>
  <c r="R42" i="43" s="1"/>
  <c r="I43" i="43"/>
  <c r="R43" i="43" s="1"/>
  <c r="I44" i="43"/>
  <c r="R44" i="43" s="1"/>
  <c r="I45" i="43"/>
  <c r="R45" i="43" s="1"/>
  <c r="I46" i="43"/>
  <c r="R46" i="43" s="1"/>
  <c r="I47" i="43"/>
  <c r="R47" i="43" s="1"/>
  <c r="I48" i="43"/>
  <c r="R48" i="43" s="1"/>
  <c r="I49" i="43"/>
  <c r="R49" i="43" s="1"/>
  <c r="I50" i="43"/>
  <c r="R50" i="43" s="1"/>
  <c r="I51" i="43"/>
  <c r="R51" i="43" s="1"/>
  <c r="I52" i="43"/>
  <c r="R52" i="43" s="1"/>
  <c r="I53" i="43"/>
  <c r="R53" i="43" s="1"/>
  <c r="I54" i="43"/>
  <c r="R54" i="43" s="1"/>
  <c r="I55" i="43"/>
  <c r="R55" i="43" s="1"/>
  <c r="I56" i="43"/>
  <c r="R56" i="43" s="1"/>
  <c r="I57" i="43"/>
  <c r="R57" i="43" s="1"/>
  <c r="I58" i="43"/>
  <c r="R58" i="43" s="1"/>
  <c r="I59" i="43"/>
  <c r="R59" i="43" s="1"/>
  <c r="I60" i="43"/>
  <c r="R60" i="43" s="1"/>
  <c r="I61" i="43"/>
  <c r="R61" i="43" s="1"/>
  <c r="I62" i="43"/>
  <c r="R62" i="43" s="1"/>
  <c r="I63" i="43"/>
  <c r="R63" i="43" s="1"/>
  <c r="I64" i="43"/>
  <c r="R64" i="43" s="1"/>
  <c r="I65" i="43"/>
  <c r="R65" i="43" s="1"/>
  <c r="I66" i="43"/>
  <c r="R66" i="43" s="1"/>
  <c r="I67" i="43"/>
  <c r="R67" i="43" s="1"/>
  <c r="I68" i="43"/>
  <c r="R68" i="43" s="1"/>
  <c r="I69" i="43"/>
  <c r="R69" i="43" s="1"/>
  <c r="I70" i="43"/>
  <c r="R70" i="43" s="1"/>
  <c r="I71" i="43"/>
  <c r="R71" i="43" s="1"/>
  <c r="I72" i="43"/>
  <c r="R72" i="43" s="1"/>
  <c r="I73" i="43"/>
  <c r="R73" i="43" s="1"/>
  <c r="I74" i="43"/>
  <c r="R74" i="43" s="1"/>
  <c r="I75" i="43"/>
  <c r="R75" i="43" s="1"/>
  <c r="I76" i="43"/>
  <c r="R76" i="43" s="1"/>
  <c r="I77" i="43"/>
  <c r="R77" i="43" s="1"/>
  <c r="I78" i="43"/>
  <c r="R78" i="43" s="1"/>
  <c r="R79" i="43"/>
  <c r="I80" i="43"/>
  <c r="R80" i="43" s="1"/>
  <c r="I81" i="43"/>
  <c r="R81" i="43" s="1"/>
  <c r="I82" i="43"/>
  <c r="R82" i="43" s="1"/>
  <c r="I83" i="43"/>
  <c r="R83" i="43" s="1"/>
  <c r="I84" i="43"/>
  <c r="R84" i="43" s="1"/>
  <c r="I85" i="43"/>
  <c r="R85" i="43" s="1"/>
  <c r="I86" i="43"/>
  <c r="R86" i="43" s="1"/>
  <c r="I87" i="43"/>
  <c r="R87" i="43" s="1"/>
  <c r="I88" i="43"/>
  <c r="R88" i="43" s="1"/>
  <c r="I89" i="43"/>
  <c r="R89" i="43" s="1"/>
  <c r="I90" i="43"/>
  <c r="R90" i="43" s="1"/>
  <c r="I91" i="43"/>
  <c r="R91" i="43" s="1"/>
  <c r="I92" i="43"/>
  <c r="R92" i="43" s="1"/>
  <c r="I93" i="43"/>
  <c r="R93" i="43" s="1"/>
  <c r="I94" i="43"/>
  <c r="R94" i="43" s="1"/>
  <c r="I95" i="43"/>
  <c r="R95" i="43" s="1"/>
  <c r="I96" i="43"/>
  <c r="R96" i="43" s="1"/>
  <c r="I97" i="43"/>
  <c r="R97" i="43" s="1"/>
  <c r="I98" i="43"/>
  <c r="R98" i="43" s="1"/>
  <c r="I99" i="43"/>
  <c r="R99" i="43" s="1"/>
  <c r="I100" i="43"/>
  <c r="R100" i="43" s="1"/>
  <c r="I101" i="43"/>
  <c r="R101" i="43" s="1"/>
  <c r="I102" i="43"/>
  <c r="R102" i="43" s="1"/>
  <c r="I103" i="43"/>
  <c r="R103" i="43" s="1"/>
  <c r="I104" i="43"/>
  <c r="R104" i="43" s="1"/>
  <c r="I105" i="43"/>
  <c r="R105" i="43" s="1"/>
  <c r="I106" i="43"/>
  <c r="R106" i="43" s="1"/>
  <c r="I107" i="43"/>
  <c r="R107" i="43" s="1"/>
  <c r="I108" i="43"/>
  <c r="R108" i="43" s="1"/>
  <c r="I109" i="43"/>
  <c r="R109" i="43" s="1"/>
  <c r="I110" i="43"/>
  <c r="R110" i="43" s="1"/>
  <c r="I111" i="43"/>
  <c r="R111" i="43" s="1"/>
  <c r="I112" i="43"/>
  <c r="R112" i="43" s="1"/>
  <c r="R113" i="43"/>
  <c r="I114" i="43"/>
  <c r="R114" i="43" s="1"/>
  <c r="I116" i="43"/>
  <c r="R116" i="43" s="1"/>
  <c r="I117" i="43"/>
  <c r="R117" i="43" s="1"/>
  <c r="I118" i="43"/>
  <c r="R118" i="43" s="1"/>
  <c r="I119" i="43"/>
  <c r="R119" i="43" s="1"/>
  <c r="I120" i="43"/>
  <c r="R120" i="43" s="1"/>
  <c r="I121" i="43"/>
  <c r="R121" i="43" s="1"/>
  <c r="I122" i="43"/>
  <c r="R122" i="43" s="1"/>
  <c r="I123" i="43"/>
  <c r="R123" i="43" s="1"/>
  <c r="I124" i="43"/>
  <c r="R124" i="43" s="1"/>
  <c r="I125" i="43"/>
  <c r="R125" i="43" s="1"/>
  <c r="I126" i="43"/>
  <c r="R126" i="43" s="1"/>
  <c r="I127" i="43"/>
  <c r="R127" i="43" s="1"/>
  <c r="I128" i="43"/>
  <c r="R128" i="43" s="1"/>
  <c r="I129" i="43"/>
  <c r="R129" i="43" s="1"/>
  <c r="I130" i="43"/>
  <c r="R130" i="43" s="1"/>
  <c r="I131" i="43"/>
  <c r="R131" i="43" s="1"/>
  <c r="I132" i="43"/>
  <c r="R132" i="43" s="1"/>
  <c r="I133" i="43"/>
  <c r="R133" i="43" s="1"/>
  <c r="I134" i="43"/>
  <c r="R134" i="43" s="1"/>
  <c r="I135" i="43"/>
  <c r="R135" i="43" s="1"/>
  <c r="I136" i="43"/>
  <c r="R136" i="43" s="1"/>
  <c r="I137" i="43"/>
  <c r="R137" i="43" s="1"/>
  <c r="I138" i="43"/>
  <c r="R138" i="43" s="1"/>
  <c r="I140" i="43"/>
  <c r="R140" i="43" s="1"/>
  <c r="I141" i="43"/>
  <c r="R141" i="43" s="1"/>
  <c r="I142" i="43"/>
  <c r="R142" i="43" s="1"/>
  <c r="I143" i="43"/>
  <c r="R143" i="43" s="1"/>
  <c r="I144" i="43"/>
  <c r="R144" i="43" s="1"/>
  <c r="I145" i="43"/>
  <c r="R145" i="43" s="1"/>
  <c r="I146" i="43"/>
  <c r="R146" i="43" s="1"/>
  <c r="I147" i="43"/>
  <c r="R147" i="43" s="1"/>
  <c r="I148" i="43"/>
  <c r="R148" i="43" s="1"/>
  <c r="I149" i="43"/>
  <c r="R149" i="43" s="1"/>
  <c r="I151" i="43"/>
  <c r="R151" i="43" s="1"/>
  <c r="I152" i="43"/>
  <c r="R152" i="43" s="1"/>
  <c r="I153" i="43"/>
  <c r="R153" i="43" s="1"/>
  <c r="I5" i="43" l="1"/>
  <c r="R5" i="43" s="1"/>
  <c r="D26" i="44"/>
  <c r="C26" i="44"/>
  <c r="I150" i="43"/>
  <c r="R150" i="43" s="1"/>
  <c r="C27" i="44"/>
  <c r="D27" i="44"/>
  <c r="I115" i="43"/>
  <c r="R115" i="43" s="1"/>
  <c r="D28" i="44"/>
  <c r="C28" i="44"/>
  <c r="E28" i="44" l="1"/>
  <c r="E27" i="44"/>
  <c r="C25" i="44"/>
  <c r="E26" i="44"/>
  <c r="D25" i="44"/>
  <c r="AF5" i="3"/>
  <c r="AF7" i="3"/>
  <c r="AF6" i="3"/>
  <c r="AF15" i="3"/>
  <c r="AF12" i="3"/>
  <c r="AF13" i="3"/>
  <c r="AF9" i="3"/>
  <c r="AF10" i="3"/>
  <c r="AF11" i="3"/>
  <c r="AF8" i="3"/>
  <c r="H13" i="44" l="1"/>
  <c r="H9" i="44"/>
  <c r="H10" i="44"/>
  <c r="H14" i="44"/>
  <c r="H11" i="44"/>
  <c r="H7" i="44"/>
  <c r="H8" i="44"/>
  <c r="H12" i="44"/>
  <c r="I12" i="44"/>
  <c r="I14" i="44"/>
  <c r="I8" i="44"/>
  <c r="I13" i="44"/>
  <c r="I9" i="44"/>
  <c r="I10" i="44"/>
  <c r="I11" i="44"/>
  <c r="I7" i="44"/>
  <c r="E25" i="44"/>
  <c r="J14" i="44"/>
  <c r="J11" i="44"/>
  <c r="J7" i="44"/>
  <c r="J12" i="44"/>
  <c r="J8" i="44"/>
  <c r="J13" i="44"/>
  <c r="J10" i="44"/>
  <c r="J9" i="44"/>
  <c r="G10" i="44" l="1"/>
  <c r="G11" i="44"/>
  <c r="G12" i="44"/>
  <c r="G14" i="44"/>
  <c r="G7" i="44"/>
  <c r="G13" i="44"/>
  <c r="G9" i="44"/>
  <c r="G8" i="44"/>
  <c r="H2" i="35" l="1"/>
  <c r="J23" i="43" l="1"/>
  <c r="S23" i="43" s="1"/>
  <c r="J24" i="43"/>
  <c r="S24" i="43" s="1"/>
  <c r="J25" i="43"/>
  <c r="S25" i="43" s="1"/>
  <c r="J26" i="43"/>
  <c r="S26" i="43" s="1"/>
  <c r="J27" i="43"/>
  <c r="S27" i="43" s="1"/>
  <c r="J28" i="43"/>
  <c r="S28" i="43" s="1"/>
  <c r="J29" i="43"/>
  <c r="S29" i="43" s="1"/>
  <c r="J30" i="43"/>
  <c r="S30" i="43" s="1"/>
  <c r="J31" i="43"/>
  <c r="S31" i="43" s="1"/>
  <c r="J32" i="43"/>
  <c r="S32" i="43" s="1"/>
  <c r="J33" i="43"/>
  <c r="S33" i="43" s="1"/>
  <c r="J34" i="43"/>
  <c r="S34" i="43" s="1"/>
  <c r="J35" i="43"/>
  <c r="S35" i="43" s="1"/>
  <c r="J36" i="43"/>
  <c r="S36" i="43" s="1"/>
  <c r="J37" i="43"/>
  <c r="S37" i="43" s="1"/>
  <c r="J38" i="43"/>
  <c r="S38" i="43" s="1"/>
  <c r="J39" i="43"/>
  <c r="S39" i="43" s="1"/>
  <c r="J40" i="43"/>
  <c r="S40" i="43" s="1"/>
  <c r="J41" i="43"/>
  <c r="S41" i="43" s="1"/>
  <c r="J42" i="43"/>
  <c r="S42" i="43" s="1"/>
  <c r="J43" i="43"/>
  <c r="S43" i="43" s="1"/>
  <c r="J44" i="43"/>
  <c r="S44" i="43" s="1"/>
  <c r="J45" i="43"/>
  <c r="S45" i="43" s="1"/>
  <c r="J46" i="43"/>
  <c r="S46" i="43" s="1"/>
  <c r="J47" i="43"/>
  <c r="S47" i="43" s="1"/>
  <c r="J48" i="43"/>
  <c r="S48" i="43" s="1"/>
  <c r="J49" i="43"/>
  <c r="S49" i="43" s="1"/>
  <c r="J50" i="43"/>
  <c r="S50" i="43" s="1"/>
  <c r="J51" i="43"/>
  <c r="S51" i="43" s="1"/>
  <c r="J52" i="43"/>
  <c r="S52" i="43" s="1"/>
  <c r="J53" i="43"/>
  <c r="S53" i="43" s="1"/>
  <c r="J54" i="43"/>
  <c r="S54" i="43" s="1"/>
  <c r="J55" i="43"/>
  <c r="S55" i="43" s="1"/>
  <c r="J56" i="43"/>
  <c r="S56" i="43" s="1"/>
  <c r="J57" i="43"/>
  <c r="S57" i="43" s="1"/>
  <c r="J58" i="43"/>
  <c r="S58" i="43" s="1"/>
  <c r="J59" i="43"/>
  <c r="S59" i="43" s="1"/>
  <c r="J60" i="43"/>
  <c r="S60" i="43" s="1"/>
  <c r="J61" i="43"/>
  <c r="S61" i="43" s="1"/>
  <c r="J62" i="43"/>
  <c r="S62" i="43" s="1"/>
  <c r="J63" i="43"/>
  <c r="S63" i="43" s="1"/>
  <c r="J64" i="43"/>
  <c r="S64" i="43" s="1"/>
  <c r="J65" i="43"/>
  <c r="S65" i="43" s="1"/>
  <c r="J66" i="43"/>
  <c r="S66" i="43" s="1"/>
  <c r="J67" i="43"/>
  <c r="S67" i="43" s="1"/>
  <c r="J68" i="43"/>
  <c r="S68" i="43" s="1"/>
  <c r="J69" i="43"/>
  <c r="S69" i="43" s="1"/>
  <c r="J70" i="43"/>
  <c r="S70" i="43" s="1"/>
  <c r="J71" i="43"/>
  <c r="S71" i="43" s="1"/>
  <c r="J72" i="43"/>
  <c r="S72" i="43" s="1"/>
  <c r="J73" i="43"/>
  <c r="S73" i="43" s="1"/>
  <c r="J74" i="43"/>
  <c r="S74" i="43" s="1"/>
  <c r="J75" i="43"/>
  <c r="S75" i="43" s="1"/>
  <c r="J76" i="43"/>
  <c r="S76" i="43" s="1"/>
  <c r="J77" i="43"/>
  <c r="S77" i="43" s="1"/>
  <c r="J78" i="43"/>
  <c r="S78" i="43" s="1"/>
  <c r="J79" i="43"/>
  <c r="S79" i="43" s="1"/>
  <c r="J80" i="43"/>
  <c r="S80" i="43" s="1"/>
  <c r="J81" i="43"/>
  <c r="S81" i="43" s="1"/>
  <c r="J82" i="43"/>
  <c r="S82" i="43" s="1"/>
  <c r="J83" i="43"/>
  <c r="S83" i="43" s="1"/>
  <c r="J84" i="43"/>
  <c r="S84" i="43" s="1"/>
  <c r="J85" i="43"/>
  <c r="S85" i="43" s="1"/>
  <c r="J86" i="43"/>
  <c r="S86" i="43" s="1"/>
  <c r="J87" i="43"/>
  <c r="S87" i="43" s="1"/>
  <c r="J88" i="43"/>
  <c r="S88" i="43" s="1"/>
  <c r="J89" i="43"/>
  <c r="S89" i="43" s="1"/>
  <c r="J90" i="43"/>
  <c r="S90" i="43" s="1"/>
  <c r="J91" i="43"/>
  <c r="S91" i="43" s="1"/>
  <c r="J92" i="43"/>
  <c r="S92" i="43" s="1"/>
  <c r="J93" i="43"/>
  <c r="S93" i="43" s="1"/>
  <c r="J94" i="43"/>
  <c r="S94" i="43" s="1"/>
  <c r="J95" i="43"/>
  <c r="S95" i="43" s="1"/>
  <c r="J96" i="43"/>
  <c r="S96" i="43" s="1"/>
  <c r="J97" i="43"/>
  <c r="S97" i="43" s="1"/>
  <c r="J98" i="43"/>
  <c r="S98" i="43" s="1"/>
  <c r="J99" i="43"/>
  <c r="S99" i="43" s="1"/>
  <c r="J100" i="43"/>
  <c r="S100" i="43" s="1"/>
  <c r="J101" i="43"/>
  <c r="S101" i="43" s="1"/>
  <c r="J102" i="43"/>
  <c r="S102" i="43" s="1"/>
  <c r="J103" i="43"/>
  <c r="S103" i="43" s="1"/>
  <c r="J104" i="43"/>
  <c r="S104" i="43" s="1"/>
  <c r="J105" i="43"/>
  <c r="S105" i="43" s="1"/>
  <c r="J106" i="43"/>
  <c r="S106" i="43" s="1"/>
  <c r="J107" i="43"/>
  <c r="S107" i="43" s="1"/>
  <c r="J108" i="43"/>
  <c r="S108" i="43" s="1"/>
  <c r="J109" i="43"/>
  <c r="S109" i="43" s="1"/>
  <c r="J110" i="43"/>
  <c r="S110" i="43" s="1"/>
  <c r="J111" i="43"/>
  <c r="S111" i="43" s="1"/>
  <c r="H117" i="43"/>
  <c r="Q117" i="43" s="1"/>
  <c r="H118" i="43"/>
  <c r="Q118" i="43" s="1"/>
  <c r="H119" i="43"/>
  <c r="Q119" i="43" s="1"/>
  <c r="H120" i="43"/>
  <c r="Q120" i="43" s="1"/>
  <c r="H121" i="43"/>
  <c r="Q121" i="43" s="1"/>
  <c r="H122" i="43"/>
  <c r="Q122" i="43" s="1"/>
  <c r="H123" i="43"/>
  <c r="Q123" i="43" s="1"/>
  <c r="H124" i="43"/>
  <c r="Q124" i="43" s="1"/>
  <c r="J125" i="43"/>
  <c r="S125" i="43" s="1"/>
  <c r="J126" i="43"/>
  <c r="S126" i="43" s="1"/>
  <c r="J127" i="43"/>
  <c r="S127" i="43" s="1"/>
  <c r="J128" i="43"/>
  <c r="S128" i="43" s="1"/>
  <c r="J129" i="43"/>
  <c r="S129" i="43" s="1"/>
  <c r="J130" i="43"/>
  <c r="S130" i="43" s="1"/>
  <c r="J131" i="43"/>
  <c r="S131" i="43" s="1"/>
  <c r="J132" i="43"/>
  <c r="S132" i="43" s="1"/>
  <c r="J133" i="43"/>
  <c r="S133" i="43" s="1"/>
  <c r="J134" i="43"/>
  <c r="S134" i="43" s="1"/>
  <c r="J135" i="43"/>
  <c r="S135" i="43" s="1"/>
  <c r="J136" i="43"/>
  <c r="S136" i="43" s="1"/>
  <c r="J137" i="43"/>
  <c r="S137" i="43" s="1"/>
  <c r="J138" i="43"/>
  <c r="S138" i="43" s="1"/>
  <c r="J139" i="43"/>
  <c r="S139" i="43" s="1"/>
  <c r="J140" i="43"/>
  <c r="S140" i="43" s="1"/>
  <c r="J141" i="43"/>
  <c r="S141" i="43" s="1"/>
  <c r="J153" i="43"/>
  <c r="S153" i="43" s="1"/>
  <c r="V11" i="42" l="1"/>
  <c r="U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AJ11" i="42" s="1"/>
  <c r="H32" i="42"/>
  <c r="H33" i="42"/>
  <c r="H34" i="42"/>
  <c r="H31" i="42"/>
  <c r="D34" i="42"/>
  <c r="D32" i="42"/>
  <c r="D33" i="42"/>
  <c r="D31" i="42"/>
  <c r="AI4" i="42"/>
  <c r="AH10" i="42"/>
  <c r="AH4" i="42"/>
  <c r="AH5" i="42"/>
  <c r="AH11" i="42" s="1"/>
  <c r="AH3" i="42"/>
  <c r="Y4" i="42"/>
  <c r="B9" i="42"/>
  <c r="C9" i="42"/>
  <c r="B4" i="42"/>
  <c r="B5" i="42" l="1"/>
  <c r="AE5" i="42" s="1"/>
  <c r="AL9" i="42"/>
  <c r="AK9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V9" i="42"/>
  <c r="U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K10" i="42" l="1"/>
  <c r="AE11" i="42"/>
  <c r="AK5" i="42"/>
  <c r="AK11" i="42" s="1"/>
  <c r="AF10" i="42"/>
  <c r="AF5" i="42"/>
  <c r="AF11" i="42" s="1"/>
  <c r="AL5" i="42"/>
  <c r="AL11" i="42" s="1"/>
  <c r="AL3" i="42"/>
  <c r="AK4" i="42"/>
  <c r="AF3" i="42"/>
  <c r="AE10" i="42"/>
  <c r="AE4" i="42"/>
  <c r="AL10" i="42"/>
  <c r="AL4" i="42"/>
  <c r="AK3" i="42"/>
  <c r="AF4" i="42"/>
  <c r="AE3" i="42"/>
  <c r="AG4" i="3" l="1"/>
  <c r="U12" i="30"/>
  <c r="AG14" i="3" s="1"/>
  <c r="K3" i="41" l="1"/>
  <c r="L3" i="41"/>
  <c r="L2" i="41"/>
  <c r="K2" i="41"/>
  <c r="Y3" i="42"/>
  <c r="Y5" i="42"/>
  <c r="Y11" i="42" s="1"/>
  <c r="AF4" i="3"/>
  <c r="H116" i="43" l="1"/>
  <c r="Q116" i="43" s="1"/>
  <c r="H52" i="43"/>
  <c r="Q52" i="43" s="1"/>
  <c r="H115" i="43"/>
  <c r="Q115" i="43" s="1"/>
  <c r="H51" i="43"/>
  <c r="Q51" i="43" s="1"/>
  <c r="X4" i="1"/>
  <c r="H4" i="43" s="1"/>
  <c r="Q4" i="43" s="1"/>
  <c r="H36" i="43"/>
  <c r="Q36" i="43" s="1"/>
  <c r="H136" i="43"/>
  <c r="Q136" i="43" s="1"/>
  <c r="H134" i="43"/>
  <c r="Q134" i="43" s="1"/>
  <c r="H143" i="43"/>
  <c r="Q143" i="43" s="1"/>
  <c r="H138" i="43"/>
  <c r="Q138" i="43" s="1"/>
  <c r="H131" i="43"/>
  <c r="Q131" i="43" s="1"/>
  <c r="H144" i="43"/>
  <c r="Q144" i="43" s="1"/>
  <c r="H133" i="43"/>
  <c r="Q133" i="43" s="1"/>
  <c r="H132" i="43"/>
  <c r="Q132" i="43" s="1"/>
  <c r="H140" i="43"/>
  <c r="Q140" i="43" s="1"/>
  <c r="H139" i="43"/>
  <c r="Q139" i="43" s="1"/>
  <c r="H137" i="43"/>
  <c r="Q137" i="43" s="1"/>
  <c r="H142" i="43"/>
  <c r="Q142" i="43" s="1"/>
  <c r="H141" i="43"/>
  <c r="Q141" i="43" s="1"/>
  <c r="H130" i="43"/>
  <c r="Q130" i="43" s="1"/>
  <c r="H135" i="43"/>
  <c r="Q135" i="43" s="1"/>
  <c r="H43" i="43"/>
  <c r="Q43" i="43" s="1"/>
  <c r="H99" i="43"/>
  <c r="Q99" i="43" s="1"/>
  <c r="H28" i="43"/>
  <c r="Q28" i="43" s="1"/>
  <c r="H96" i="43"/>
  <c r="Q96" i="43" s="1"/>
  <c r="H27" i="43"/>
  <c r="Q27" i="43" s="1"/>
  <c r="H8" i="43"/>
  <c r="Q8" i="43" s="1"/>
  <c r="H46" i="43"/>
  <c r="Q46" i="43" s="1"/>
  <c r="H45" i="43"/>
  <c r="Q45" i="43" s="1"/>
  <c r="H34" i="43"/>
  <c r="Q34" i="43" s="1"/>
  <c r="H26" i="43"/>
  <c r="Q26" i="43" s="1"/>
  <c r="H6" i="43"/>
  <c r="Q6" i="43" s="1"/>
  <c r="H104" i="43"/>
  <c r="Q104" i="43" s="1"/>
  <c r="H93" i="43"/>
  <c r="Q93" i="43" s="1"/>
  <c r="H83" i="43"/>
  <c r="Q83" i="43" s="1"/>
  <c r="H71" i="43"/>
  <c r="Q71" i="43" s="1"/>
  <c r="H59" i="43"/>
  <c r="Q59" i="43" s="1"/>
  <c r="H10" i="43"/>
  <c r="Q10" i="43" s="1"/>
  <c r="H44" i="43"/>
  <c r="Q44" i="43" s="1"/>
  <c r="H25" i="43"/>
  <c r="Q25" i="43" s="1"/>
  <c r="H5" i="43"/>
  <c r="Q5" i="43" s="1"/>
  <c r="H103" i="43"/>
  <c r="Q103" i="43" s="1"/>
  <c r="H92" i="43"/>
  <c r="Q92" i="43" s="1"/>
  <c r="H82" i="43"/>
  <c r="Q82" i="43" s="1"/>
  <c r="H70" i="43"/>
  <c r="Q70" i="43" s="1"/>
  <c r="H58" i="43"/>
  <c r="Q58" i="43" s="1"/>
  <c r="H32" i="43"/>
  <c r="Q32" i="43" s="1"/>
  <c r="H102" i="43"/>
  <c r="Q102" i="43" s="1"/>
  <c r="H91" i="43"/>
  <c r="Q91" i="43" s="1"/>
  <c r="H81" i="43"/>
  <c r="Q81" i="43" s="1"/>
  <c r="H69" i="43"/>
  <c r="Q69" i="43" s="1"/>
  <c r="H57" i="43"/>
  <c r="Q57" i="43" s="1"/>
  <c r="H33" i="43"/>
  <c r="Q33" i="43" s="1"/>
  <c r="H31" i="43"/>
  <c r="Q31" i="43" s="1"/>
  <c r="H15" i="43"/>
  <c r="Q15" i="43" s="1"/>
  <c r="H80" i="43"/>
  <c r="Q80" i="43" s="1"/>
  <c r="W80" i="43" s="1"/>
  <c r="H68" i="43"/>
  <c r="Q68" i="43" s="1"/>
  <c r="H56" i="43"/>
  <c r="Q56" i="43" s="1"/>
  <c r="H24" i="43"/>
  <c r="Q24" i="43" s="1"/>
  <c r="H30" i="43"/>
  <c r="Q30" i="43" s="1"/>
  <c r="H22" i="43"/>
  <c r="Q22" i="43" s="1"/>
  <c r="H14" i="43"/>
  <c r="Q14" i="43" s="1"/>
  <c r="H114" i="43"/>
  <c r="Q114" i="43" s="1"/>
  <c r="H111" i="43"/>
  <c r="Q111" i="43" s="1"/>
  <c r="H101" i="43"/>
  <c r="Q101" i="43" s="1"/>
  <c r="H90" i="43"/>
  <c r="Q90" i="43" s="1"/>
  <c r="Q79" i="43"/>
  <c r="H67" i="43"/>
  <c r="Q67" i="43" s="1"/>
  <c r="H55" i="43"/>
  <c r="Q55" i="43" s="1"/>
  <c r="W55" i="43" s="1"/>
  <c r="H23" i="43"/>
  <c r="Q23" i="43" s="1"/>
  <c r="H42" i="43"/>
  <c r="Q42" i="43" s="1"/>
  <c r="H29" i="43"/>
  <c r="Q29" i="43" s="1"/>
  <c r="H21" i="43"/>
  <c r="Q21" i="43" s="1"/>
  <c r="H13" i="43"/>
  <c r="Q13" i="43" s="1"/>
  <c r="H100" i="43"/>
  <c r="Q100" i="43" s="1"/>
  <c r="H89" i="43"/>
  <c r="Q89" i="43" s="1"/>
  <c r="H78" i="43"/>
  <c r="Q78" i="43" s="1"/>
  <c r="H66" i="43"/>
  <c r="Q66" i="43" s="1"/>
  <c r="H38" i="43"/>
  <c r="Q38" i="43" s="1"/>
  <c r="H16" i="43"/>
  <c r="Q16" i="43" s="1"/>
  <c r="H41" i="43"/>
  <c r="Q41" i="43" s="1"/>
  <c r="H12" i="43"/>
  <c r="Q12" i="43" s="1"/>
  <c r="Q113" i="43"/>
  <c r="H110" i="43"/>
  <c r="Q110" i="43" s="1"/>
  <c r="H88" i="43"/>
  <c r="Q88" i="43" s="1"/>
  <c r="H77" i="43"/>
  <c r="Q77" i="43" s="1"/>
  <c r="H65" i="43"/>
  <c r="Q65" i="43" s="1"/>
  <c r="H54" i="43"/>
  <c r="Q54" i="43" s="1"/>
  <c r="H20" i="43"/>
  <c r="Q20" i="43" s="1"/>
  <c r="H11" i="43"/>
  <c r="Q11" i="43" s="1"/>
  <c r="H112" i="43"/>
  <c r="Q112" i="43" s="1"/>
  <c r="H109" i="43"/>
  <c r="Q109" i="43" s="1"/>
  <c r="H98" i="43"/>
  <c r="Q98" i="43" s="1"/>
  <c r="H87" i="43"/>
  <c r="Q87" i="43" s="1"/>
  <c r="H76" i="43"/>
  <c r="Q76" i="43" s="1"/>
  <c r="H64" i="43"/>
  <c r="Q64" i="43" s="1"/>
  <c r="H53" i="43"/>
  <c r="Q53" i="43" s="1"/>
  <c r="H108" i="43"/>
  <c r="Q108" i="43" s="1"/>
  <c r="H97" i="43"/>
  <c r="Q97" i="43" s="1"/>
  <c r="H86" i="43"/>
  <c r="Q86" i="43" s="1"/>
  <c r="H75" i="43"/>
  <c r="Q75" i="43" s="1"/>
  <c r="H63" i="43"/>
  <c r="Q63" i="43" s="1"/>
  <c r="H39" i="43"/>
  <c r="Q39" i="43" s="1"/>
  <c r="H48" i="43"/>
  <c r="Q48" i="43" s="1"/>
  <c r="H37" i="43"/>
  <c r="Q37" i="43" s="1"/>
  <c r="H19" i="43"/>
  <c r="Q19" i="43" s="1"/>
  <c r="H9" i="43"/>
  <c r="Q9" i="43" s="1"/>
  <c r="H107" i="43"/>
  <c r="Q107" i="43" s="1"/>
  <c r="H85" i="43"/>
  <c r="Q85" i="43" s="1"/>
  <c r="H74" i="43"/>
  <c r="Q74" i="43" s="1"/>
  <c r="H62" i="43"/>
  <c r="Q62" i="43" s="1"/>
  <c r="H47" i="43"/>
  <c r="Q47" i="43" s="1"/>
  <c r="H18" i="43"/>
  <c r="Q18" i="43" s="1"/>
  <c r="H106" i="43"/>
  <c r="Q106" i="43" s="1"/>
  <c r="H95" i="43"/>
  <c r="Q95" i="43" s="1"/>
  <c r="H73" i="43"/>
  <c r="Q73" i="43" s="1"/>
  <c r="H61" i="43"/>
  <c r="Q61" i="43" s="1"/>
  <c r="H40" i="43"/>
  <c r="Q40" i="43" s="1"/>
  <c r="H50" i="43"/>
  <c r="Q50" i="43" s="1"/>
  <c r="W50" i="43" s="1"/>
  <c r="H49" i="43"/>
  <c r="Q49" i="43" s="1"/>
  <c r="H35" i="43"/>
  <c r="Q35" i="43" s="1"/>
  <c r="H17" i="43"/>
  <c r="Q17" i="43" s="1"/>
  <c r="H7" i="43"/>
  <c r="Q7" i="43" s="1"/>
  <c r="H105" i="43"/>
  <c r="Q105" i="43" s="1"/>
  <c r="H94" i="43"/>
  <c r="Q94" i="43" s="1"/>
  <c r="H84" i="43"/>
  <c r="Q84" i="43" s="1"/>
  <c r="H72" i="43"/>
  <c r="Q72" i="43" s="1"/>
  <c r="H60" i="43"/>
  <c r="Q60" i="43" s="1"/>
  <c r="Y10" i="42"/>
  <c r="H151" i="43"/>
  <c r="Q151" i="43" s="1"/>
  <c r="H146" i="43"/>
  <c r="Q146" i="43" s="1"/>
  <c r="H149" i="43"/>
  <c r="Q149" i="43" s="1"/>
  <c r="H150" i="43"/>
  <c r="Q150" i="43" s="1"/>
  <c r="H153" i="43"/>
  <c r="Q153" i="43" s="1"/>
  <c r="H145" i="43"/>
  <c r="Q145" i="43" s="1"/>
  <c r="H147" i="43"/>
  <c r="Q147" i="43" s="1"/>
  <c r="H152" i="43"/>
  <c r="Q152" i="43" s="1"/>
  <c r="H148" i="43"/>
  <c r="Q148" i="43" s="1"/>
  <c r="M2" i="41"/>
  <c r="M3" i="41"/>
  <c r="L6" i="41"/>
  <c r="K6" i="41"/>
  <c r="I725" i="30"/>
  <c r="J725" i="30"/>
  <c r="M6" i="41" l="1"/>
  <c r="N6" i="41" l="1"/>
  <c r="G7" i="19" s="1"/>
  <c r="V16" i="38"/>
  <c r="V15" i="38"/>
  <c r="V14" i="38"/>
  <c r="V13" i="38"/>
  <c r="V3" i="38"/>
  <c r="V4" i="38"/>
  <c r="V5" i="38"/>
  <c r="V6" i="38"/>
  <c r="V7" i="38"/>
  <c r="V8" i="38"/>
  <c r="V9" i="38"/>
  <c r="V2" i="38"/>
  <c r="C4" i="37"/>
  <c r="C5" i="37" s="1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M4" i="3"/>
  <c r="N4" i="1"/>
  <c r="O4" i="1"/>
  <c r="Q4" i="1"/>
  <c r="R4" i="1"/>
  <c r="T4" i="1"/>
  <c r="U4" i="1"/>
  <c r="V4" i="1"/>
  <c r="M4" i="1"/>
  <c r="U16" i="38"/>
  <c r="U15" i="38"/>
  <c r="U14" i="38"/>
  <c r="U13" i="38"/>
  <c r="U3" i="38"/>
  <c r="U4" i="38"/>
  <c r="U5" i="38"/>
  <c r="U6" i="38"/>
  <c r="U7" i="38"/>
  <c r="U8" i="38"/>
  <c r="U9" i="38"/>
  <c r="U2" i="38"/>
  <c r="P18" i="5" l="1"/>
  <c r="P8" i="5"/>
  <c r="P17" i="5"/>
  <c r="P4" i="5"/>
  <c r="P174" i="5"/>
  <c r="P157" i="5"/>
  <c r="P176" i="5"/>
  <c r="P20" i="5"/>
  <c r="P15" i="5"/>
  <c r="R15" i="5" s="1"/>
  <c r="Q15" i="5" s="1"/>
  <c r="P137" i="5"/>
  <c r="R137" i="5" s="1"/>
  <c r="Q137" i="5" s="1"/>
  <c r="P84" i="5"/>
  <c r="R84" i="5" s="1"/>
  <c r="Q84" i="5" s="1"/>
  <c r="P170" i="5"/>
  <c r="R170" i="5" s="1"/>
  <c r="Q170" i="5" s="1"/>
  <c r="P148" i="5"/>
  <c r="R148" i="5" s="1"/>
  <c r="Q148" i="5" s="1"/>
  <c r="P95" i="5"/>
  <c r="R95" i="5" s="1"/>
  <c r="Q95" i="5" s="1"/>
  <c r="P30" i="5"/>
  <c r="R30" i="5" s="1"/>
  <c r="Q30" i="5" s="1"/>
  <c r="P106" i="5"/>
  <c r="R106" i="5" s="1"/>
  <c r="Q106" i="5" s="1"/>
  <c r="P29" i="5"/>
  <c r="R29" i="5" s="1"/>
  <c r="Q29" i="5" s="1"/>
  <c r="P48" i="5"/>
  <c r="P19" i="5"/>
  <c r="P50" i="5"/>
  <c r="P81" i="5"/>
  <c r="R81" i="5" s="1"/>
  <c r="Q81" i="5" s="1"/>
  <c r="P88" i="5"/>
  <c r="R88" i="5" s="1"/>
  <c r="Q88" i="5" s="1"/>
  <c r="P35" i="5"/>
  <c r="R35" i="5" s="1"/>
  <c r="Q35" i="5" s="1"/>
  <c r="P146" i="5"/>
  <c r="R146" i="5" s="1"/>
  <c r="Q146" i="5" s="1"/>
  <c r="P82" i="5"/>
  <c r="R82" i="5" s="1"/>
  <c r="Q82" i="5" s="1"/>
  <c r="P134" i="5"/>
  <c r="R134" i="5" s="1"/>
  <c r="Q134" i="5" s="1"/>
  <c r="P69" i="5"/>
  <c r="R69" i="5" s="1"/>
  <c r="Q69" i="5" s="1"/>
  <c r="P162" i="5"/>
  <c r="R162" i="5" s="1"/>
  <c r="Q162" i="5" s="1"/>
  <c r="P145" i="5"/>
  <c r="P164" i="5"/>
  <c r="P171" i="5"/>
  <c r="P166" i="5"/>
  <c r="P125" i="5"/>
  <c r="R125" i="5" s="1"/>
  <c r="Q125" i="5" s="1"/>
  <c r="P36" i="5"/>
  <c r="R36" i="5" s="1"/>
  <c r="Q36" i="5" s="1"/>
  <c r="P158" i="5"/>
  <c r="R158" i="5" s="1"/>
  <c r="Q158" i="5" s="1"/>
  <c r="P136" i="5"/>
  <c r="R136" i="5" s="1"/>
  <c r="Q136" i="5" s="1"/>
  <c r="P83" i="5"/>
  <c r="R83" i="5" s="1"/>
  <c r="Q83" i="5" s="1"/>
  <c r="P124" i="5"/>
  <c r="R124" i="5" s="1"/>
  <c r="Q124" i="5" s="1"/>
  <c r="R17" i="5"/>
  <c r="Q17" i="5" s="1"/>
  <c r="P38" i="5"/>
  <c r="R38" i="5" s="1"/>
  <c r="Q38" i="5" s="1"/>
  <c r="P64" i="5"/>
  <c r="R64" i="5" s="1"/>
  <c r="Q64" i="5" s="1"/>
  <c r="P150" i="5"/>
  <c r="P133" i="5"/>
  <c r="P152" i="5"/>
  <c r="P159" i="5"/>
  <c r="P154" i="5"/>
  <c r="R154" i="5" s="1"/>
  <c r="Q154" i="5" s="1"/>
  <c r="P113" i="5"/>
  <c r="R113" i="5" s="1"/>
  <c r="Q113" i="5" s="1"/>
  <c r="P24" i="5"/>
  <c r="R24" i="5" s="1"/>
  <c r="Q24" i="5" s="1"/>
  <c r="P71" i="5"/>
  <c r="R71" i="5" s="1"/>
  <c r="Q71" i="5" s="1"/>
  <c r="P97" i="5"/>
  <c r="R97" i="5" s="1"/>
  <c r="Q97" i="5" s="1"/>
  <c r="P127" i="5"/>
  <c r="R127" i="5" s="1"/>
  <c r="Q127" i="5" s="1"/>
  <c r="P138" i="5"/>
  <c r="R138" i="5" s="1"/>
  <c r="Q138" i="5" s="1"/>
  <c r="P121" i="5"/>
  <c r="R121" i="5" s="1"/>
  <c r="Q121" i="5" s="1"/>
  <c r="P140" i="5"/>
  <c r="P147" i="5"/>
  <c r="P142" i="5"/>
  <c r="P101" i="5"/>
  <c r="R101" i="5" s="1"/>
  <c r="Q101" i="5" s="1"/>
  <c r="P12" i="5"/>
  <c r="R12" i="5" s="1"/>
  <c r="Q12" i="5" s="1"/>
  <c r="P122" i="5"/>
  <c r="R122" i="5" s="1"/>
  <c r="Q122" i="5" s="1"/>
  <c r="P112" i="5"/>
  <c r="R112" i="5" s="1"/>
  <c r="Q112" i="5" s="1"/>
  <c r="P59" i="5"/>
  <c r="R59" i="5" s="1"/>
  <c r="Q59" i="5" s="1"/>
  <c r="P114" i="5"/>
  <c r="R114" i="5" s="1"/>
  <c r="Q114" i="5" s="1"/>
  <c r="P109" i="5"/>
  <c r="R109" i="5" s="1"/>
  <c r="Q109" i="5" s="1"/>
  <c r="P128" i="5"/>
  <c r="R128" i="5" s="1"/>
  <c r="Q128" i="5" s="1"/>
  <c r="P135" i="5"/>
  <c r="R135" i="5" s="1"/>
  <c r="Q135" i="5" s="1"/>
  <c r="P130" i="5"/>
  <c r="P77" i="5"/>
  <c r="P175" i="5"/>
  <c r="P110" i="5"/>
  <c r="P100" i="5"/>
  <c r="R100" i="5" s="1"/>
  <c r="Q100" i="5" s="1"/>
  <c r="P47" i="5"/>
  <c r="R47" i="5" s="1"/>
  <c r="Q47" i="5" s="1"/>
  <c r="P104" i="5"/>
  <c r="R104" i="5" s="1"/>
  <c r="Q104" i="5" s="1"/>
  <c r="P46" i="5"/>
  <c r="R46" i="5" s="1"/>
  <c r="Q46" i="5" s="1"/>
  <c r="P120" i="5"/>
  <c r="R120" i="5" s="1"/>
  <c r="Q120" i="5" s="1"/>
  <c r="P115" i="5"/>
  <c r="R115" i="5" s="1"/>
  <c r="Q115" i="5" s="1"/>
  <c r="P98" i="5"/>
  <c r="R98" i="5" s="1"/>
  <c r="Q98" i="5" s="1"/>
  <c r="P14" i="5"/>
  <c r="R14" i="5" s="1"/>
  <c r="Q14" i="5" s="1"/>
  <c r="P57" i="5"/>
  <c r="P52" i="5"/>
  <c r="P85" i="5"/>
  <c r="P116" i="5"/>
  <c r="R116" i="5" s="1"/>
  <c r="Q116" i="5" s="1"/>
  <c r="P111" i="5"/>
  <c r="R111" i="5" s="1"/>
  <c r="Q111" i="5" s="1"/>
  <c r="P94" i="5"/>
  <c r="R94" i="5" s="1"/>
  <c r="Q94" i="5" s="1"/>
  <c r="P163" i="5"/>
  <c r="R163" i="5" s="1"/>
  <c r="Q163" i="5" s="1"/>
  <c r="P26" i="5"/>
  <c r="R26" i="5" s="1"/>
  <c r="Q26" i="5" s="1"/>
  <c r="P23" i="5"/>
  <c r="R23" i="5" s="1"/>
  <c r="Q23" i="5" s="1"/>
  <c r="P102" i="5"/>
  <c r="R102" i="5" s="1"/>
  <c r="Q102" i="5" s="1"/>
  <c r="P53" i="5"/>
  <c r="R53" i="5" s="1"/>
  <c r="Q53" i="5" s="1"/>
  <c r="P76" i="5"/>
  <c r="R76" i="5" s="1"/>
  <c r="Q76" i="5" s="1"/>
  <c r="P78" i="5"/>
  <c r="R78" i="5" s="1"/>
  <c r="Q78" i="5" s="1"/>
  <c r="P73" i="5"/>
  <c r="P92" i="5"/>
  <c r="R92" i="5" s="1"/>
  <c r="Q92" i="5" s="1"/>
  <c r="P99" i="5"/>
  <c r="R99" i="5" s="1"/>
  <c r="Q99" i="5" s="1"/>
  <c r="P70" i="5"/>
  <c r="R70" i="5" s="1"/>
  <c r="Q70" i="5" s="1"/>
  <c r="P41" i="5"/>
  <c r="R41" i="5" s="1"/>
  <c r="Q41" i="5" s="1"/>
  <c r="P151" i="5"/>
  <c r="R151" i="5" s="1"/>
  <c r="Q151" i="5" s="1"/>
  <c r="P165" i="5"/>
  <c r="R165" i="5" s="1"/>
  <c r="Q165" i="5" s="1"/>
  <c r="P28" i="5"/>
  <c r="R28" i="5" s="1"/>
  <c r="Q28" i="5" s="1"/>
  <c r="P123" i="5"/>
  <c r="R123" i="5" s="1"/>
  <c r="Q123" i="5" s="1"/>
  <c r="P22" i="5"/>
  <c r="R22" i="5" s="1"/>
  <c r="Q22" i="5" s="1"/>
  <c r="P108" i="5"/>
  <c r="R108" i="5" s="1"/>
  <c r="Q108" i="5" s="1"/>
  <c r="P103" i="5"/>
  <c r="R103" i="5" s="1"/>
  <c r="Q103" i="5" s="1"/>
  <c r="P86" i="5"/>
  <c r="R86" i="5" s="1"/>
  <c r="Q86" i="5" s="1"/>
  <c r="P129" i="5"/>
  <c r="R129" i="5" s="1"/>
  <c r="Q129" i="5" s="1"/>
  <c r="P45" i="5"/>
  <c r="R45" i="5" s="1"/>
  <c r="Q45" i="5" s="1"/>
  <c r="P40" i="5"/>
  <c r="R40" i="5" s="1"/>
  <c r="Q40" i="5" s="1"/>
  <c r="P66" i="5"/>
  <c r="R66" i="5" s="1"/>
  <c r="Q66" i="5" s="1"/>
  <c r="P61" i="5"/>
  <c r="R61" i="5" s="1"/>
  <c r="Q61" i="5" s="1"/>
  <c r="P80" i="5"/>
  <c r="R80" i="5" s="1"/>
  <c r="Q80" i="5" s="1"/>
  <c r="P87" i="5"/>
  <c r="R87" i="5" s="1"/>
  <c r="Q87" i="5" s="1"/>
  <c r="P58" i="5"/>
  <c r="R58" i="5" s="1"/>
  <c r="Q58" i="5" s="1"/>
  <c r="P168" i="5"/>
  <c r="R168" i="5" s="1"/>
  <c r="Q168" i="5" s="1"/>
  <c r="P139" i="5"/>
  <c r="R139" i="5" s="1"/>
  <c r="Q139" i="5" s="1"/>
  <c r="P153" i="5"/>
  <c r="P167" i="5"/>
  <c r="P16" i="5"/>
  <c r="R16" i="5" s="1"/>
  <c r="Q16" i="5" s="1"/>
  <c r="P144" i="5"/>
  <c r="R144" i="5" s="1"/>
  <c r="Q144" i="5" s="1"/>
  <c r="P54" i="5"/>
  <c r="R54" i="5" s="1"/>
  <c r="Q54" i="5" s="1"/>
  <c r="P49" i="5"/>
  <c r="R49" i="5" s="1"/>
  <c r="Q49" i="5" s="1"/>
  <c r="P68" i="5"/>
  <c r="R68" i="5" s="1"/>
  <c r="Q68" i="5" s="1"/>
  <c r="P75" i="5"/>
  <c r="R75" i="5" s="1"/>
  <c r="Q75" i="5" s="1"/>
  <c r="P34" i="5"/>
  <c r="R34" i="5" s="1"/>
  <c r="Q34" i="5" s="1"/>
  <c r="P156" i="5"/>
  <c r="R156" i="5" s="1"/>
  <c r="Q156" i="5" s="1"/>
  <c r="P79" i="5"/>
  <c r="R79" i="5" s="1"/>
  <c r="Q79" i="5" s="1"/>
  <c r="P141" i="5"/>
  <c r="R141" i="5" s="1"/>
  <c r="Q141" i="5" s="1"/>
  <c r="P155" i="5"/>
  <c r="P126" i="5"/>
  <c r="R126" i="5" s="1"/>
  <c r="Q126" i="5" s="1"/>
  <c r="P39" i="5"/>
  <c r="R39" i="5" s="1"/>
  <c r="Q39" i="5" s="1"/>
  <c r="P89" i="5"/>
  <c r="R89" i="5" s="1"/>
  <c r="Q89" i="5" s="1"/>
  <c r="P72" i="5"/>
  <c r="R72" i="5" s="1"/>
  <c r="Q72" i="5" s="1"/>
  <c r="P91" i="5"/>
  <c r="R91" i="5" s="1"/>
  <c r="Q91" i="5" s="1"/>
  <c r="P74" i="5"/>
  <c r="R74" i="5" s="1"/>
  <c r="Q74" i="5" s="1"/>
  <c r="P105" i="5"/>
  <c r="R105" i="5" s="1"/>
  <c r="Q105" i="5" s="1"/>
  <c r="P33" i="5"/>
  <c r="R33" i="5" s="1"/>
  <c r="Q33" i="5" s="1"/>
  <c r="P117" i="5"/>
  <c r="R117" i="5" s="1"/>
  <c r="Q117" i="5" s="1"/>
  <c r="P42" i="5"/>
  <c r="R42" i="5" s="1"/>
  <c r="Q42" i="5" s="1"/>
  <c r="P37" i="5"/>
  <c r="R37" i="5" s="1"/>
  <c r="Q37" i="5" s="1"/>
  <c r="P56" i="5"/>
  <c r="R56" i="5" s="1"/>
  <c r="Q56" i="5" s="1"/>
  <c r="P63" i="5"/>
  <c r="P173" i="5"/>
  <c r="R173" i="5" s="1"/>
  <c r="Q173" i="5" s="1"/>
  <c r="P55" i="5"/>
  <c r="R55" i="5" s="1"/>
  <c r="Q55" i="5" s="1"/>
  <c r="P143" i="5"/>
  <c r="R143" i="5" s="1"/>
  <c r="Q143" i="5" s="1"/>
  <c r="R18" i="5"/>
  <c r="Q18" i="5" s="1"/>
  <c r="P25" i="5"/>
  <c r="R25" i="5" s="1"/>
  <c r="Q25" i="5" s="1"/>
  <c r="P44" i="5"/>
  <c r="R44" i="5" s="1"/>
  <c r="Q44" i="5" s="1"/>
  <c r="P51" i="5"/>
  <c r="R51" i="5" s="1"/>
  <c r="Q51" i="5" s="1"/>
  <c r="P161" i="5"/>
  <c r="R161" i="5" s="1"/>
  <c r="Q161" i="5" s="1"/>
  <c r="P132" i="5"/>
  <c r="R132" i="5" s="1"/>
  <c r="Q132" i="5" s="1"/>
  <c r="P43" i="5"/>
  <c r="R43" i="5" s="1"/>
  <c r="Q43" i="5" s="1"/>
  <c r="P172" i="5"/>
  <c r="R172" i="5" s="1"/>
  <c r="Q172" i="5" s="1"/>
  <c r="P119" i="5"/>
  <c r="R119" i="5" s="1"/>
  <c r="Q119" i="5" s="1"/>
  <c r="P90" i="5"/>
  <c r="R90" i="5" s="1"/>
  <c r="Q90" i="5" s="1"/>
  <c r="P118" i="5"/>
  <c r="R118" i="5" s="1"/>
  <c r="Q118" i="5" s="1"/>
  <c r="P65" i="5"/>
  <c r="R65" i="5" s="1"/>
  <c r="Q65" i="5" s="1"/>
  <c r="P60" i="5"/>
  <c r="R60" i="5" s="1"/>
  <c r="Q60" i="5" s="1"/>
  <c r="P67" i="5"/>
  <c r="R67" i="5" s="1"/>
  <c r="Q67" i="5" s="1"/>
  <c r="P62" i="5"/>
  <c r="R62" i="5" s="1"/>
  <c r="Q62" i="5" s="1"/>
  <c r="P93" i="5"/>
  <c r="R93" i="5" s="1"/>
  <c r="Q93" i="5" s="1"/>
  <c r="P21" i="5"/>
  <c r="R21" i="5" s="1"/>
  <c r="Q21" i="5" s="1"/>
  <c r="P131" i="5"/>
  <c r="R131" i="5" s="1"/>
  <c r="Q131" i="5" s="1"/>
  <c r="P169" i="5"/>
  <c r="R169" i="5" s="1"/>
  <c r="Q169" i="5" s="1"/>
  <c r="P13" i="5"/>
  <c r="R13" i="5" s="1"/>
  <c r="Q13" i="5" s="1"/>
  <c r="P32" i="5"/>
  <c r="R32" i="5" s="1"/>
  <c r="Q32" i="5" s="1"/>
  <c r="P27" i="5"/>
  <c r="R27" i="5" s="1"/>
  <c r="Q27" i="5" s="1"/>
  <c r="P149" i="5"/>
  <c r="R149" i="5" s="1"/>
  <c r="Q149" i="5" s="1"/>
  <c r="P96" i="5"/>
  <c r="R96" i="5" s="1"/>
  <c r="Q96" i="5" s="1"/>
  <c r="P31" i="5"/>
  <c r="R31" i="5" s="1"/>
  <c r="Q31" i="5" s="1"/>
  <c r="P160" i="5"/>
  <c r="R160" i="5" s="1"/>
  <c r="Q160" i="5" s="1"/>
  <c r="P107" i="5"/>
  <c r="R107" i="5" s="1"/>
  <c r="Q107" i="5" s="1"/>
  <c r="R19" i="5"/>
  <c r="Q19" i="5" s="1"/>
  <c r="R57" i="5"/>
  <c r="Q57" i="5" s="1"/>
  <c r="R4" i="5"/>
  <c r="Q4" i="5" s="1"/>
  <c r="P6" i="5"/>
  <c r="R6" i="5" s="1"/>
  <c r="Q6" i="5" s="1"/>
  <c r="P5" i="5"/>
  <c r="R5" i="5" s="1"/>
  <c r="Q5" i="5" s="1"/>
  <c r="P7" i="5"/>
  <c r="R7" i="5" s="1"/>
  <c r="Q7" i="5" s="1"/>
  <c r="P9" i="5"/>
  <c r="R9" i="5" s="1"/>
  <c r="Q9" i="5" s="1"/>
  <c r="P11" i="5"/>
  <c r="R11" i="5" s="1"/>
  <c r="Q11" i="5" s="1"/>
  <c r="R48" i="5"/>
  <c r="Q48" i="5" s="1"/>
  <c r="R52" i="5"/>
  <c r="Q52" i="5" s="1"/>
  <c r="R85" i="5"/>
  <c r="Q85" i="5" s="1"/>
  <c r="R110" i="5"/>
  <c r="Q110" i="5" s="1"/>
  <c r="R50" i="5"/>
  <c r="Q50" i="5" s="1"/>
  <c r="R130" i="5"/>
  <c r="Q130" i="5" s="1"/>
  <c r="P10" i="5"/>
  <c r="R10" i="5" s="1"/>
  <c r="Q10" i="5" s="1"/>
  <c r="R8" i="5"/>
  <c r="Q8" i="5" s="1"/>
  <c r="R20" i="5"/>
  <c r="Q20" i="5" s="1"/>
  <c r="R63" i="5"/>
  <c r="Q63" i="5" s="1"/>
  <c r="R133" i="5"/>
  <c r="Q133" i="5" s="1"/>
  <c r="R73" i="5"/>
  <c r="Q73" i="5" s="1"/>
  <c r="R77" i="5"/>
  <c r="Q77" i="5" s="1"/>
  <c r="R176" i="5"/>
  <c r="Q176" i="5" s="1"/>
  <c r="R140" i="5"/>
  <c r="Q140" i="5" s="1"/>
  <c r="R175" i="5"/>
  <c r="Q175" i="5" s="1"/>
  <c r="R150" i="5"/>
  <c r="Q150" i="5" s="1"/>
  <c r="R157" i="5"/>
  <c r="Q157" i="5" s="1"/>
  <c r="R145" i="5"/>
  <c r="Q145" i="5" s="1"/>
  <c r="R167" i="5"/>
  <c r="Q167" i="5" s="1"/>
  <c r="R155" i="5"/>
  <c r="Q155" i="5" s="1"/>
  <c r="R171" i="5"/>
  <c r="Q171" i="5" s="1"/>
  <c r="R159" i="5"/>
  <c r="Q159" i="5" s="1"/>
  <c r="R147" i="5"/>
  <c r="Q147" i="5" s="1"/>
  <c r="R174" i="5"/>
  <c r="Q174" i="5" s="1"/>
  <c r="R166" i="5"/>
  <c r="Q166" i="5" s="1"/>
  <c r="R142" i="5"/>
  <c r="Q142" i="5" s="1"/>
  <c r="R164" i="5"/>
  <c r="Q164" i="5" s="1"/>
  <c r="R152" i="5"/>
  <c r="Q152" i="5" s="1"/>
  <c r="R153" i="5"/>
  <c r="Q153" i="5" s="1"/>
  <c r="D12" i="37"/>
  <c r="D19" i="37"/>
  <c r="D15" i="37"/>
  <c r="E12" i="37"/>
  <c r="D18" i="37"/>
  <c r="D14" i="37"/>
  <c r="D17" i="37"/>
  <c r="D13" i="37"/>
  <c r="D11" i="37"/>
  <c r="D16" i="37"/>
  <c r="C12" i="37"/>
  <c r="C16" i="37"/>
  <c r="C11" i="37"/>
  <c r="C14" i="37"/>
  <c r="C18" i="37"/>
  <c r="C13" i="37"/>
  <c r="C15" i="37"/>
  <c r="C19" i="37"/>
  <c r="C17" i="37"/>
  <c r="C7" i="37"/>
  <c r="C6" i="37"/>
  <c r="H6" i="40"/>
  <c r="I3" i="40" s="1"/>
  <c r="H7" i="40"/>
  <c r="I7" i="40" s="1"/>
  <c r="G22" i="39"/>
  <c r="I18" i="39"/>
  <c r="M4" i="39"/>
  <c r="M3" i="39"/>
  <c r="N4" i="39"/>
  <c r="N3" i="39"/>
  <c r="L4" i="39"/>
  <c r="L3" i="39"/>
  <c r="A4" i="39"/>
  <c r="J3" i="40" l="1"/>
  <c r="H54" i="12" l="1"/>
  <c r="I54" i="12" s="1"/>
  <c r="AF121" i="1" s="1"/>
  <c r="H55" i="12"/>
  <c r="I55" i="12" s="1"/>
  <c r="AF52" i="1" s="1"/>
  <c r="H56" i="12"/>
  <c r="I56" i="12" s="1"/>
  <c r="AF8" i="1" s="1"/>
  <c r="H57" i="12"/>
  <c r="I57" i="12" s="1"/>
  <c r="H58" i="12"/>
  <c r="I58" i="12" s="1"/>
  <c r="H59" i="12"/>
  <c r="I59" i="12" s="1"/>
  <c r="AF113" i="1" s="1"/>
  <c r="H60" i="12"/>
  <c r="I60" i="12" s="1"/>
  <c r="AF102" i="1" s="1"/>
  <c r="H61" i="12"/>
  <c r="I61" i="12" s="1"/>
  <c r="AF83" i="1" s="1"/>
  <c r="H62" i="12"/>
  <c r="I62" i="12" s="1"/>
  <c r="AF91" i="1" s="1"/>
  <c r="H63" i="12"/>
  <c r="I63" i="12" s="1"/>
  <c r="AK4" i="1" l="1"/>
  <c r="AL4" i="1" s="1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" i="31"/>
  <c r="AD23" i="1" l="1"/>
  <c r="AD7" i="1"/>
  <c r="AD11" i="1"/>
  <c r="AD15" i="1"/>
  <c r="AD19" i="1"/>
  <c r="AD22" i="1"/>
  <c r="AD25" i="1"/>
  <c r="AD28" i="1"/>
  <c r="AD6" i="1"/>
  <c r="AD10" i="1"/>
  <c r="AD14" i="1"/>
  <c r="AD18" i="1"/>
  <c r="AD12" i="1"/>
  <c r="AD26" i="1"/>
  <c r="AD16" i="1"/>
  <c r="AD21" i="1"/>
  <c r="AD24" i="1"/>
  <c r="AD27" i="1"/>
  <c r="AD8" i="1"/>
  <c r="AD20" i="1"/>
  <c r="AD29" i="1"/>
  <c r="AD5" i="1"/>
  <c r="AD9" i="1"/>
  <c r="AD13" i="1"/>
  <c r="AD17" i="1"/>
  <c r="AD30" i="1"/>
  <c r="AD47" i="1"/>
  <c r="AD48" i="1"/>
  <c r="AD68" i="1"/>
  <c r="AD70" i="1"/>
  <c r="AD71" i="1"/>
  <c r="AD96" i="1"/>
  <c r="AD98" i="1"/>
  <c r="AD121" i="1"/>
  <c r="AD123" i="1"/>
  <c r="AD126" i="1"/>
  <c r="AD127" i="1"/>
  <c r="AD46" i="1"/>
  <c r="AD65" i="1"/>
  <c r="AD67" i="1"/>
  <c r="AD93" i="1"/>
  <c r="AD95" i="1"/>
  <c r="AD120" i="1"/>
  <c r="AD122" i="1"/>
  <c r="AD130" i="1"/>
  <c r="AD44" i="1"/>
  <c r="AD45" i="1"/>
  <c r="AD61" i="1"/>
  <c r="AD64" i="1"/>
  <c r="AD66" i="1"/>
  <c r="AD92" i="1"/>
  <c r="AD94" i="1"/>
  <c r="AD117" i="1"/>
  <c r="AD119" i="1"/>
  <c r="AD43" i="1"/>
  <c r="AD57" i="1"/>
  <c r="AD60" i="1"/>
  <c r="AD62" i="1"/>
  <c r="AD63" i="1"/>
  <c r="AD89" i="1"/>
  <c r="AD91" i="1"/>
  <c r="AD116" i="1"/>
  <c r="AD118" i="1"/>
  <c r="AD41" i="1"/>
  <c r="AD42" i="1"/>
  <c r="AD56" i="1"/>
  <c r="AD58" i="1"/>
  <c r="AD59" i="1"/>
  <c r="AD88" i="1"/>
  <c r="AD90" i="1"/>
  <c r="AD112" i="1"/>
  <c r="AD113" i="1"/>
  <c r="AD115" i="1"/>
  <c r="AD40" i="1"/>
  <c r="AD55" i="1"/>
  <c r="AD85" i="1"/>
  <c r="AD87" i="1"/>
  <c r="AD109" i="1"/>
  <c r="AD111" i="1"/>
  <c r="AD114" i="1"/>
  <c r="AD38" i="1"/>
  <c r="AD39" i="1"/>
  <c r="AD54" i="1"/>
  <c r="AD81" i="1"/>
  <c r="AD84" i="1"/>
  <c r="AD86" i="1"/>
  <c r="AD108" i="1"/>
  <c r="AD110" i="1"/>
  <c r="AD37" i="1"/>
  <c r="AD53" i="1"/>
  <c r="AD80" i="1"/>
  <c r="AD82" i="1"/>
  <c r="AD83" i="1"/>
  <c r="AD105" i="1"/>
  <c r="AD107" i="1"/>
  <c r="AD35" i="1"/>
  <c r="AD36" i="1"/>
  <c r="AD52" i="1"/>
  <c r="AD77" i="1"/>
  <c r="AD79" i="1"/>
  <c r="AD104" i="1"/>
  <c r="AD106" i="1"/>
  <c r="AD34" i="1"/>
  <c r="AD51" i="1"/>
  <c r="AD76" i="1"/>
  <c r="AD78" i="1"/>
  <c r="AD101" i="1"/>
  <c r="AD103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32" i="1"/>
  <c r="AD33" i="1"/>
  <c r="AD50" i="1"/>
  <c r="AD73" i="1"/>
  <c r="AD75" i="1"/>
  <c r="AD100" i="1"/>
  <c r="AD102" i="1"/>
  <c r="AD31" i="1"/>
  <c r="AD49" i="1"/>
  <c r="AD69" i="1"/>
  <c r="AD72" i="1"/>
  <c r="AD74" i="1"/>
  <c r="AD97" i="1"/>
  <c r="AD99" i="1"/>
  <c r="AD124" i="1"/>
  <c r="AD125" i="1"/>
  <c r="AD128" i="1"/>
  <c r="AD129" i="1"/>
  <c r="H51" i="12" l="1"/>
  <c r="I51" i="12" s="1"/>
  <c r="AF120" i="1" s="1"/>
  <c r="H52" i="12"/>
  <c r="I52" i="12" s="1"/>
  <c r="H53" i="12"/>
  <c r="I53" i="12" s="1"/>
  <c r="AF107" i="1" s="1"/>
  <c r="A401" i="28" l="1"/>
  <c r="D401" i="28"/>
  <c r="E401" i="28"/>
  <c r="F401" i="28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A402" i="28"/>
  <c r="D402" i="28"/>
  <c r="E402" i="28"/>
  <c r="A403" i="28"/>
  <c r="D403" i="28"/>
  <c r="E403" i="28"/>
  <c r="A404" i="28"/>
  <c r="D404" i="28"/>
  <c r="E404" i="28"/>
  <c r="A405" i="28"/>
  <c r="D405" i="28"/>
  <c r="E405" i="28"/>
  <c r="A406" i="28"/>
  <c r="D406" i="28"/>
  <c r="E406" i="28"/>
  <c r="A407" i="28"/>
  <c r="D407" i="28"/>
  <c r="E407" i="28"/>
  <c r="A408" i="28"/>
  <c r="D408" i="28"/>
  <c r="E408" i="28"/>
  <c r="A409" i="28"/>
  <c r="D409" i="28"/>
  <c r="E409" i="28"/>
  <c r="A410" i="28"/>
  <c r="D410" i="28"/>
  <c r="E410" i="28"/>
  <c r="A411" i="28"/>
  <c r="D411" i="28"/>
  <c r="E411" i="28"/>
  <c r="A412" i="28"/>
  <c r="D412" i="28"/>
  <c r="E412" i="28"/>
  <c r="A413" i="28"/>
  <c r="D413" i="28"/>
  <c r="E413" i="28"/>
  <c r="A414" i="28"/>
  <c r="D414" i="28"/>
  <c r="E414" i="28"/>
  <c r="A415" i="28"/>
  <c r="D415" i="28"/>
  <c r="E415" i="28"/>
  <c r="A416" i="28"/>
  <c r="D416" i="28"/>
  <c r="E416" i="28"/>
  <c r="A417" i="28"/>
  <c r="D417" i="28"/>
  <c r="E417" i="28"/>
  <c r="A418" i="28"/>
  <c r="D418" i="28"/>
  <c r="E418" i="28"/>
  <c r="A420" i="28"/>
  <c r="D420" i="28"/>
  <c r="E420" i="28"/>
  <c r="A421" i="28"/>
  <c r="D421" i="28"/>
  <c r="E421" i="28"/>
  <c r="A422" i="28"/>
  <c r="D422" i="28"/>
  <c r="E422" i="28"/>
  <c r="A423" i="28"/>
  <c r="D423" i="28"/>
  <c r="E423" i="28"/>
  <c r="A424" i="28"/>
  <c r="D424" i="28"/>
  <c r="E424" i="28"/>
  <c r="O17" i="28" l="1"/>
  <c r="O16" i="28"/>
  <c r="O18" i="28"/>
  <c r="O12" i="28"/>
  <c r="O11" i="28"/>
  <c r="O10" i="28"/>
  <c r="O9" i="28"/>
  <c r="O8" i="28"/>
  <c r="O7" i="28"/>
  <c r="O3" i="28"/>
  <c r="O6" i="28"/>
  <c r="O5" i="28"/>
  <c r="O4" i="28"/>
  <c r="O2" i="28"/>
  <c r="F419" i="28"/>
  <c r="F420" i="28" s="1"/>
  <c r="F421" i="28" s="1"/>
  <c r="F422" i="28" s="1"/>
  <c r="F423" i="28" s="1"/>
  <c r="F424" i="28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U205" i="7" l="1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U266" i="7"/>
  <c r="AU267" i="7"/>
  <c r="AU268" i="7"/>
  <c r="AU269" i="7"/>
  <c r="AU270" i="7"/>
  <c r="AU271" i="7"/>
  <c r="AU272" i="7"/>
  <c r="AU273" i="7"/>
  <c r="AU274" i="7"/>
  <c r="AU275" i="7"/>
  <c r="AU276" i="7"/>
  <c r="AU277" i="7"/>
  <c r="AU278" i="7"/>
  <c r="AU279" i="7"/>
  <c r="AU280" i="7"/>
  <c r="AU281" i="7"/>
  <c r="AU282" i="7"/>
  <c r="AU283" i="7"/>
  <c r="AU284" i="7"/>
  <c r="AU285" i="7"/>
  <c r="AU286" i="7"/>
  <c r="AU287" i="7"/>
  <c r="AU288" i="7"/>
  <c r="AU289" i="7"/>
  <c r="AU290" i="7"/>
  <c r="AU291" i="7"/>
  <c r="AU292" i="7"/>
  <c r="AU293" i="7"/>
  <c r="AU294" i="7"/>
  <c r="AU295" i="7"/>
  <c r="AU296" i="7"/>
  <c r="AU297" i="7"/>
  <c r="AU298" i="7"/>
  <c r="AU299" i="7"/>
  <c r="AU300" i="7"/>
  <c r="AU301" i="7"/>
  <c r="AU302" i="7"/>
  <c r="AU303" i="7"/>
  <c r="AU304" i="7"/>
  <c r="AU305" i="7"/>
  <c r="AU306" i="7"/>
  <c r="AU307" i="7"/>
  <c r="AU308" i="7"/>
  <c r="AU309" i="7"/>
  <c r="AU310" i="7"/>
  <c r="AU311" i="7"/>
  <c r="AU312" i="7"/>
  <c r="AU313" i="7"/>
  <c r="AU314" i="7"/>
  <c r="AU315" i="7"/>
  <c r="AU316" i="7"/>
  <c r="AU317" i="7"/>
  <c r="AU318" i="7"/>
  <c r="AU319" i="7"/>
  <c r="AU320" i="7"/>
  <c r="AU321" i="7"/>
  <c r="AU322" i="7"/>
  <c r="AU323" i="7"/>
  <c r="AU324" i="7"/>
  <c r="AU325" i="7"/>
  <c r="AU326" i="7"/>
  <c r="AU327" i="7"/>
  <c r="AU328" i="7"/>
  <c r="AU329" i="7"/>
  <c r="AU330" i="7"/>
  <c r="AU331" i="7"/>
  <c r="AU332" i="7"/>
  <c r="AU333" i="7"/>
  <c r="AU334" i="7"/>
  <c r="AU335" i="7"/>
  <c r="AU336" i="7"/>
  <c r="AU337" i="7"/>
  <c r="AU338" i="7"/>
  <c r="AU339" i="7"/>
  <c r="AU340" i="7"/>
  <c r="AU341" i="7"/>
  <c r="AU342" i="7"/>
  <c r="AU343" i="7"/>
  <c r="AU344" i="7"/>
  <c r="AU345" i="7"/>
  <c r="AU346" i="7"/>
  <c r="AU347" i="7"/>
  <c r="AU348" i="7"/>
  <c r="AU349" i="7"/>
  <c r="AU350" i="7"/>
  <c r="AU351" i="7"/>
  <c r="AU352" i="7"/>
  <c r="AU353" i="7"/>
  <c r="AU354" i="7"/>
  <c r="AU355" i="7"/>
  <c r="AU356" i="7"/>
  <c r="AU357" i="7"/>
  <c r="AU358" i="7"/>
  <c r="AU359" i="7"/>
  <c r="AU360" i="7"/>
  <c r="AU361" i="7"/>
  <c r="AU362" i="7"/>
  <c r="AU363" i="7"/>
  <c r="AU364" i="7"/>
  <c r="AU365" i="7"/>
  <c r="AU366" i="7"/>
  <c r="AU367" i="7"/>
  <c r="AU368" i="7"/>
  <c r="AU369" i="7"/>
  <c r="AU370" i="7"/>
  <c r="AU371" i="7"/>
  <c r="AU372" i="7"/>
  <c r="AU373" i="7"/>
  <c r="AU374" i="7"/>
  <c r="AU375" i="7"/>
  <c r="AU376" i="7"/>
  <c r="AU377" i="7"/>
  <c r="AU378" i="7"/>
  <c r="AU379" i="7"/>
  <c r="AU380" i="7"/>
  <c r="AU381" i="7"/>
  <c r="AU382" i="7"/>
  <c r="AU383" i="7"/>
  <c r="AU384" i="7"/>
  <c r="AU385" i="7"/>
  <c r="AU386" i="7"/>
  <c r="AU387" i="7"/>
  <c r="AU388" i="7"/>
  <c r="AU389" i="7"/>
  <c r="AU390" i="7"/>
  <c r="AU391" i="7"/>
  <c r="AU392" i="7"/>
  <c r="AU393" i="7"/>
  <c r="AU394" i="7"/>
  <c r="AU395" i="7"/>
  <c r="AU396" i="7"/>
  <c r="AU397" i="7"/>
  <c r="AU398" i="7"/>
  <c r="AU399" i="7"/>
  <c r="AU400" i="7"/>
  <c r="AU401" i="7"/>
  <c r="AU402" i="7"/>
  <c r="AU403" i="7"/>
  <c r="AU404" i="7"/>
  <c r="AU405" i="7"/>
  <c r="AU406" i="7"/>
  <c r="AU407" i="7"/>
  <c r="AU408" i="7"/>
  <c r="AU409" i="7"/>
  <c r="AU410" i="7"/>
  <c r="AU411" i="7"/>
  <c r="AU412" i="7"/>
  <c r="AU413" i="7"/>
  <c r="AU414" i="7"/>
  <c r="AU415" i="7"/>
  <c r="AU416" i="7"/>
  <c r="AU417" i="7"/>
  <c r="AU418" i="7"/>
  <c r="AU419" i="7"/>
  <c r="AU420" i="7"/>
  <c r="AU421" i="7"/>
  <c r="AU422" i="7"/>
  <c r="AU423" i="7"/>
  <c r="AU424" i="7"/>
  <c r="AU425" i="7"/>
  <c r="AU426" i="7"/>
  <c r="AU427" i="7"/>
  <c r="AU428" i="7"/>
  <c r="AU429" i="7"/>
  <c r="AU430" i="7"/>
  <c r="AU431" i="7"/>
  <c r="AU432" i="7"/>
  <c r="AU433" i="7"/>
  <c r="AU434" i="7"/>
  <c r="AU435" i="7"/>
  <c r="AU436" i="7"/>
  <c r="AU437" i="7"/>
  <c r="AU438" i="7"/>
  <c r="AU439" i="7"/>
  <c r="AU440" i="7"/>
  <c r="AU441" i="7"/>
  <c r="AU442" i="7"/>
  <c r="AU443" i="7"/>
  <c r="AU444" i="7"/>
  <c r="AU445" i="7"/>
  <c r="AU446" i="7"/>
  <c r="AU447" i="7"/>
  <c r="AU448" i="7"/>
  <c r="AU449" i="7"/>
  <c r="AU450" i="7"/>
  <c r="AU451" i="7"/>
  <c r="AU452" i="7"/>
  <c r="AU453" i="7"/>
  <c r="AU454" i="7"/>
  <c r="AU455" i="7"/>
  <c r="AU456" i="7"/>
  <c r="AU457" i="7"/>
  <c r="AU458" i="7"/>
  <c r="AU459" i="7"/>
  <c r="AU460" i="7"/>
  <c r="AU461" i="7"/>
  <c r="AU462" i="7"/>
  <c r="AU463" i="7"/>
  <c r="AU464" i="7"/>
  <c r="AU465" i="7"/>
  <c r="AU466" i="7"/>
  <c r="AU467" i="7"/>
  <c r="AU468" i="7"/>
  <c r="AU469" i="7"/>
  <c r="AU470" i="7"/>
  <c r="AU471" i="7"/>
  <c r="AU472" i="7"/>
  <c r="AU473" i="7"/>
  <c r="AU474" i="7"/>
  <c r="AU475" i="7"/>
  <c r="AU476" i="7"/>
  <c r="AU477" i="7"/>
  <c r="AU478" i="7"/>
  <c r="AU479" i="7"/>
  <c r="AU480" i="7"/>
  <c r="AU481" i="7"/>
  <c r="AU482" i="7"/>
  <c r="AU483" i="7"/>
  <c r="AU484" i="7"/>
  <c r="AU485" i="7"/>
  <c r="AU486" i="7"/>
  <c r="AU487" i="7"/>
  <c r="AU488" i="7"/>
  <c r="AU489" i="7"/>
  <c r="AU490" i="7"/>
  <c r="AU491" i="7"/>
  <c r="AU492" i="7"/>
  <c r="AU493" i="7"/>
  <c r="AU494" i="7"/>
  <c r="AU495" i="7"/>
  <c r="AU496" i="7"/>
  <c r="AU497" i="7"/>
  <c r="AU498" i="7"/>
  <c r="AU499" i="7"/>
  <c r="AU500" i="7"/>
  <c r="AU501" i="7"/>
  <c r="AU502" i="7"/>
  <c r="AU503" i="7"/>
  <c r="AU504" i="7"/>
  <c r="AU505" i="7"/>
  <c r="AU506" i="7"/>
  <c r="AU507" i="7"/>
  <c r="AU508" i="7"/>
  <c r="AU509" i="7"/>
  <c r="AU510" i="7"/>
  <c r="AU511" i="7"/>
  <c r="AU512" i="7"/>
  <c r="AU513" i="7"/>
  <c r="AU514" i="7"/>
  <c r="AU515" i="7"/>
  <c r="AU516" i="7"/>
  <c r="AU517" i="7"/>
  <c r="AU518" i="7"/>
  <c r="AU519" i="7"/>
  <c r="AU520" i="7"/>
  <c r="AU521" i="7"/>
  <c r="AU522" i="7"/>
  <c r="AU523" i="7"/>
  <c r="AU524" i="7"/>
  <c r="AU525" i="7"/>
  <c r="AU526" i="7"/>
  <c r="AU527" i="7"/>
  <c r="AU528" i="7"/>
  <c r="AU529" i="7"/>
  <c r="AU530" i="7"/>
  <c r="AU531" i="7"/>
  <c r="AU532" i="7"/>
  <c r="AU533" i="7"/>
  <c r="AU534" i="7"/>
  <c r="AU535" i="7"/>
  <c r="AU536" i="7"/>
  <c r="AU537" i="7"/>
  <c r="AU538" i="7"/>
  <c r="AU539" i="7"/>
  <c r="AU540" i="7"/>
  <c r="AU541" i="7"/>
  <c r="AU542" i="7"/>
  <c r="AU543" i="7"/>
  <c r="AU544" i="7"/>
  <c r="AU545" i="7"/>
  <c r="AU546" i="7"/>
  <c r="AU547" i="7"/>
  <c r="AU548" i="7"/>
  <c r="AU549" i="7"/>
  <c r="AU550" i="7"/>
  <c r="AU551" i="7"/>
  <c r="AU552" i="7"/>
  <c r="AU553" i="7"/>
  <c r="AU554" i="7"/>
  <c r="AU555" i="7"/>
  <c r="AU556" i="7"/>
  <c r="AU557" i="7"/>
  <c r="AU558" i="7"/>
  <c r="AU559" i="7"/>
  <c r="AU560" i="7"/>
  <c r="AU561" i="7"/>
  <c r="AU562" i="7"/>
  <c r="AU563" i="7"/>
  <c r="AU564" i="7"/>
  <c r="AU565" i="7"/>
  <c r="AU566" i="7"/>
  <c r="AU567" i="7"/>
  <c r="AU568" i="7"/>
  <c r="AU569" i="7"/>
  <c r="AU570" i="7"/>
  <c r="AU571" i="7"/>
  <c r="AU572" i="7"/>
  <c r="AU573" i="7"/>
  <c r="AU574" i="7"/>
  <c r="AU575" i="7"/>
  <c r="AU576" i="7"/>
  <c r="AU577" i="7"/>
  <c r="AU578" i="7"/>
  <c r="AU579" i="7"/>
  <c r="AU580" i="7"/>
  <c r="AU581" i="7"/>
  <c r="AU582" i="7"/>
  <c r="AU583" i="7"/>
  <c r="AU584" i="7"/>
  <c r="AU585" i="7"/>
  <c r="AU586" i="7"/>
  <c r="AU587" i="7"/>
  <c r="AU588" i="7"/>
  <c r="AU589" i="7"/>
  <c r="AU590" i="7"/>
  <c r="AU591" i="7"/>
  <c r="AU592" i="7"/>
  <c r="AU593" i="7"/>
  <c r="AU594" i="7"/>
  <c r="AU595" i="7"/>
  <c r="AU596" i="7"/>
  <c r="AU597" i="7"/>
  <c r="AU598" i="7"/>
  <c r="AU599" i="7"/>
  <c r="AU600" i="7"/>
  <c r="AU601" i="7"/>
  <c r="AU602" i="7"/>
  <c r="AU603" i="7"/>
  <c r="AU604" i="7"/>
  <c r="AU605" i="7"/>
  <c r="AU606" i="7"/>
  <c r="AU607" i="7"/>
  <c r="AU608" i="7"/>
  <c r="AU609" i="7"/>
  <c r="AU610" i="7"/>
  <c r="AU611" i="7"/>
  <c r="AU612" i="7"/>
  <c r="AU613" i="7"/>
  <c r="AU614" i="7"/>
  <c r="AU615" i="7"/>
  <c r="AU616" i="7"/>
  <c r="AU617" i="7"/>
  <c r="AU618" i="7"/>
  <c r="AU619" i="7"/>
  <c r="AU620" i="7"/>
  <c r="AU621" i="7"/>
  <c r="AU622" i="7"/>
  <c r="AU623" i="7"/>
  <c r="AU624" i="7"/>
  <c r="AU625" i="7"/>
  <c r="AU626" i="7"/>
  <c r="AU627" i="7"/>
  <c r="AU628" i="7"/>
  <c r="AU629" i="7"/>
  <c r="AU630" i="7"/>
  <c r="AU631" i="7"/>
  <c r="AU632" i="7"/>
  <c r="AU633" i="7"/>
  <c r="AU634" i="7"/>
  <c r="AU635" i="7"/>
  <c r="AU636" i="7"/>
  <c r="AU637" i="7"/>
  <c r="AU638" i="7"/>
  <c r="AU639" i="7"/>
  <c r="AU640" i="7"/>
  <c r="AU641" i="7"/>
  <c r="AU642" i="7"/>
  <c r="AU643" i="7"/>
  <c r="AU644" i="7"/>
  <c r="AU645" i="7"/>
  <c r="AU646" i="7"/>
  <c r="AU647" i="7"/>
  <c r="AU648" i="7"/>
  <c r="AU649" i="7"/>
  <c r="AU650" i="7"/>
  <c r="AU651" i="7"/>
  <c r="AU652" i="7"/>
  <c r="AU653" i="7"/>
  <c r="AU654" i="7"/>
  <c r="AU655" i="7"/>
  <c r="AU656" i="7"/>
  <c r="AU657" i="7"/>
  <c r="AU658" i="7"/>
  <c r="AU659" i="7"/>
  <c r="AU660" i="7"/>
  <c r="AU661" i="7"/>
  <c r="AU662" i="7"/>
  <c r="AU663" i="7"/>
  <c r="AU664" i="7"/>
  <c r="AU665" i="7"/>
  <c r="AU666" i="7"/>
  <c r="AU667" i="7"/>
  <c r="AU668" i="7"/>
  <c r="AU669" i="7"/>
  <c r="AU670" i="7"/>
  <c r="AU671" i="7"/>
  <c r="AU672" i="7"/>
  <c r="AU673" i="7"/>
  <c r="AU674" i="7"/>
  <c r="AU675" i="7"/>
  <c r="AU676" i="7"/>
  <c r="AU677" i="7"/>
  <c r="AU678" i="7"/>
  <c r="AU679" i="7"/>
  <c r="AU680" i="7"/>
  <c r="AU681" i="7"/>
  <c r="AU682" i="7"/>
  <c r="AU683" i="7"/>
  <c r="AU684" i="7"/>
  <c r="AU685" i="7"/>
  <c r="AU686" i="7"/>
  <c r="AU687" i="7"/>
  <c r="AU688" i="7"/>
  <c r="AU689" i="7"/>
  <c r="AU690" i="7"/>
  <c r="AU691" i="7"/>
  <c r="AU692" i="7"/>
  <c r="AU693" i="7"/>
  <c r="AU694" i="7"/>
  <c r="AU695" i="7"/>
  <c r="AU696" i="7"/>
  <c r="AU697" i="7"/>
  <c r="AU698" i="7"/>
  <c r="AU699" i="7"/>
  <c r="AU700" i="7"/>
  <c r="AU701" i="7"/>
  <c r="AU702" i="7"/>
  <c r="AU703" i="7"/>
  <c r="AU704" i="7"/>
  <c r="AU705" i="7"/>
  <c r="AU706" i="7"/>
  <c r="AU707" i="7"/>
  <c r="AU708" i="7"/>
  <c r="AU709" i="7"/>
  <c r="AU710" i="7"/>
  <c r="AU711" i="7"/>
  <c r="AU712" i="7"/>
  <c r="AU713" i="7"/>
  <c r="AU714" i="7"/>
  <c r="AU715" i="7"/>
  <c r="AU716" i="7"/>
  <c r="AU717" i="7"/>
  <c r="AU718" i="7"/>
  <c r="AU719" i="7"/>
  <c r="AU720" i="7"/>
  <c r="AU721" i="7"/>
  <c r="AU722" i="7"/>
  <c r="AU723" i="7"/>
  <c r="AU724" i="7"/>
  <c r="AU725" i="7"/>
  <c r="AU726" i="7"/>
  <c r="AU727" i="7"/>
  <c r="AU728" i="7"/>
  <c r="AU729" i="7"/>
  <c r="AU730" i="7"/>
  <c r="AU731" i="7"/>
  <c r="AU732" i="7"/>
  <c r="AU733" i="7"/>
  <c r="AU734" i="7"/>
  <c r="AU735" i="7"/>
  <c r="AU736" i="7"/>
  <c r="AU737" i="7"/>
  <c r="AU738" i="7"/>
  <c r="AU739" i="7"/>
  <c r="AU740" i="7"/>
  <c r="AU741" i="7"/>
  <c r="AU742" i="7"/>
  <c r="AU743" i="7"/>
  <c r="AU744" i="7"/>
  <c r="AU745" i="7"/>
  <c r="AU746" i="7"/>
  <c r="AU747" i="7"/>
  <c r="AU748" i="7"/>
  <c r="AU749" i="7"/>
  <c r="AU750" i="7"/>
  <c r="AU751" i="7"/>
  <c r="AU752" i="7"/>
  <c r="AU753" i="7"/>
  <c r="AU754" i="7"/>
  <c r="AU755" i="7"/>
  <c r="AU756" i="7"/>
  <c r="AU757" i="7"/>
  <c r="AU758" i="7"/>
  <c r="AU759" i="7"/>
  <c r="AU760" i="7"/>
  <c r="AU761" i="7"/>
  <c r="AU762" i="7"/>
  <c r="AU763" i="7"/>
  <c r="AU76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4" i="7"/>
  <c r="AG23" i="7" l="1"/>
  <c r="I675" i="30"/>
  <c r="I676" i="30"/>
  <c r="I677" i="30"/>
  <c r="I678" i="30"/>
  <c r="I679" i="30"/>
  <c r="I680" i="30"/>
  <c r="I681" i="30"/>
  <c r="I682" i="30"/>
  <c r="I683" i="30"/>
  <c r="I674" i="30"/>
  <c r="J401" i="28"/>
  <c r="AC139" i="1" l="1"/>
  <c r="AC138" i="1"/>
  <c r="E13" i="37"/>
  <c r="I4" i="43"/>
  <c r="R4" i="43" s="1"/>
  <c r="AC4" i="1"/>
  <c r="G10" i="19"/>
  <c r="G11" i="19"/>
  <c r="G12" i="19"/>
  <c r="G9" i="19"/>
  <c r="E16" i="37" l="1"/>
  <c r="C23" i="44"/>
  <c r="D23" i="44"/>
  <c r="R7" i="28"/>
  <c r="R6" i="28"/>
  <c r="R5" i="28"/>
  <c r="R2" i="28"/>
  <c r="AD10" i="42" s="1"/>
  <c r="N2" i="28"/>
  <c r="AJ15" i="3" s="1"/>
  <c r="S3" i="30"/>
  <c r="AE5" i="3" s="1"/>
  <c r="S4" i="30"/>
  <c r="AE6" i="3" s="1"/>
  <c r="S5" i="30"/>
  <c r="AE7" i="3" s="1"/>
  <c r="S6" i="30"/>
  <c r="AE8" i="3" s="1"/>
  <c r="S7" i="30"/>
  <c r="AE9" i="3" s="1"/>
  <c r="S8" i="30"/>
  <c r="AE10" i="3" s="1"/>
  <c r="S9" i="30"/>
  <c r="AE11" i="3" s="1"/>
  <c r="S10" i="30"/>
  <c r="AE12" i="3" s="1"/>
  <c r="S11" i="30"/>
  <c r="AE13" i="3" s="1"/>
  <c r="S12" i="30"/>
  <c r="AE14" i="3" s="1"/>
  <c r="S13" i="30"/>
  <c r="AE15" i="3" s="1"/>
  <c r="S2" i="30"/>
  <c r="E23" i="44" l="1"/>
  <c r="S11" i="33"/>
  <c r="S10" i="33"/>
  <c r="S7" i="33"/>
  <c r="S6" i="33"/>
  <c r="S4" i="33"/>
  <c r="S3" i="33"/>
  <c r="R12" i="33"/>
  <c r="U28" i="33"/>
  <c r="T28" i="33"/>
  <c r="S28" i="33"/>
  <c r="R28" i="33"/>
  <c r="Q28" i="33"/>
  <c r="P28" i="33"/>
  <c r="R9" i="33"/>
  <c r="U27" i="33"/>
  <c r="T27" i="33"/>
  <c r="S27" i="33"/>
  <c r="R27" i="33"/>
  <c r="Q27" i="33"/>
  <c r="P27" i="33"/>
  <c r="R8" i="33"/>
  <c r="U26" i="33"/>
  <c r="T26" i="33"/>
  <c r="S26" i="33"/>
  <c r="R26" i="33"/>
  <c r="Q26" i="33"/>
  <c r="P26" i="33"/>
  <c r="U25" i="33"/>
  <c r="T25" i="33"/>
  <c r="S25" i="33"/>
  <c r="R25" i="33"/>
  <c r="Q25" i="33"/>
  <c r="P25" i="33"/>
  <c r="Q13" i="33"/>
  <c r="U24" i="33"/>
  <c r="T24" i="33"/>
  <c r="S24" i="33"/>
  <c r="R24" i="33"/>
  <c r="Q24" i="33"/>
  <c r="P24" i="33"/>
  <c r="R5" i="33"/>
  <c r="U23" i="33"/>
  <c r="T23" i="33"/>
  <c r="S23" i="33"/>
  <c r="R23" i="33"/>
  <c r="Q23" i="33"/>
  <c r="P23" i="33"/>
  <c r="U22" i="33"/>
  <c r="T22" i="33"/>
  <c r="S22" i="33"/>
  <c r="R22" i="33"/>
  <c r="Q22" i="33"/>
  <c r="P22" i="33"/>
  <c r="R3" i="33"/>
  <c r="U21" i="33"/>
  <c r="T21" i="33"/>
  <c r="S21" i="33"/>
  <c r="R21" i="33"/>
  <c r="Q21" i="33"/>
  <c r="P21" i="33"/>
  <c r="U20" i="33"/>
  <c r="T20" i="33"/>
  <c r="S20" i="33"/>
  <c r="R20" i="33"/>
  <c r="Q20" i="33"/>
  <c r="P20" i="33"/>
  <c r="U19" i="33"/>
  <c r="T19" i="33"/>
  <c r="S19" i="33"/>
  <c r="R19" i="33"/>
  <c r="Q19" i="33"/>
  <c r="P19" i="33"/>
  <c r="Q10" i="33"/>
  <c r="Q9" i="33"/>
  <c r="Q6" i="33"/>
  <c r="Q5" i="33"/>
  <c r="U12" i="33"/>
  <c r="T12" i="33"/>
  <c r="S12" i="33"/>
  <c r="U11" i="33"/>
  <c r="T11" i="33"/>
  <c r="R11" i="33"/>
  <c r="U10" i="33"/>
  <c r="AA147" i="1" s="1"/>
  <c r="J151" i="43" s="1"/>
  <c r="S151" i="43" s="1"/>
  <c r="T10" i="33"/>
  <c r="R10" i="33"/>
  <c r="U9" i="33"/>
  <c r="T9" i="33"/>
  <c r="S9" i="33"/>
  <c r="P10" i="33"/>
  <c r="U8" i="33"/>
  <c r="T8" i="33"/>
  <c r="S8" i="33"/>
  <c r="P14" i="33"/>
  <c r="U7" i="33"/>
  <c r="T7" i="33"/>
  <c r="R7" i="33"/>
  <c r="P8" i="33"/>
  <c r="U6" i="33"/>
  <c r="AA148" i="1" s="1"/>
  <c r="J152" i="43" s="1"/>
  <c r="S152" i="43" s="1"/>
  <c r="T6" i="33"/>
  <c r="R6" i="33"/>
  <c r="P7" i="33"/>
  <c r="U5" i="33"/>
  <c r="AA141" i="1" s="1"/>
  <c r="J145" i="43" s="1"/>
  <c r="S145" i="43" s="1"/>
  <c r="T5" i="33"/>
  <c r="S5" i="33"/>
  <c r="P6" i="33"/>
  <c r="U4" i="33"/>
  <c r="T4" i="33"/>
  <c r="P5" i="33"/>
  <c r="U3" i="33"/>
  <c r="T3" i="33"/>
  <c r="P4" i="33"/>
  <c r="P3" i="33"/>
  <c r="AA140" i="1" l="1"/>
  <c r="J144" i="43" s="1"/>
  <c r="S144" i="43" s="1"/>
  <c r="AA145" i="1"/>
  <c r="J149" i="43" s="1"/>
  <c r="S149" i="43" s="1"/>
  <c r="AA142" i="1"/>
  <c r="J146" i="43" s="1"/>
  <c r="S146" i="43" s="1"/>
  <c r="AA143" i="1"/>
  <c r="J147" i="43" s="1"/>
  <c r="S147" i="43" s="1"/>
  <c r="AA146" i="1"/>
  <c r="J150" i="43" s="1"/>
  <c r="S150" i="43" s="1"/>
  <c r="AA144" i="1"/>
  <c r="J148" i="43" s="1"/>
  <c r="S148" i="43" s="1"/>
  <c r="AA139" i="1"/>
  <c r="J143" i="43" s="1"/>
  <c r="S143" i="43" s="1"/>
  <c r="AA138" i="1"/>
  <c r="J142" i="43" s="1"/>
  <c r="S142" i="43" s="1"/>
  <c r="P12" i="33"/>
  <c r="Q8" i="33"/>
  <c r="Q7" i="33"/>
  <c r="P11" i="33"/>
  <c r="P15" i="33"/>
  <c r="Q3" i="33"/>
  <c r="P13" i="33"/>
  <c r="Q12" i="33"/>
  <c r="Q14" i="33"/>
  <c r="R4" i="33"/>
  <c r="Q15" i="33"/>
  <c r="Q4" i="33"/>
  <c r="Q11" i="33"/>
  <c r="P9" i="33"/>
  <c r="J6" i="43"/>
  <c r="S6" i="43" s="1"/>
  <c r="J18" i="43"/>
  <c r="S18" i="43" s="1"/>
  <c r="J9" i="43"/>
  <c r="S9" i="43" s="1"/>
  <c r="J12" i="43"/>
  <c r="S12" i="43" s="1"/>
  <c r="J19" i="43"/>
  <c r="S19" i="43" s="1"/>
  <c r="J10" i="43"/>
  <c r="S10" i="43" s="1"/>
  <c r="J11" i="43"/>
  <c r="S11" i="43" s="1"/>
  <c r="J16" i="43"/>
  <c r="S16" i="43" s="1"/>
  <c r="J7" i="43"/>
  <c r="S7" i="43" s="1"/>
  <c r="J5" i="43"/>
  <c r="S5" i="43" s="1"/>
  <c r="J8" i="43"/>
  <c r="S8" i="43" s="1"/>
  <c r="J21" i="43"/>
  <c r="S21" i="43" s="1"/>
  <c r="J13" i="43"/>
  <c r="S13" i="43" s="1"/>
  <c r="J123" i="43"/>
  <c r="S123" i="43" s="1"/>
  <c r="J120" i="43"/>
  <c r="S120" i="43" s="1"/>
  <c r="J112" i="43"/>
  <c r="S112" i="43" s="1"/>
  <c r="J115" i="43"/>
  <c r="S115" i="43" s="1"/>
  <c r="J118" i="43"/>
  <c r="S118" i="43" s="1"/>
  <c r="J124" i="43"/>
  <c r="S124" i="43" s="1"/>
  <c r="J121" i="43"/>
  <c r="S121" i="43" s="1"/>
  <c r="J117" i="43"/>
  <c r="S117" i="43" s="1"/>
  <c r="J114" i="43"/>
  <c r="S114" i="43" s="1"/>
  <c r="J113" i="43"/>
  <c r="S113" i="43" s="1"/>
  <c r="J116" i="43"/>
  <c r="S116" i="43" s="1"/>
  <c r="J122" i="43"/>
  <c r="S122" i="43" s="1"/>
  <c r="J119" i="43"/>
  <c r="S119" i="43" s="1"/>
  <c r="E12" i="44"/>
  <c r="E8" i="44"/>
  <c r="E13" i="44"/>
  <c r="E9" i="44"/>
  <c r="E14" i="44"/>
  <c r="E10" i="44"/>
  <c r="E11" i="44"/>
  <c r="E7" i="44"/>
  <c r="AA4" i="1"/>
  <c r="AG25" i="7"/>
  <c r="AH25" i="7"/>
  <c r="AG24" i="7"/>
  <c r="AH24" i="7"/>
  <c r="AH23" i="7"/>
  <c r="J17" i="43" l="1"/>
  <c r="S17" i="43" s="1"/>
  <c r="J20" i="43"/>
  <c r="S20" i="43" s="1"/>
  <c r="J14" i="43"/>
  <c r="S14" i="43" s="1"/>
  <c r="J22" i="43"/>
  <c r="S22" i="43" s="1"/>
  <c r="J15" i="43"/>
  <c r="S15" i="43" s="1"/>
  <c r="AH29" i="7"/>
  <c r="AG29" i="7"/>
  <c r="E14" i="37"/>
  <c r="J4" i="43"/>
  <c r="S4" i="43" s="1"/>
  <c r="AC4" i="42" l="1"/>
  <c r="AC3" i="42"/>
  <c r="AC5" i="42"/>
  <c r="AC11" i="42" s="1"/>
  <c r="AC10" i="42"/>
  <c r="R22" i="32"/>
  <c r="Q22" i="32"/>
  <c r="P22" i="32"/>
  <c r="O22" i="32"/>
  <c r="N22" i="32"/>
  <c r="M22" i="32"/>
  <c r="Q17" i="32"/>
  <c r="P17" i="32"/>
  <c r="O17" i="32"/>
  <c r="N17" i="32"/>
  <c r="M17" i="32"/>
  <c r="AL5" i="3"/>
  <c r="AL6" i="3"/>
  <c r="AL7" i="3"/>
  <c r="AL8" i="3"/>
  <c r="AL9" i="3"/>
  <c r="AL10" i="3"/>
  <c r="AL11" i="3"/>
  <c r="AL12" i="3"/>
  <c r="AL13" i="3"/>
  <c r="AL15" i="3"/>
  <c r="AL4" i="3"/>
  <c r="AP4" i="3"/>
  <c r="AD4" i="1"/>
  <c r="E17" i="37" s="1"/>
  <c r="G5" i="19" l="1"/>
  <c r="S21" i="30" l="1"/>
  <c r="R21" i="30"/>
  <c r="Q21" i="30"/>
  <c r="P21" i="30"/>
  <c r="O21" i="30"/>
  <c r="N21" i="30"/>
  <c r="O16" i="30"/>
  <c r="P16" i="30"/>
  <c r="Q16" i="30"/>
  <c r="R16" i="30"/>
  <c r="S16" i="30"/>
  <c r="N16" i="30"/>
  <c r="S19" i="30"/>
  <c r="Z3" i="42" s="1"/>
  <c r="S17" i="30"/>
  <c r="Z5" i="42" s="1"/>
  <c r="Z11" i="42" s="1"/>
  <c r="N19" i="30"/>
  <c r="O19" i="30"/>
  <c r="P19" i="30"/>
  <c r="Q19" i="30"/>
  <c r="R19" i="30"/>
  <c r="O17" i="30"/>
  <c r="P17" i="30"/>
  <c r="Q17" i="30"/>
  <c r="R17" i="30"/>
  <c r="N17" i="30"/>
  <c r="R3" i="30"/>
  <c r="R4" i="30"/>
  <c r="R5" i="30"/>
  <c r="R6" i="30"/>
  <c r="R7" i="30"/>
  <c r="R8" i="30"/>
  <c r="R9" i="30"/>
  <c r="R10" i="30"/>
  <c r="R11" i="30"/>
  <c r="R12" i="30"/>
  <c r="R13" i="30"/>
  <c r="R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74" i="30"/>
  <c r="J675" i="30"/>
  <c r="J676" i="30"/>
  <c r="J677" i="30"/>
  <c r="J678" i="30"/>
  <c r="J679" i="30"/>
  <c r="J680" i="30"/>
  <c r="J681" i="30"/>
  <c r="J682" i="30"/>
  <c r="J683" i="30"/>
  <c r="J2" i="30"/>
  <c r="I2" i="30"/>
  <c r="AK15" i="3" l="1"/>
  <c r="S22" i="30"/>
  <c r="Z10" i="42" s="1"/>
  <c r="S18" i="30"/>
  <c r="Z4" i="42" s="1"/>
  <c r="O5" i="30"/>
  <c r="O2" i="30"/>
  <c r="N7" i="30"/>
  <c r="N4" i="30"/>
  <c r="N3" i="30"/>
  <c r="Q7" i="30"/>
  <c r="Q4" i="30"/>
  <c r="Q3" i="30"/>
  <c r="P5" i="30"/>
  <c r="O6" i="30"/>
  <c r="O8" i="30"/>
  <c r="O10" i="30"/>
  <c r="N9" i="30"/>
  <c r="N11" i="30"/>
  <c r="N13" i="30"/>
  <c r="Q12" i="30"/>
  <c r="Q9" i="30"/>
  <c r="Q11" i="30"/>
  <c r="Q13" i="30"/>
  <c r="P2" i="30"/>
  <c r="N12" i="30"/>
  <c r="O7" i="30"/>
  <c r="O4" i="30"/>
  <c r="O3" i="30"/>
  <c r="N5" i="30"/>
  <c r="N2" i="30"/>
  <c r="Q5" i="30"/>
  <c r="Q2" i="30"/>
  <c r="O12" i="30"/>
  <c r="O9" i="30"/>
  <c r="O11" i="30"/>
  <c r="O13" i="30"/>
  <c r="N6" i="30"/>
  <c r="N8" i="30"/>
  <c r="N10" i="30"/>
  <c r="Q6" i="30"/>
  <c r="Q8" i="30"/>
  <c r="Q10" i="30"/>
  <c r="P9" i="30"/>
  <c r="P12" i="30"/>
  <c r="P8" i="30"/>
  <c r="P4" i="30"/>
  <c r="AE4" i="3"/>
  <c r="P11" i="30"/>
  <c r="P7" i="30"/>
  <c r="P3" i="30"/>
  <c r="P10" i="30"/>
  <c r="P6" i="30"/>
  <c r="P13" i="30"/>
  <c r="P194" i="5" l="1"/>
  <c r="P195" i="5"/>
  <c r="P196" i="5"/>
  <c r="P197" i="5"/>
  <c r="P198" i="5"/>
  <c r="P199" i="5"/>
  <c r="P200" i="5"/>
  <c r="P201" i="5"/>
  <c r="P202" i="5"/>
  <c r="P193" i="5"/>
  <c r="L194" i="5"/>
  <c r="L195" i="5"/>
  <c r="L196" i="5"/>
  <c r="L197" i="5"/>
  <c r="L198" i="5"/>
  <c r="L199" i="5"/>
  <c r="L200" i="5"/>
  <c r="L201" i="5"/>
  <c r="L202" i="5"/>
  <c r="L193" i="5"/>
  <c r="AK4" i="3"/>
  <c r="N18" i="28"/>
  <c r="N17" i="28"/>
  <c r="N16" i="28"/>
  <c r="N3" i="28"/>
  <c r="AJ12" i="3" s="1"/>
  <c r="N4" i="28"/>
  <c r="AJ9" i="3" s="1"/>
  <c r="N5" i="28"/>
  <c r="N6" i="28"/>
  <c r="AJ11" i="3" s="1"/>
  <c r="N7" i="28"/>
  <c r="AJ8" i="3" s="1"/>
  <c r="N8" i="28"/>
  <c r="AJ4" i="3" s="1"/>
  <c r="N9" i="28"/>
  <c r="AJ5" i="3" s="1"/>
  <c r="N10" i="28"/>
  <c r="AJ13" i="3" s="1"/>
  <c r="N11" i="28"/>
  <c r="AJ14" i="3" s="1"/>
  <c r="N12" i="28"/>
  <c r="AJ6" i="3" s="1"/>
  <c r="AK12" i="3"/>
  <c r="AK9" i="3"/>
  <c r="AD5" i="42" l="1"/>
  <c r="AD11" i="42" s="1"/>
  <c r="AD4" i="42"/>
  <c r="AD3" i="42"/>
  <c r="AK10" i="3"/>
  <c r="AK14" i="3"/>
  <c r="AK13" i="3"/>
  <c r="AK8" i="3"/>
  <c r="AK7" i="3"/>
  <c r="AK11" i="3"/>
  <c r="AK6" i="3"/>
  <c r="AK5" i="3"/>
  <c r="K217" i="5" l="1"/>
  <c r="K218" i="5"/>
  <c r="K219" i="5"/>
  <c r="K220" i="5"/>
  <c r="K221" i="5"/>
  <c r="R194" i="5"/>
  <c r="Q194" i="5" s="1"/>
  <c r="R195" i="5"/>
  <c r="Q195" i="5" s="1"/>
  <c r="R196" i="5"/>
  <c r="Q196" i="5" s="1"/>
  <c r="R197" i="5"/>
  <c r="Q197" i="5" s="1"/>
  <c r="R198" i="5"/>
  <c r="Q198" i="5" s="1"/>
  <c r="R199" i="5"/>
  <c r="Q199" i="5" s="1"/>
  <c r="R200" i="5"/>
  <c r="Q200" i="5" s="1"/>
  <c r="R201" i="5"/>
  <c r="Q201" i="5" s="1"/>
  <c r="R202" i="5"/>
  <c r="Q202" i="5" s="1"/>
  <c r="R193" i="5"/>
  <c r="Q193" i="5" s="1"/>
  <c r="S71" i="7" l="1"/>
  <c r="L8" i="3" l="1"/>
  <c r="L10" i="3"/>
  <c r="S764" i="7" l="1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AT6" i="7"/>
  <c r="AT7" i="7"/>
  <c r="AT9" i="7"/>
  <c r="AT10" i="7"/>
  <c r="AT14" i="7"/>
  <c r="AT15" i="7"/>
  <c r="AT17" i="7"/>
  <c r="AT22" i="7"/>
  <c r="AT23" i="7"/>
  <c r="AT25" i="7"/>
  <c r="AT27" i="7"/>
  <c r="AT28" i="7"/>
  <c r="AT30" i="7"/>
  <c r="AT32" i="7"/>
  <c r="AT36" i="7"/>
  <c r="AT37" i="7"/>
  <c r="AT38" i="7"/>
  <c r="AT44" i="7"/>
  <c r="AT45" i="7"/>
  <c r="AT47" i="7"/>
  <c r="AT48" i="7"/>
  <c r="AT50" i="7"/>
  <c r="AT51" i="7"/>
  <c r="AT52" i="7"/>
  <c r="AT54" i="7"/>
  <c r="AT56" i="7"/>
  <c r="AT57" i="7"/>
  <c r="AT58" i="7"/>
  <c r="AT59" i="7"/>
  <c r="AT62" i="7"/>
  <c r="AT63" i="7"/>
  <c r="AT64" i="7"/>
  <c r="AT65" i="7"/>
  <c r="AT66" i="7"/>
  <c r="AT67" i="7"/>
  <c r="AT68" i="7"/>
  <c r="AT69" i="7"/>
  <c r="AT70" i="7"/>
  <c r="AT76" i="7"/>
  <c r="AT78" i="7"/>
  <c r="AT79" i="7"/>
  <c r="AT81" i="7"/>
  <c r="AT82" i="7"/>
  <c r="AT84" i="7"/>
  <c r="AT90" i="7"/>
  <c r="AT91" i="7"/>
  <c r="AT92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8" i="7"/>
  <c r="AT109" i="7"/>
  <c r="AT110" i="7"/>
  <c r="AT111" i="7"/>
  <c r="AT112" i="7"/>
  <c r="AT113" i="7"/>
  <c r="AT117" i="7"/>
  <c r="AT118" i="7"/>
  <c r="AT119" i="7"/>
  <c r="AT120" i="7"/>
  <c r="AT122" i="7"/>
  <c r="AT123" i="7"/>
  <c r="AT124" i="7"/>
  <c r="AT125" i="7"/>
  <c r="AT126" i="7"/>
  <c r="AT127" i="7"/>
  <c r="AT128" i="7"/>
  <c r="AT132" i="7"/>
  <c r="AT133" i="7"/>
  <c r="AT134" i="7"/>
  <c r="AT135" i="7"/>
  <c r="AT136" i="7"/>
  <c r="AT137" i="7"/>
  <c r="AT139" i="7"/>
  <c r="AT140" i="7"/>
  <c r="AT141" i="7"/>
  <c r="AT142" i="7"/>
  <c r="AT143" i="7"/>
  <c r="AT144" i="7"/>
  <c r="AT145" i="7"/>
  <c r="AT146" i="7"/>
  <c r="AT147" i="7"/>
  <c r="AT154" i="7"/>
  <c r="AT155" i="7"/>
  <c r="AT157" i="7"/>
  <c r="AT158" i="7"/>
  <c r="AT159" i="7"/>
  <c r="AT161" i="7"/>
  <c r="AT163" i="7"/>
  <c r="AT164" i="7"/>
  <c r="AT165" i="7"/>
  <c r="AT169" i="7"/>
  <c r="AT170" i="7"/>
  <c r="AT171" i="7"/>
  <c r="AT172" i="7"/>
  <c r="AT173" i="7"/>
  <c r="AT174" i="7"/>
  <c r="AT175" i="7"/>
  <c r="AT176" i="7"/>
  <c r="AT177" i="7"/>
  <c r="AT179" i="7"/>
  <c r="AT182" i="7"/>
  <c r="AT183" i="7"/>
  <c r="AT186" i="7"/>
  <c r="AT187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3" i="7"/>
  <c r="AT206" i="7"/>
  <c r="AT207" i="7"/>
  <c r="AT209" i="7"/>
  <c r="AT213" i="7"/>
  <c r="AT215" i="7"/>
  <c r="AT216" i="7"/>
  <c r="AT217" i="7"/>
  <c r="AT220" i="7"/>
  <c r="AT221" i="7"/>
  <c r="AT222" i="7"/>
  <c r="AT223" i="7"/>
  <c r="AT224" i="7"/>
  <c r="AT225" i="7"/>
  <c r="AT227" i="7"/>
  <c r="AT228" i="7"/>
  <c r="AT229" i="7"/>
  <c r="AT231" i="7"/>
  <c r="AT232" i="7"/>
  <c r="AT233" i="7"/>
  <c r="AT234" i="7"/>
  <c r="AT236" i="7"/>
  <c r="AT237" i="7"/>
  <c r="AT238" i="7"/>
  <c r="AT240" i="7"/>
  <c r="AT242" i="7"/>
  <c r="AT245" i="7"/>
  <c r="AT247" i="7"/>
  <c r="AT248" i="7"/>
  <c r="AT251" i="7"/>
  <c r="AT252" i="7"/>
  <c r="AT254" i="7"/>
  <c r="AT255" i="7"/>
  <c r="AT256" i="7"/>
  <c r="AT257" i="7"/>
  <c r="AT259" i="7"/>
  <c r="AT260" i="7"/>
  <c r="AT261" i="7"/>
  <c r="AT263" i="7"/>
  <c r="AT267" i="7"/>
  <c r="AT270" i="7"/>
  <c r="AT271" i="7"/>
  <c r="AT272" i="7"/>
  <c r="AT273" i="7"/>
  <c r="AT274" i="7"/>
  <c r="AT276" i="7"/>
  <c r="AT277" i="7"/>
  <c r="AT278" i="7"/>
  <c r="AT281" i="7"/>
  <c r="AT282" i="7"/>
  <c r="AT283" i="7"/>
  <c r="AT284" i="7"/>
  <c r="AT286" i="7"/>
  <c r="AT287" i="7"/>
  <c r="AT288" i="7"/>
  <c r="AT289" i="7"/>
  <c r="AT291" i="7"/>
  <c r="AT292" i="7"/>
  <c r="AT430" i="7" l="1"/>
  <c r="AT494" i="7"/>
  <c r="AT558" i="7"/>
  <c r="AT622" i="7"/>
  <c r="AT347" i="7"/>
  <c r="AT411" i="7"/>
  <c r="AT475" i="7"/>
  <c r="AT539" i="7"/>
  <c r="AT603" i="7"/>
  <c r="AT325" i="7"/>
  <c r="AT389" i="7"/>
  <c r="AT453" i="7"/>
  <c r="AT517" i="7"/>
  <c r="AT581" i="7"/>
  <c r="AT348" i="7"/>
  <c r="AT604" i="7"/>
  <c r="AT673" i="7"/>
  <c r="AT697" i="7"/>
  <c r="AT717" i="7"/>
  <c r="AT737" i="7"/>
  <c r="AT761" i="7"/>
  <c r="AT33" i="7"/>
  <c r="AT73" i="7"/>
  <c r="AT129" i="7"/>
  <c r="AT205" i="7"/>
  <c r="AT269" i="7"/>
  <c r="AT304" i="7"/>
  <c r="AT384" i="7"/>
  <c r="AT464" i="7"/>
  <c r="AT560" i="7"/>
  <c r="AT634" i="7"/>
  <c r="AT654" i="7"/>
  <c r="AT678" i="7"/>
  <c r="AT698" i="7"/>
  <c r="AT714" i="7"/>
  <c r="AT718" i="7"/>
  <c r="AT734" i="7"/>
  <c r="AT742" i="7"/>
  <c r="AT758" i="7"/>
  <c r="AT762" i="7"/>
  <c r="AT42" i="7"/>
  <c r="AT46" i="7"/>
  <c r="AT130" i="7"/>
  <c r="AT150" i="7"/>
  <c r="AT202" i="7"/>
  <c r="AT210" i="7"/>
  <c r="AT230" i="7"/>
  <c r="AT246" i="7"/>
  <c r="AT266" i="7"/>
  <c r="AT372" i="7"/>
  <c r="AT312" i="7"/>
  <c r="AT328" i="7"/>
  <c r="AT392" i="7"/>
  <c r="AT408" i="7"/>
  <c r="AT472" i="7"/>
  <c r="AT504" i="7"/>
  <c r="AT568" i="7"/>
  <c r="AT584" i="7"/>
  <c r="AT636" i="7"/>
  <c r="AT640" i="7"/>
  <c r="AT656" i="7"/>
  <c r="AT664" i="7"/>
  <c r="AT680" i="7"/>
  <c r="AT684" i="7"/>
  <c r="AT700" i="7"/>
  <c r="AT704" i="7"/>
  <c r="AT720" i="7"/>
  <c r="AT728" i="7"/>
  <c r="AT744" i="7"/>
  <c r="AT748" i="7"/>
  <c r="AT764" i="7"/>
  <c r="AT8" i="7"/>
  <c r="AT24" i="7"/>
  <c r="AT60" i="7"/>
  <c r="AT116" i="7"/>
  <c r="AT148" i="7"/>
  <c r="AT168" i="7"/>
  <c r="AT180" i="7"/>
  <c r="AT208" i="7"/>
  <c r="AT244" i="7"/>
  <c r="AT4" i="7"/>
  <c r="AT324" i="7"/>
  <c r="AT500" i="7"/>
  <c r="AT564" i="7"/>
  <c r="AT679" i="7"/>
  <c r="AT711" i="7"/>
  <c r="AT43" i="7"/>
  <c r="AT75" i="7"/>
  <c r="AT151" i="7"/>
  <c r="AT243" i="7"/>
  <c r="AT687" i="7"/>
  <c r="AT19" i="7"/>
  <c r="AT651" i="7"/>
  <c r="AT667" i="7"/>
  <c r="AT731" i="7"/>
  <c r="AT747" i="7"/>
  <c r="AT107" i="7"/>
  <c r="AT596" i="7"/>
  <c r="AT167" i="7"/>
  <c r="AT211" i="7"/>
  <c r="AT643" i="7"/>
  <c r="AT659" i="7"/>
  <c r="AT723" i="7"/>
  <c r="AT755" i="7"/>
  <c r="AT219" i="7"/>
  <c r="AT279" i="7"/>
  <c r="AT703" i="7"/>
  <c r="AT11" i="7"/>
  <c r="AT83" i="7"/>
  <c r="AT294" i="7"/>
  <c r="AT532" i="7" l="1"/>
  <c r="AT35" i="7"/>
  <c r="AT691" i="7"/>
  <c r="AT484" i="7"/>
  <c r="AT671" i="7"/>
  <c r="AT31" i="7"/>
  <c r="AT683" i="7"/>
  <c r="AT516" i="7"/>
  <c r="AT239" i="7"/>
  <c r="AT87" i="7"/>
  <c r="AT727" i="7"/>
  <c r="AT647" i="7"/>
  <c r="AT356" i="7"/>
  <c r="AT264" i="7"/>
  <c r="AT188" i="7"/>
  <c r="AT152" i="7"/>
  <c r="AT72" i="7"/>
  <c r="AT16" i="7"/>
  <c r="AT752" i="7"/>
  <c r="AT732" i="7"/>
  <c r="AT712" i="7"/>
  <c r="AT688" i="7"/>
  <c r="AT668" i="7"/>
  <c r="AT648" i="7"/>
  <c r="AT600" i="7"/>
  <c r="AT520" i="7"/>
  <c r="AT440" i="7"/>
  <c r="AT344" i="7"/>
  <c r="AT420" i="7"/>
  <c r="AT258" i="7"/>
  <c r="AT214" i="7"/>
  <c r="AT162" i="7"/>
  <c r="AT86" i="7"/>
  <c r="AT18" i="7"/>
  <c r="AT746" i="7"/>
  <c r="AT726" i="7"/>
  <c r="AT702" i="7"/>
  <c r="AT682" i="7"/>
  <c r="AT662" i="7"/>
  <c r="AT638" i="7"/>
  <c r="AT576" i="7"/>
  <c r="AT496" i="7"/>
  <c r="AT400" i="7"/>
  <c r="AT320" i="7"/>
  <c r="AT308" i="7"/>
  <c r="AT241" i="7"/>
  <c r="AT149" i="7"/>
  <c r="AT85" i="7"/>
  <c r="AT41" i="7"/>
  <c r="AT5" i="7"/>
  <c r="AT745" i="7"/>
  <c r="AT721" i="7"/>
  <c r="AT701" i="7"/>
  <c r="AT681" i="7"/>
  <c r="AT641" i="7"/>
  <c r="AT412" i="7"/>
  <c r="AT597" i="7"/>
  <c r="AT533" i="7"/>
  <c r="AT469" i="7"/>
  <c r="AT405" i="7"/>
  <c r="AT341" i="7"/>
  <c r="AT619" i="7"/>
  <c r="AT555" i="7"/>
  <c r="AT491" i="7"/>
  <c r="AT427" i="7"/>
  <c r="AT363" i="7"/>
  <c r="AT299" i="7"/>
  <c r="AT574" i="7"/>
  <c r="AT510" i="7"/>
  <c r="AT446" i="7"/>
  <c r="AT694" i="7"/>
  <c r="AT670" i="7"/>
  <c r="AT650" i="7"/>
  <c r="AT624" i="7"/>
  <c r="AT528" i="7"/>
  <c r="AT448" i="7"/>
  <c r="AT368" i="7"/>
  <c r="AT388" i="7"/>
  <c r="AT265" i="7"/>
  <c r="AT185" i="7"/>
  <c r="AT93" i="7"/>
  <c r="AT61" i="7"/>
  <c r="AT29" i="7"/>
  <c r="AT753" i="7"/>
  <c r="AT733" i="7"/>
  <c r="AT713" i="7"/>
  <c r="AT689" i="7"/>
  <c r="AT665" i="7"/>
  <c r="AT540" i="7"/>
  <c r="AT629" i="7"/>
  <c r="AT565" i="7"/>
  <c r="AT501" i="7"/>
  <c r="AT437" i="7"/>
  <c r="AT373" i="7"/>
  <c r="AT309" i="7"/>
  <c r="AT587" i="7"/>
  <c r="AT523" i="7"/>
  <c r="AT459" i="7"/>
  <c r="AT395" i="7"/>
  <c r="AT331" i="7"/>
  <c r="AT606" i="7"/>
  <c r="AT542" i="7"/>
  <c r="AT478" i="7"/>
  <c r="AT414" i="7"/>
  <c r="AT39" i="7"/>
  <c r="AT707" i="7"/>
  <c r="AT612" i="7"/>
  <c r="AT719" i="7"/>
  <c r="AT55" i="7"/>
  <c r="AT715" i="7"/>
  <c r="AT580" i="7"/>
  <c r="AT639" i="7"/>
  <c r="AT131" i="7"/>
  <c r="AT743" i="7"/>
  <c r="AT663" i="7"/>
  <c r="AT452" i="7"/>
  <c r="AT268" i="7"/>
  <c r="AT204" i="7"/>
  <c r="AT160" i="7"/>
  <c r="AT80" i="7"/>
  <c r="AT20" i="7"/>
  <c r="AT760" i="7"/>
  <c r="AT736" i="7"/>
  <c r="AT716" i="7"/>
  <c r="AT696" i="7"/>
  <c r="AT672" i="7"/>
  <c r="AT652" i="7"/>
  <c r="AT632" i="7"/>
  <c r="AT536" i="7"/>
  <c r="AT456" i="7"/>
  <c r="AT376" i="7"/>
  <c r="AT468" i="7"/>
  <c r="AT262" i="7"/>
  <c r="AT226" i="7"/>
  <c r="AT166" i="7"/>
  <c r="AT114" i="7"/>
  <c r="AT34" i="7"/>
  <c r="AT750" i="7"/>
  <c r="AT730" i="7"/>
  <c r="AT710" i="7"/>
  <c r="AT686" i="7"/>
  <c r="AT666" i="7"/>
  <c r="AT646" i="7"/>
  <c r="AT592" i="7"/>
  <c r="AT512" i="7"/>
  <c r="AT432" i="7"/>
  <c r="AT336" i="7"/>
  <c r="AT340" i="7"/>
  <c r="AT253" i="7"/>
  <c r="AT153" i="7"/>
  <c r="AT89" i="7"/>
  <c r="AT53" i="7"/>
  <c r="AT13" i="7"/>
  <c r="AT749" i="7"/>
  <c r="AT729" i="7"/>
  <c r="AT705" i="7"/>
  <c r="AT685" i="7"/>
  <c r="AT657" i="7"/>
  <c r="AT476" i="7"/>
  <c r="AT613" i="7"/>
  <c r="AT549" i="7"/>
  <c r="AT485" i="7"/>
  <c r="AT421" i="7"/>
  <c r="AT357" i="7"/>
  <c r="AT293" i="7"/>
  <c r="AT571" i="7"/>
  <c r="AT507" i="7"/>
  <c r="AT443" i="7"/>
  <c r="AT379" i="7"/>
  <c r="AT315" i="7"/>
  <c r="AT590" i="7"/>
  <c r="AT526" i="7"/>
  <c r="AT462" i="7"/>
  <c r="AT398" i="7"/>
  <c r="AT655" i="7"/>
  <c r="AT71" i="7"/>
  <c r="AT739" i="7"/>
  <c r="AT675" i="7"/>
  <c r="AT548" i="7"/>
  <c r="AT751" i="7"/>
  <c r="AT235" i="7"/>
  <c r="AT763" i="7"/>
  <c r="AT699" i="7"/>
  <c r="AT635" i="7"/>
  <c r="AT735" i="7"/>
  <c r="AT275" i="7"/>
  <c r="AT115" i="7"/>
  <c r="AT759" i="7"/>
  <c r="AT695" i="7"/>
  <c r="AT628" i="7"/>
  <c r="AT404" i="7"/>
  <c r="AT280" i="7"/>
  <c r="AT212" i="7"/>
  <c r="AT184" i="7"/>
  <c r="AT156" i="7"/>
  <c r="AT88" i="7"/>
  <c r="AT40" i="7"/>
  <c r="AT12" i="7"/>
  <c r="AT756" i="7"/>
  <c r="AT740" i="7"/>
  <c r="AT724" i="7"/>
  <c r="AT708" i="7"/>
  <c r="AT692" i="7"/>
  <c r="AT676" i="7"/>
  <c r="AT660" i="7"/>
  <c r="AT644" i="7"/>
  <c r="AT616" i="7"/>
  <c r="AT552" i="7"/>
  <c r="AT488" i="7"/>
  <c r="AT424" i="7"/>
  <c r="AT360" i="7"/>
  <c r="AT296" i="7"/>
  <c r="AT290" i="7"/>
  <c r="AT250" i="7"/>
  <c r="AT218" i="7"/>
  <c r="AT178" i="7"/>
  <c r="AT138" i="7"/>
  <c r="AT74" i="7"/>
  <c r="AT26" i="7"/>
  <c r="AT754" i="7"/>
  <c r="AT738" i="7"/>
  <c r="AT722" i="7"/>
  <c r="AT706" i="7"/>
  <c r="AT690" i="7"/>
  <c r="AT674" i="7"/>
  <c r="AT658" i="7"/>
  <c r="AT642" i="7"/>
  <c r="AT608" i="7"/>
  <c r="AT544" i="7"/>
  <c r="AT480" i="7"/>
  <c r="AT416" i="7"/>
  <c r="AT352" i="7"/>
  <c r="AT436" i="7"/>
  <c r="AT285" i="7"/>
  <c r="AT249" i="7"/>
  <c r="AT181" i="7"/>
  <c r="AT121" i="7"/>
  <c r="AT77" i="7"/>
  <c r="AT49" i="7"/>
  <c r="AT21" i="7"/>
  <c r="AT757" i="7"/>
  <c r="AT741" i="7"/>
  <c r="AT725" i="7"/>
  <c r="AT709" i="7"/>
  <c r="AT693" i="7"/>
  <c r="AT677" i="7"/>
  <c r="AT661" i="7"/>
  <c r="AT645" i="7"/>
  <c r="AT620" i="7"/>
  <c r="AT556" i="7"/>
  <c r="AT492" i="7"/>
  <c r="AT428" i="7"/>
  <c r="AT364" i="7"/>
  <c r="AT300" i="7"/>
  <c r="AT617" i="7"/>
  <c r="AT601" i="7"/>
  <c r="AT585" i="7"/>
  <c r="AT569" i="7"/>
  <c r="AT553" i="7"/>
  <c r="AT537" i="7"/>
  <c r="AT521" i="7"/>
  <c r="AT505" i="7"/>
  <c r="AT489" i="7"/>
  <c r="AT473" i="7"/>
  <c r="AT457" i="7"/>
  <c r="AT441" i="7"/>
  <c r="AT425" i="7"/>
  <c r="AT409" i="7"/>
  <c r="AT393" i="7"/>
  <c r="AT377" i="7"/>
  <c r="AT361" i="7"/>
  <c r="AT345" i="7"/>
  <c r="AT329" i="7"/>
  <c r="AT313" i="7"/>
  <c r="AT297" i="7"/>
  <c r="AT623" i="7"/>
  <c r="AT607" i="7"/>
  <c r="AT591" i="7"/>
  <c r="AT575" i="7"/>
  <c r="AT559" i="7"/>
  <c r="AT543" i="7"/>
  <c r="AT527" i="7"/>
  <c r="AT511" i="7"/>
  <c r="AT495" i="7"/>
  <c r="AT479" i="7"/>
  <c r="AT463" i="7"/>
  <c r="AT447" i="7"/>
  <c r="AT431" i="7"/>
  <c r="AT415" i="7"/>
  <c r="AT399" i="7"/>
  <c r="AT383" i="7"/>
  <c r="AT367" i="7"/>
  <c r="AT351" i="7"/>
  <c r="AT335" i="7"/>
  <c r="AT319" i="7"/>
  <c r="AT303" i="7"/>
  <c r="AT626" i="7"/>
  <c r="AT610" i="7"/>
  <c r="AT594" i="7"/>
  <c r="AT578" i="7"/>
  <c r="AT562" i="7"/>
  <c r="AT546" i="7"/>
  <c r="AT530" i="7"/>
  <c r="AT514" i="7"/>
  <c r="AT498" i="7"/>
  <c r="AT482" i="7"/>
  <c r="AT466" i="7"/>
  <c r="AT450" i="7"/>
  <c r="AT434" i="7"/>
  <c r="AT418" i="7"/>
  <c r="AT402" i="7"/>
  <c r="AT386" i="7"/>
  <c r="AT370" i="7"/>
  <c r="AT354" i="7"/>
  <c r="AT338" i="7"/>
  <c r="AT322" i="7"/>
  <c r="AT306" i="7"/>
  <c r="AT382" i="7"/>
  <c r="AT366" i="7"/>
  <c r="AT350" i="7"/>
  <c r="AT334" i="7"/>
  <c r="AT318" i="7"/>
  <c r="AT302" i="7"/>
  <c r="AT669" i="7"/>
  <c r="AT653" i="7"/>
  <c r="AT637" i="7"/>
  <c r="AT588" i="7"/>
  <c r="AT524" i="7"/>
  <c r="AT460" i="7"/>
  <c r="AT396" i="7"/>
  <c r="AT332" i="7"/>
  <c r="AT625" i="7"/>
  <c r="AT609" i="7"/>
  <c r="AT593" i="7"/>
  <c r="AT577" i="7"/>
  <c r="AT561" i="7"/>
  <c r="AT545" i="7"/>
  <c r="AT529" i="7"/>
  <c r="AT513" i="7"/>
  <c r="AT497" i="7"/>
  <c r="AT481" i="7"/>
  <c r="AT465" i="7"/>
  <c r="AT449" i="7"/>
  <c r="AT433" i="7"/>
  <c r="AT417" i="7"/>
  <c r="AT401" i="7"/>
  <c r="AT385" i="7"/>
  <c r="AT369" i="7"/>
  <c r="AT353" i="7"/>
  <c r="AT337" i="7"/>
  <c r="AT321" i="7"/>
  <c r="AT305" i="7"/>
  <c r="AT631" i="7"/>
  <c r="AT615" i="7"/>
  <c r="AT599" i="7"/>
  <c r="AT583" i="7"/>
  <c r="AT567" i="7"/>
  <c r="AT551" i="7"/>
  <c r="AT535" i="7"/>
  <c r="AT519" i="7"/>
  <c r="AT503" i="7"/>
  <c r="AT487" i="7"/>
  <c r="AT471" i="7"/>
  <c r="AT455" i="7"/>
  <c r="AT439" i="7"/>
  <c r="AT423" i="7"/>
  <c r="AT407" i="7"/>
  <c r="AT391" i="7"/>
  <c r="AT375" i="7"/>
  <c r="AT359" i="7"/>
  <c r="AT343" i="7"/>
  <c r="AT327" i="7"/>
  <c r="AT311" i="7"/>
  <c r="AT295" i="7"/>
  <c r="AT618" i="7"/>
  <c r="AT602" i="7"/>
  <c r="AT586" i="7"/>
  <c r="AT570" i="7"/>
  <c r="AT554" i="7"/>
  <c r="AT538" i="7"/>
  <c r="AT522" i="7"/>
  <c r="AT506" i="7"/>
  <c r="AT490" i="7"/>
  <c r="AT474" i="7"/>
  <c r="AT458" i="7"/>
  <c r="AT442" i="7"/>
  <c r="AT426" i="7"/>
  <c r="AT410" i="7"/>
  <c r="AT394" i="7"/>
  <c r="AT378" i="7"/>
  <c r="AT362" i="7"/>
  <c r="AT346" i="7"/>
  <c r="AT330" i="7"/>
  <c r="AT314" i="7"/>
  <c r="AT298" i="7"/>
  <c r="AT649" i="7"/>
  <c r="AT633" i="7"/>
  <c r="AT572" i="7"/>
  <c r="AT508" i="7"/>
  <c r="AT444" i="7"/>
  <c r="AT380" i="7"/>
  <c r="AT316" i="7"/>
  <c r="AT621" i="7"/>
  <c r="AT605" i="7"/>
  <c r="AT589" i="7"/>
  <c r="AT573" i="7"/>
  <c r="AT557" i="7"/>
  <c r="AT541" i="7"/>
  <c r="AT525" i="7"/>
  <c r="AT509" i="7"/>
  <c r="AT493" i="7"/>
  <c r="AT477" i="7"/>
  <c r="AT461" i="7"/>
  <c r="AT445" i="7"/>
  <c r="AT429" i="7"/>
  <c r="AT413" i="7"/>
  <c r="AT397" i="7"/>
  <c r="AT381" i="7"/>
  <c r="AT365" i="7"/>
  <c r="AT349" i="7"/>
  <c r="AT333" i="7"/>
  <c r="AT317" i="7"/>
  <c r="AT301" i="7"/>
  <c r="AT627" i="7"/>
  <c r="AT611" i="7"/>
  <c r="AT595" i="7"/>
  <c r="AT579" i="7"/>
  <c r="AT563" i="7"/>
  <c r="AT547" i="7"/>
  <c r="AT531" i="7"/>
  <c r="AT515" i="7"/>
  <c r="AT499" i="7"/>
  <c r="AT483" i="7"/>
  <c r="AT467" i="7"/>
  <c r="AT451" i="7"/>
  <c r="AT435" i="7"/>
  <c r="AT419" i="7"/>
  <c r="AT403" i="7"/>
  <c r="AT387" i="7"/>
  <c r="AT371" i="7"/>
  <c r="AT355" i="7"/>
  <c r="AT339" i="7"/>
  <c r="AT323" i="7"/>
  <c r="AT307" i="7"/>
  <c r="AT630" i="7"/>
  <c r="AT614" i="7"/>
  <c r="AT598" i="7"/>
  <c r="AT582" i="7"/>
  <c r="AT566" i="7"/>
  <c r="AT550" i="7"/>
  <c r="AT534" i="7"/>
  <c r="AT518" i="7"/>
  <c r="AT502" i="7"/>
  <c r="AT486" i="7"/>
  <c r="AT470" i="7"/>
  <c r="AT454" i="7"/>
  <c r="AT438" i="7"/>
  <c r="AT422" i="7"/>
  <c r="AT406" i="7"/>
  <c r="AT390" i="7"/>
  <c r="AT374" i="7"/>
  <c r="AT358" i="7"/>
  <c r="AT342" i="7"/>
  <c r="AT326" i="7"/>
  <c r="AT310" i="7"/>
  <c r="J4" i="37" l="1"/>
  <c r="J5" i="37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L20" i="37" l="1"/>
  <c r="K23" i="37"/>
  <c r="K15" i="37"/>
  <c r="K24" i="37"/>
  <c r="L13" i="37"/>
  <c r="K25" i="37"/>
  <c r="K22" i="37"/>
  <c r="K17" i="37"/>
  <c r="L14" i="37"/>
  <c r="K16" i="37"/>
  <c r="K11" i="37"/>
  <c r="K19" i="37"/>
  <c r="J7" i="37"/>
  <c r="K18" i="37"/>
  <c r="L22" i="37"/>
  <c r="L23" i="37"/>
  <c r="K14" i="37"/>
  <c r="K20" i="37"/>
  <c r="L19" i="37"/>
  <c r="K13" i="37"/>
  <c r="J6" i="37"/>
  <c r="K12" i="37"/>
  <c r="L15" i="37"/>
  <c r="L18" i="37"/>
  <c r="K21" i="37"/>
  <c r="J17" i="37"/>
  <c r="J24" i="37"/>
  <c r="J16" i="37"/>
  <c r="J18" i="37"/>
  <c r="J15" i="37"/>
  <c r="J22" i="37"/>
  <c r="J23" i="37"/>
  <c r="J13" i="37"/>
  <c r="J20" i="37"/>
  <c r="J14" i="37"/>
  <c r="J11" i="37"/>
  <c r="J12" i="37"/>
  <c r="J19" i="37"/>
  <c r="J25" i="37"/>
  <c r="J21" i="37"/>
  <c r="I3" i="12"/>
  <c r="I4" i="12"/>
  <c r="AF115" i="1" s="1"/>
  <c r="I5" i="12"/>
  <c r="I6" i="12"/>
  <c r="I7" i="12"/>
  <c r="AF88" i="1" s="1"/>
  <c r="I8" i="12"/>
  <c r="I9" i="12"/>
  <c r="I10" i="12"/>
  <c r="I11" i="12"/>
  <c r="AF128" i="1" s="1"/>
  <c r="I12" i="12"/>
  <c r="AF37" i="1" s="1"/>
  <c r="I13" i="12"/>
  <c r="AF31" i="1" s="1"/>
  <c r="I14" i="12"/>
  <c r="I15" i="12"/>
  <c r="AF146" i="1" s="1"/>
  <c r="I16" i="12"/>
  <c r="I17" i="12"/>
  <c r="I18" i="12"/>
  <c r="AF80" i="1" s="1"/>
  <c r="I19" i="12"/>
  <c r="I20" i="12"/>
  <c r="I21" i="12"/>
  <c r="I22" i="12"/>
  <c r="I23" i="12"/>
  <c r="I24" i="12"/>
  <c r="AF53" i="1" s="1"/>
  <c r="I25" i="12"/>
  <c r="I26" i="12"/>
  <c r="I27" i="12"/>
  <c r="G13" i="19" s="1"/>
  <c r="H13" i="19" s="1"/>
  <c r="I28" i="12"/>
  <c r="I29" i="12"/>
  <c r="I30" i="12"/>
  <c r="AF123" i="1" s="1"/>
  <c r="I31" i="12"/>
  <c r="I32" i="12"/>
  <c r="AF124" i="1" s="1"/>
  <c r="I33" i="12"/>
  <c r="AF119" i="1" s="1"/>
  <c r="I34" i="12"/>
  <c r="I35" i="12"/>
  <c r="AF110" i="1" s="1"/>
  <c r="I36" i="12"/>
  <c r="AF108" i="1" s="1"/>
  <c r="I37" i="12"/>
  <c r="AF109" i="1" s="1"/>
  <c r="I38" i="12"/>
  <c r="I39" i="12"/>
  <c r="I40" i="12"/>
  <c r="AF95" i="1" s="1"/>
  <c r="I41" i="12"/>
  <c r="AF96" i="1" s="1"/>
  <c r="I42" i="12"/>
  <c r="AF76" i="1" s="1"/>
  <c r="I43" i="12"/>
  <c r="AF78" i="1" s="1"/>
  <c r="I44" i="12"/>
  <c r="AF84" i="1" s="1"/>
  <c r="I45" i="12"/>
  <c r="I46" i="12"/>
  <c r="I47" i="12"/>
  <c r="AF104" i="1" s="1"/>
  <c r="I48" i="12"/>
  <c r="AF122" i="1" s="1"/>
  <c r="I49" i="12"/>
  <c r="I50" i="12"/>
  <c r="H2" i="12"/>
  <c r="I2" i="12" s="1"/>
  <c r="AF81" i="1" s="1"/>
  <c r="P57" i="14"/>
  <c r="AF46" i="1" l="1"/>
  <c r="AF47" i="1"/>
  <c r="AR9" i="3"/>
  <c r="AF116" i="1"/>
  <c r="AF141" i="1"/>
  <c r="AF15" i="1"/>
  <c r="AF44" i="1"/>
  <c r="AF144" i="1"/>
  <c r="AF72" i="1"/>
  <c r="AF71" i="1"/>
  <c r="AF58" i="1"/>
  <c r="AF11" i="1"/>
  <c r="AF14" i="1"/>
  <c r="AF70" i="1"/>
  <c r="AF89" i="1"/>
  <c r="AF40" i="1"/>
  <c r="AF69" i="1"/>
  <c r="AF42" i="1"/>
  <c r="AF65" i="1"/>
  <c r="AF106" i="1"/>
  <c r="AF13" i="1"/>
  <c r="AF129" i="1"/>
  <c r="AF67" i="1"/>
  <c r="AF100" i="1"/>
  <c r="AF34" i="1"/>
  <c r="AF134" i="1"/>
  <c r="AF92" i="1"/>
  <c r="AF127" i="1"/>
  <c r="AF93" i="1"/>
  <c r="AF130" i="1"/>
  <c r="AF82" i="1"/>
  <c r="AF36" i="1"/>
  <c r="AF136" i="1"/>
  <c r="AR8" i="3"/>
  <c r="AR15" i="3"/>
  <c r="AR7" i="3"/>
  <c r="AR4" i="3"/>
  <c r="L25" i="37"/>
  <c r="S213" i="7" l="1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A33" i="11" l="1"/>
  <c r="J33" i="11" s="1"/>
  <c r="A34" i="11"/>
  <c r="J34" i="11" s="1"/>
  <c r="A35" i="11"/>
  <c r="J35" i="11" s="1"/>
  <c r="A36" i="11"/>
  <c r="J36" i="11" s="1"/>
  <c r="L15" i="3" l="1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4" i="7"/>
  <c r="S5" i="7"/>
  <c r="S6" i="7"/>
  <c r="S7" i="7"/>
  <c r="S8" i="7"/>
  <c r="S9" i="7"/>
  <c r="S10" i="7"/>
  <c r="S11" i="7"/>
  <c r="S12" i="7"/>
  <c r="AS4" i="5" l="1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AS67" i="5" s="1"/>
  <c r="AS68" i="5" s="1"/>
  <c r="AS69" i="5" s="1"/>
  <c r="AS70" i="5" s="1"/>
  <c r="AS71" i="5" s="1"/>
  <c r="AS72" i="5" s="1"/>
  <c r="AS73" i="5" s="1"/>
  <c r="AS74" i="5" s="1"/>
  <c r="AS75" i="5" s="1"/>
  <c r="AS76" i="5" s="1"/>
  <c r="AS77" i="5" s="1"/>
  <c r="AS78" i="5" s="1"/>
  <c r="AS79" i="5" s="1"/>
  <c r="AS80" i="5" s="1"/>
  <c r="AS81" i="5" s="1"/>
  <c r="AS82" i="5" s="1"/>
  <c r="AS83" i="5" s="1"/>
  <c r="AS84" i="5" s="1"/>
  <c r="AS85" i="5" s="1"/>
  <c r="AS86" i="5" s="1"/>
  <c r="AS87" i="5" s="1"/>
  <c r="AS88" i="5" s="1"/>
  <c r="AS89" i="5" s="1"/>
  <c r="AS90" i="5" s="1"/>
  <c r="AS91" i="5" s="1"/>
  <c r="AS92" i="5" s="1"/>
  <c r="AS93" i="5" s="1"/>
  <c r="AS94" i="5" s="1"/>
  <c r="AS95" i="5" s="1"/>
  <c r="AS96" i="5" s="1"/>
  <c r="AS97" i="5" s="1"/>
  <c r="AS98" i="5" s="1"/>
  <c r="AS99" i="5" s="1"/>
  <c r="AS100" i="5" s="1"/>
  <c r="AS101" i="5" s="1"/>
  <c r="AS102" i="5" s="1"/>
  <c r="AS103" i="5" s="1"/>
  <c r="AS104" i="5" s="1"/>
  <c r="AS105" i="5" s="1"/>
  <c r="AS106" i="5" s="1"/>
  <c r="AS107" i="5" s="1"/>
  <c r="AS108" i="5" s="1"/>
  <c r="AS109" i="5" s="1"/>
  <c r="AS110" i="5" s="1"/>
  <c r="AS111" i="5" s="1"/>
  <c r="AS112" i="5" s="1"/>
  <c r="AS113" i="5" s="1"/>
  <c r="AS114" i="5" s="1"/>
  <c r="AS115" i="5" s="1"/>
  <c r="AS116" i="5" s="1"/>
  <c r="AS117" i="5" s="1"/>
  <c r="AS118" i="5" s="1"/>
  <c r="AS119" i="5" s="1"/>
  <c r="AS120" i="5" s="1"/>
  <c r="AS121" i="5" s="1"/>
  <c r="AS122" i="5" s="1"/>
  <c r="AS123" i="5" s="1"/>
  <c r="AS124" i="5" s="1"/>
  <c r="AS125" i="5" s="1"/>
  <c r="AS126" i="5" s="1"/>
  <c r="AS127" i="5" s="1"/>
  <c r="AS128" i="5" s="1"/>
  <c r="AS129" i="5" s="1"/>
  <c r="AS130" i="5" s="1"/>
  <c r="AS131" i="5" s="1"/>
  <c r="AS132" i="5" s="1"/>
  <c r="AS133" i="5" s="1"/>
  <c r="AS134" i="5" s="1"/>
  <c r="AS135" i="5" s="1"/>
  <c r="AS136" i="5" s="1"/>
  <c r="AS137" i="5" s="1"/>
  <c r="AS138" i="5" s="1"/>
  <c r="AS139" i="5" s="1"/>
  <c r="AS140" i="5" s="1"/>
  <c r="AS141" i="5" s="1"/>
  <c r="AS142" i="5" s="1"/>
  <c r="AS143" i="5" s="1"/>
  <c r="AS144" i="5" s="1"/>
  <c r="AS145" i="5" s="1"/>
  <c r="AS146" i="5" s="1"/>
  <c r="AS147" i="5" s="1"/>
  <c r="AS148" i="5" s="1"/>
  <c r="AS149" i="5" s="1"/>
  <c r="AS150" i="5" s="1"/>
  <c r="AS151" i="5" s="1"/>
  <c r="AS152" i="5" s="1"/>
  <c r="AS153" i="5" s="1"/>
  <c r="AS154" i="5" s="1"/>
  <c r="AS155" i="5" s="1"/>
  <c r="AS156" i="5" s="1"/>
  <c r="AS157" i="5" s="1"/>
  <c r="AS158" i="5" s="1"/>
  <c r="AS159" i="5" s="1"/>
  <c r="AS160" i="5" s="1"/>
  <c r="AS161" i="5" s="1"/>
  <c r="AS162" i="5" s="1"/>
  <c r="AS163" i="5" s="1"/>
  <c r="AS164" i="5" s="1"/>
  <c r="AS165" i="5" s="1"/>
  <c r="AS166" i="5" s="1"/>
  <c r="AS167" i="5" s="1"/>
  <c r="AS168" i="5" s="1"/>
  <c r="AS169" i="5" s="1"/>
  <c r="AS170" i="5" s="1"/>
  <c r="AS171" i="5" s="1"/>
  <c r="AS172" i="5" s="1"/>
  <c r="AS173" i="5" s="1"/>
  <c r="AS174" i="5" s="1"/>
  <c r="AS175" i="5" s="1"/>
  <c r="AS176" i="5" s="1"/>
  <c r="AS177" i="5" s="1"/>
  <c r="AS178" i="5" s="1"/>
  <c r="AS179" i="5" s="1"/>
  <c r="AS180" i="5" s="1"/>
  <c r="AS181" i="5" s="1"/>
  <c r="AS182" i="5" s="1"/>
  <c r="AS183" i="5" s="1"/>
  <c r="AS184" i="5" s="1"/>
  <c r="AS185" i="5" s="1"/>
  <c r="AS186" i="5" s="1"/>
  <c r="AS187" i="5" s="1"/>
  <c r="AS188" i="5" s="1"/>
  <c r="AS189" i="5" s="1"/>
  <c r="AS190" i="5" s="1"/>
  <c r="AS191" i="5" s="1"/>
  <c r="AS192" i="5" s="1"/>
  <c r="AS193" i="5" s="1"/>
  <c r="AS194" i="5" s="1"/>
  <c r="AS195" i="5" s="1"/>
  <c r="AS196" i="5" s="1"/>
  <c r="AS197" i="5" s="1"/>
  <c r="AS198" i="5" s="1"/>
  <c r="AS199" i="5" s="1"/>
  <c r="AS200" i="5" s="1"/>
  <c r="F25" i="13" l="1"/>
  <c r="F24" i="13"/>
  <c r="E24" i="13"/>
  <c r="E25" i="13"/>
  <c r="E26" i="13"/>
  <c r="F26" i="13"/>
  <c r="D202" i="5"/>
  <c r="S202" i="5" s="1"/>
  <c r="E202" i="5"/>
  <c r="F202" i="5"/>
  <c r="G202" i="5"/>
  <c r="H202" i="5"/>
  <c r="F13" i="19" l="1"/>
  <c r="G8" i="19"/>
  <c r="F15" i="19" l="1"/>
  <c r="AV4" i="5" l="1"/>
  <c r="AW4" i="5"/>
  <c r="AX4" i="5"/>
  <c r="AY4" i="5"/>
  <c r="AZ4" i="5"/>
  <c r="AV5" i="5"/>
  <c r="AW5" i="5"/>
  <c r="AX5" i="5"/>
  <c r="AY5" i="5"/>
  <c r="AZ5" i="5"/>
  <c r="AV6" i="5"/>
  <c r="AW6" i="5"/>
  <c r="AX6" i="5"/>
  <c r="AY6" i="5"/>
  <c r="AZ6" i="5"/>
  <c r="AV7" i="5"/>
  <c r="AW7" i="5"/>
  <c r="AX7" i="5"/>
  <c r="AY7" i="5"/>
  <c r="AZ7" i="5"/>
  <c r="AV8" i="5"/>
  <c r="AW8" i="5"/>
  <c r="AX8" i="5"/>
  <c r="AY8" i="5"/>
  <c r="AZ8" i="5"/>
  <c r="AV9" i="5"/>
  <c r="AW9" i="5"/>
  <c r="AX9" i="5"/>
  <c r="AY9" i="5"/>
  <c r="AZ9" i="5"/>
  <c r="AV10" i="5"/>
  <c r="AW10" i="5"/>
  <c r="AX10" i="5"/>
  <c r="AY10" i="5"/>
  <c r="AZ10" i="5"/>
  <c r="AV11" i="5"/>
  <c r="AW11" i="5"/>
  <c r="AX11" i="5"/>
  <c r="AY11" i="5"/>
  <c r="AZ11" i="5"/>
  <c r="AV12" i="5"/>
  <c r="AW12" i="5"/>
  <c r="AX12" i="5"/>
  <c r="AY12" i="5"/>
  <c r="AZ12" i="5"/>
  <c r="AV13" i="5"/>
  <c r="AW13" i="5"/>
  <c r="AX13" i="5"/>
  <c r="AY13" i="5"/>
  <c r="AZ13" i="5"/>
  <c r="AV14" i="5"/>
  <c r="AW14" i="5"/>
  <c r="AX14" i="5"/>
  <c r="AY14" i="5"/>
  <c r="AZ14" i="5"/>
  <c r="AV15" i="5"/>
  <c r="AW15" i="5"/>
  <c r="AX15" i="5"/>
  <c r="AY15" i="5"/>
  <c r="AZ15" i="5"/>
  <c r="AV16" i="5"/>
  <c r="AW16" i="5"/>
  <c r="AX16" i="5"/>
  <c r="AY16" i="5"/>
  <c r="AZ16" i="5"/>
  <c r="AV17" i="5"/>
  <c r="AW17" i="5"/>
  <c r="AX17" i="5"/>
  <c r="AY17" i="5"/>
  <c r="AZ17" i="5"/>
  <c r="AV18" i="5"/>
  <c r="AW18" i="5"/>
  <c r="AX18" i="5"/>
  <c r="AY18" i="5"/>
  <c r="AZ18" i="5"/>
  <c r="AV19" i="5"/>
  <c r="AW19" i="5"/>
  <c r="AX19" i="5"/>
  <c r="AY19" i="5"/>
  <c r="AZ19" i="5"/>
  <c r="AV20" i="5"/>
  <c r="AW20" i="5"/>
  <c r="AX20" i="5"/>
  <c r="AY20" i="5"/>
  <c r="AZ20" i="5"/>
  <c r="AV21" i="5"/>
  <c r="AW21" i="5"/>
  <c r="AX21" i="5"/>
  <c r="AY21" i="5"/>
  <c r="AZ21" i="5"/>
  <c r="AV22" i="5"/>
  <c r="AW22" i="5"/>
  <c r="AX22" i="5"/>
  <c r="AY22" i="5"/>
  <c r="AZ22" i="5"/>
  <c r="AV23" i="5"/>
  <c r="AW23" i="5"/>
  <c r="AX23" i="5"/>
  <c r="AY23" i="5"/>
  <c r="AZ23" i="5"/>
  <c r="AV24" i="5"/>
  <c r="AW24" i="5"/>
  <c r="AX24" i="5"/>
  <c r="AY24" i="5"/>
  <c r="AZ24" i="5"/>
  <c r="AV25" i="5"/>
  <c r="AW25" i="5"/>
  <c r="AX25" i="5"/>
  <c r="AY25" i="5"/>
  <c r="AZ25" i="5"/>
  <c r="AV26" i="5"/>
  <c r="AW26" i="5"/>
  <c r="AX26" i="5"/>
  <c r="AY26" i="5"/>
  <c r="AZ26" i="5"/>
  <c r="AV27" i="5"/>
  <c r="AW27" i="5"/>
  <c r="AX27" i="5"/>
  <c r="AY27" i="5"/>
  <c r="AZ27" i="5"/>
  <c r="AV28" i="5"/>
  <c r="AW28" i="5"/>
  <c r="AX28" i="5"/>
  <c r="AY28" i="5"/>
  <c r="AZ28" i="5"/>
  <c r="AV29" i="5"/>
  <c r="AW29" i="5"/>
  <c r="AX29" i="5"/>
  <c r="AY29" i="5"/>
  <c r="AZ29" i="5"/>
  <c r="AV30" i="5"/>
  <c r="AW30" i="5"/>
  <c r="AX30" i="5"/>
  <c r="AY30" i="5"/>
  <c r="AZ30" i="5"/>
  <c r="AV31" i="5"/>
  <c r="AW31" i="5"/>
  <c r="AX31" i="5"/>
  <c r="AY31" i="5"/>
  <c r="AZ31" i="5"/>
  <c r="AV32" i="5"/>
  <c r="AW32" i="5"/>
  <c r="AX32" i="5"/>
  <c r="AY32" i="5"/>
  <c r="AZ32" i="5"/>
  <c r="AV33" i="5"/>
  <c r="AW33" i="5"/>
  <c r="AX33" i="5"/>
  <c r="AY33" i="5"/>
  <c r="AZ33" i="5"/>
  <c r="AV34" i="5"/>
  <c r="AW34" i="5"/>
  <c r="AX34" i="5"/>
  <c r="AY34" i="5"/>
  <c r="AZ34" i="5"/>
  <c r="AV35" i="5"/>
  <c r="AW35" i="5"/>
  <c r="AX35" i="5"/>
  <c r="AY35" i="5"/>
  <c r="AZ35" i="5"/>
  <c r="AV36" i="5"/>
  <c r="AW36" i="5"/>
  <c r="AX36" i="5"/>
  <c r="AY36" i="5"/>
  <c r="AZ36" i="5"/>
  <c r="AV37" i="5"/>
  <c r="AW37" i="5"/>
  <c r="AX37" i="5"/>
  <c r="AY37" i="5"/>
  <c r="AZ37" i="5"/>
  <c r="AV38" i="5"/>
  <c r="AW38" i="5"/>
  <c r="AX38" i="5"/>
  <c r="AY38" i="5"/>
  <c r="AZ38" i="5"/>
  <c r="AV39" i="5"/>
  <c r="AW39" i="5"/>
  <c r="AX39" i="5"/>
  <c r="AY39" i="5"/>
  <c r="AZ39" i="5"/>
  <c r="AV40" i="5"/>
  <c r="AW40" i="5"/>
  <c r="AX40" i="5"/>
  <c r="AY40" i="5"/>
  <c r="AZ40" i="5"/>
  <c r="AV41" i="5"/>
  <c r="AW41" i="5"/>
  <c r="AX41" i="5"/>
  <c r="AY41" i="5"/>
  <c r="AZ41" i="5"/>
  <c r="AV42" i="5"/>
  <c r="AW42" i="5"/>
  <c r="AX42" i="5"/>
  <c r="AY42" i="5"/>
  <c r="AZ42" i="5"/>
  <c r="AV43" i="5"/>
  <c r="AW43" i="5"/>
  <c r="AX43" i="5"/>
  <c r="AY43" i="5"/>
  <c r="AZ43" i="5"/>
  <c r="AV44" i="5"/>
  <c r="AW44" i="5"/>
  <c r="AX44" i="5"/>
  <c r="AY44" i="5"/>
  <c r="AZ44" i="5"/>
  <c r="AV45" i="5"/>
  <c r="AW45" i="5"/>
  <c r="AX45" i="5"/>
  <c r="AY45" i="5"/>
  <c r="AZ45" i="5"/>
  <c r="AV46" i="5"/>
  <c r="AW46" i="5"/>
  <c r="AX46" i="5"/>
  <c r="AY46" i="5"/>
  <c r="AZ46" i="5"/>
  <c r="AV47" i="5"/>
  <c r="AW47" i="5"/>
  <c r="AX47" i="5"/>
  <c r="AY47" i="5"/>
  <c r="AZ47" i="5"/>
  <c r="AV48" i="5"/>
  <c r="AW48" i="5"/>
  <c r="AX48" i="5"/>
  <c r="AY48" i="5"/>
  <c r="AZ48" i="5"/>
  <c r="AV49" i="5"/>
  <c r="AW49" i="5"/>
  <c r="AX49" i="5"/>
  <c r="AY49" i="5"/>
  <c r="AZ49" i="5"/>
  <c r="AV50" i="5"/>
  <c r="AW50" i="5"/>
  <c r="AX50" i="5"/>
  <c r="AY50" i="5"/>
  <c r="AZ50" i="5"/>
  <c r="AV51" i="5"/>
  <c r="AW51" i="5"/>
  <c r="AX51" i="5"/>
  <c r="AY51" i="5"/>
  <c r="AZ51" i="5"/>
  <c r="AV52" i="5"/>
  <c r="AW52" i="5"/>
  <c r="AX52" i="5"/>
  <c r="AY52" i="5"/>
  <c r="AZ52" i="5"/>
  <c r="AV53" i="5"/>
  <c r="AW53" i="5"/>
  <c r="AX53" i="5"/>
  <c r="AY53" i="5"/>
  <c r="AZ53" i="5"/>
  <c r="AV54" i="5"/>
  <c r="AW54" i="5"/>
  <c r="AX54" i="5"/>
  <c r="AY54" i="5"/>
  <c r="AZ54" i="5"/>
  <c r="AV55" i="5"/>
  <c r="AW55" i="5"/>
  <c r="AX55" i="5"/>
  <c r="AY55" i="5"/>
  <c r="AZ55" i="5"/>
  <c r="AV56" i="5"/>
  <c r="AW56" i="5"/>
  <c r="AX56" i="5"/>
  <c r="AY56" i="5"/>
  <c r="AZ56" i="5"/>
  <c r="AV57" i="5"/>
  <c r="AW57" i="5"/>
  <c r="AX57" i="5"/>
  <c r="AY57" i="5"/>
  <c r="AZ57" i="5"/>
  <c r="AV58" i="5"/>
  <c r="AW58" i="5"/>
  <c r="AX58" i="5"/>
  <c r="AY58" i="5"/>
  <c r="AZ58" i="5"/>
  <c r="AV59" i="5"/>
  <c r="AW59" i="5"/>
  <c r="AX59" i="5"/>
  <c r="AY59" i="5"/>
  <c r="AZ59" i="5"/>
  <c r="AV60" i="5"/>
  <c r="AW60" i="5"/>
  <c r="AX60" i="5"/>
  <c r="AY60" i="5"/>
  <c r="AZ60" i="5"/>
  <c r="AV61" i="5"/>
  <c r="AW61" i="5"/>
  <c r="AX61" i="5"/>
  <c r="AY61" i="5"/>
  <c r="AZ61" i="5"/>
  <c r="AV62" i="5"/>
  <c r="AW62" i="5"/>
  <c r="AX62" i="5"/>
  <c r="AY62" i="5"/>
  <c r="AZ62" i="5"/>
  <c r="AV63" i="5"/>
  <c r="AW63" i="5"/>
  <c r="AX63" i="5"/>
  <c r="AY63" i="5"/>
  <c r="AZ63" i="5"/>
  <c r="AV64" i="5"/>
  <c r="AW64" i="5"/>
  <c r="AX64" i="5"/>
  <c r="AY64" i="5"/>
  <c r="AZ64" i="5"/>
  <c r="AV65" i="5"/>
  <c r="AW65" i="5"/>
  <c r="AX65" i="5"/>
  <c r="AY65" i="5"/>
  <c r="AZ65" i="5"/>
  <c r="AV66" i="5"/>
  <c r="AW66" i="5"/>
  <c r="AX66" i="5"/>
  <c r="AY66" i="5"/>
  <c r="AZ66" i="5"/>
  <c r="AV67" i="5"/>
  <c r="AW67" i="5"/>
  <c r="AX67" i="5"/>
  <c r="AY67" i="5"/>
  <c r="AZ67" i="5"/>
  <c r="AV68" i="5"/>
  <c r="AW68" i="5"/>
  <c r="AX68" i="5"/>
  <c r="AY68" i="5"/>
  <c r="AZ68" i="5"/>
  <c r="AV69" i="5"/>
  <c r="AW69" i="5"/>
  <c r="AX69" i="5"/>
  <c r="AY69" i="5"/>
  <c r="AZ69" i="5"/>
  <c r="AV70" i="5"/>
  <c r="AW70" i="5"/>
  <c r="AX70" i="5"/>
  <c r="AY70" i="5"/>
  <c r="AZ70" i="5"/>
  <c r="AV71" i="5"/>
  <c r="AW71" i="5"/>
  <c r="AX71" i="5"/>
  <c r="AY71" i="5"/>
  <c r="AZ71" i="5"/>
  <c r="AV72" i="5"/>
  <c r="AW72" i="5"/>
  <c r="AX72" i="5"/>
  <c r="AY72" i="5"/>
  <c r="AZ72" i="5"/>
  <c r="AV73" i="5"/>
  <c r="AW73" i="5"/>
  <c r="AX73" i="5"/>
  <c r="AY73" i="5"/>
  <c r="AZ73" i="5"/>
  <c r="AV74" i="5"/>
  <c r="AW74" i="5"/>
  <c r="AX74" i="5"/>
  <c r="AY74" i="5"/>
  <c r="AZ74" i="5"/>
  <c r="AV75" i="5"/>
  <c r="AW75" i="5"/>
  <c r="AX75" i="5"/>
  <c r="AY75" i="5"/>
  <c r="AZ75" i="5"/>
  <c r="AV76" i="5"/>
  <c r="AW76" i="5"/>
  <c r="AX76" i="5"/>
  <c r="AY76" i="5"/>
  <c r="AZ76" i="5"/>
  <c r="AV77" i="5"/>
  <c r="AW77" i="5"/>
  <c r="AX77" i="5"/>
  <c r="AY77" i="5"/>
  <c r="AZ77" i="5"/>
  <c r="AV78" i="5"/>
  <c r="AW78" i="5"/>
  <c r="AX78" i="5"/>
  <c r="AY78" i="5"/>
  <c r="AZ78" i="5"/>
  <c r="AV79" i="5"/>
  <c r="AW79" i="5"/>
  <c r="AX79" i="5"/>
  <c r="AY79" i="5"/>
  <c r="AZ79" i="5"/>
  <c r="AV80" i="5"/>
  <c r="AW80" i="5"/>
  <c r="AX80" i="5"/>
  <c r="AY80" i="5"/>
  <c r="AZ80" i="5"/>
  <c r="AV81" i="5"/>
  <c r="AW81" i="5"/>
  <c r="AX81" i="5"/>
  <c r="AY81" i="5"/>
  <c r="AZ81" i="5"/>
  <c r="AV82" i="5"/>
  <c r="AW82" i="5"/>
  <c r="AX82" i="5"/>
  <c r="AY82" i="5"/>
  <c r="AZ82" i="5"/>
  <c r="AV83" i="5"/>
  <c r="AW83" i="5"/>
  <c r="AX83" i="5"/>
  <c r="AY83" i="5"/>
  <c r="AZ83" i="5"/>
  <c r="AV84" i="5"/>
  <c r="AW84" i="5"/>
  <c r="AX84" i="5"/>
  <c r="AY84" i="5"/>
  <c r="AZ84" i="5"/>
  <c r="AV85" i="5"/>
  <c r="AW85" i="5"/>
  <c r="AX85" i="5"/>
  <c r="AY85" i="5"/>
  <c r="AZ85" i="5"/>
  <c r="AV86" i="5"/>
  <c r="AW86" i="5"/>
  <c r="AX86" i="5"/>
  <c r="AY86" i="5"/>
  <c r="AZ86" i="5"/>
  <c r="AV87" i="5"/>
  <c r="AW87" i="5"/>
  <c r="AX87" i="5"/>
  <c r="AY87" i="5"/>
  <c r="AZ87" i="5"/>
  <c r="AV88" i="5"/>
  <c r="AW88" i="5"/>
  <c r="AX88" i="5"/>
  <c r="AY88" i="5"/>
  <c r="AZ88" i="5"/>
  <c r="AV89" i="5"/>
  <c r="AW89" i="5"/>
  <c r="AX89" i="5"/>
  <c r="AY89" i="5"/>
  <c r="AZ89" i="5"/>
  <c r="AV90" i="5"/>
  <c r="AW90" i="5"/>
  <c r="AX90" i="5"/>
  <c r="AY90" i="5"/>
  <c r="AZ90" i="5"/>
  <c r="AV91" i="5"/>
  <c r="AW91" i="5"/>
  <c r="AX91" i="5"/>
  <c r="AY91" i="5"/>
  <c r="AZ91" i="5"/>
  <c r="AV92" i="5"/>
  <c r="AW92" i="5"/>
  <c r="AX92" i="5"/>
  <c r="AY92" i="5"/>
  <c r="AZ92" i="5"/>
  <c r="AV93" i="5"/>
  <c r="AW93" i="5"/>
  <c r="AX93" i="5"/>
  <c r="AY93" i="5"/>
  <c r="AZ93" i="5"/>
  <c r="AV94" i="5"/>
  <c r="AW94" i="5"/>
  <c r="AX94" i="5"/>
  <c r="AY94" i="5"/>
  <c r="AZ94" i="5"/>
  <c r="AV95" i="5"/>
  <c r="AW95" i="5"/>
  <c r="AX95" i="5"/>
  <c r="AY95" i="5"/>
  <c r="AZ95" i="5"/>
  <c r="AV96" i="5"/>
  <c r="AW96" i="5"/>
  <c r="AX96" i="5"/>
  <c r="AY96" i="5"/>
  <c r="AZ96" i="5"/>
  <c r="AV97" i="5"/>
  <c r="AW97" i="5"/>
  <c r="AX97" i="5"/>
  <c r="AY97" i="5"/>
  <c r="AZ97" i="5"/>
  <c r="AV98" i="5"/>
  <c r="AW98" i="5"/>
  <c r="AX98" i="5"/>
  <c r="AY98" i="5"/>
  <c r="AZ98" i="5"/>
  <c r="AV99" i="5"/>
  <c r="AW99" i="5"/>
  <c r="AX99" i="5"/>
  <c r="AY99" i="5"/>
  <c r="AZ99" i="5"/>
  <c r="AV100" i="5"/>
  <c r="AW100" i="5"/>
  <c r="AX100" i="5"/>
  <c r="AY100" i="5"/>
  <c r="AZ100" i="5"/>
  <c r="AV101" i="5"/>
  <c r="AW101" i="5"/>
  <c r="AX101" i="5"/>
  <c r="AY101" i="5"/>
  <c r="AZ101" i="5"/>
  <c r="AV102" i="5"/>
  <c r="AW102" i="5"/>
  <c r="AX102" i="5"/>
  <c r="AY102" i="5"/>
  <c r="AZ102" i="5"/>
  <c r="AV103" i="5"/>
  <c r="AW103" i="5"/>
  <c r="AX103" i="5"/>
  <c r="AY103" i="5"/>
  <c r="AZ103" i="5"/>
  <c r="AV104" i="5"/>
  <c r="AW104" i="5"/>
  <c r="AX104" i="5"/>
  <c r="AY104" i="5"/>
  <c r="AZ104" i="5"/>
  <c r="AV105" i="5"/>
  <c r="AW105" i="5"/>
  <c r="AX105" i="5"/>
  <c r="AY105" i="5"/>
  <c r="AZ105" i="5"/>
  <c r="AV106" i="5"/>
  <c r="AW106" i="5"/>
  <c r="AX106" i="5"/>
  <c r="AY106" i="5"/>
  <c r="AZ106" i="5"/>
  <c r="AV107" i="5"/>
  <c r="AW107" i="5"/>
  <c r="AX107" i="5"/>
  <c r="AY107" i="5"/>
  <c r="AZ107" i="5"/>
  <c r="AV108" i="5"/>
  <c r="AW108" i="5"/>
  <c r="AX108" i="5"/>
  <c r="AY108" i="5"/>
  <c r="AZ108" i="5"/>
  <c r="AV109" i="5"/>
  <c r="AW109" i="5"/>
  <c r="AX109" i="5"/>
  <c r="AY109" i="5"/>
  <c r="AZ109" i="5"/>
  <c r="AV110" i="5"/>
  <c r="AW110" i="5"/>
  <c r="AX110" i="5"/>
  <c r="AY110" i="5"/>
  <c r="AZ110" i="5"/>
  <c r="AV111" i="5"/>
  <c r="AW111" i="5"/>
  <c r="AX111" i="5"/>
  <c r="AY111" i="5"/>
  <c r="AZ111" i="5"/>
  <c r="AV112" i="5"/>
  <c r="AW112" i="5"/>
  <c r="AX112" i="5"/>
  <c r="AY112" i="5"/>
  <c r="AZ112" i="5"/>
  <c r="AV113" i="5"/>
  <c r="AW113" i="5"/>
  <c r="AX113" i="5"/>
  <c r="AY113" i="5"/>
  <c r="AZ113" i="5"/>
  <c r="AV114" i="5"/>
  <c r="AW114" i="5"/>
  <c r="AX114" i="5"/>
  <c r="AY114" i="5"/>
  <c r="AZ114" i="5"/>
  <c r="AV115" i="5"/>
  <c r="AW115" i="5"/>
  <c r="AX115" i="5"/>
  <c r="AY115" i="5"/>
  <c r="AZ115" i="5"/>
  <c r="AV116" i="5"/>
  <c r="AW116" i="5"/>
  <c r="AX116" i="5"/>
  <c r="AY116" i="5"/>
  <c r="AZ116" i="5"/>
  <c r="AV117" i="5"/>
  <c r="AW117" i="5"/>
  <c r="AX117" i="5"/>
  <c r="AY117" i="5"/>
  <c r="AZ117" i="5"/>
  <c r="AV118" i="5"/>
  <c r="AW118" i="5"/>
  <c r="AX118" i="5"/>
  <c r="AY118" i="5"/>
  <c r="AZ118" i="5"/>
  <c r="AV119" i="5"/>
  <c r="AW119" i="5"/>
  <c r="AX119" i="5"/>
  <c r="AY119" i="5"/>
  <c r="AZ119" i="5"/>
  <c r="AV120" i="5"/>
  <c r="AW120" i="5"/>
  <c r="AX120" i="5"/>
  <c r="AY120" i="5"/>
  <c r="AZ120" i="5"/>
  <c r="AV121" i="5"/>
  <c r="AW121" i="5"/>
  <c r="AX121" i="5"/>
  <c r="AY121" i="5"/>
  <c r="AZ121" i="5"/>
  <c r="AV122" i="5"/>
  <c r="AW122" i="5"/>
  <c r="AX122" i="5"/>
  <c r="AY122" i="5"/>
  <c r="AZ122" i="5"/>
  <c r="AV123" i="5"/>
  <c r="AW123" i="5"/>
  <c r="AX123" i="5"/>
  <c r="AY123" i="5"/>
  <c r="AZ123" i="5"/>
  <c r="AV124" i="5"/>
  <c r="AW124" i="5"/>
  <c r="AX124" i="5"/>
  <c r="AY124" i="5"/>
  <c r="AZ124" i="5"/>
  <c r="AV125" i="5"/>
  <c r="AW125" i="5"/>
  <c r="AX125" i="5"/>
  <c r="AY125" i="5"/>
  <c r="AZ125" i="5"/>
  <c r="AV126" i="5"/>
  <c r="AW126" i="5"/>
  <c r="AX126" i="5"/>
  <c r="AY126" i="5"/>
  <c r="AZ126" i="5"/>
  <c r="AV127" i="5"/>
  <c r="AW127" i="5"/>
  <c r="AX127" i="5"/>
  <c r="AY127" i="5"/>
  <c r="AZ127" i="5"/>
  <c r="AV128" i="5"/>
  <c r="AW128" i="5"/>
  <c r="AX128" i="5"/>
  <c r="AY128" i="5"/>
  <c r="AZ128" i="5"/>
  <c r="AV129" i="5"/>
  <c r="AW129" i="5"/>
  <c r="AX129" i="5"/>
  <c r="AY129" i="5"/>
  <c r="AZ129" i="5"/>
  <c r="AV130" i="5"/>
  <c r="AW130" i="5"/>
  <c r="AX130" i="5"/>
  <c r="AY130" i="5"/>
  <c r="AZ130" i="5"/>
  <c r="AV131" i="5"/>
  <c r="AW131" i="5"/>
  <c r="AX131" i="5"/>
  <c r="AY131" i="5"/>
  <c r="AZ131" i="5"/>
  <c r="AV132" i="5"/>
  <c r="AW132" i="5"/>
  <c r="AX132" i="5"/>
  <c r="AY132" i="5"/>
  <c r="AZ132" i="5"/>
  <c r="AV133" i="5"/>
  <c r="AW133" i="5"/>
  <c r="AX133" i="5"/>
  <c r="AY133" i="5"/>
  <c r="AZ133" i="5"/>
  <c r="AV134" i="5"/>
  <c r="AW134" i="5"/>
  <c r="AX134" i="5"/>
  <c r="AY134" i="5"/>
  <c r="AZ134" i="5"/>
  <c r="AV135" i="5"/>
  <c r="AW135" i="5"/>
  <c r="AX135" i="5"/>
  <c r="AY135" i="5"/>
  <c r="AZ135" i="5"/>
  <c r="AV136" i="5"/>
  <c r="AW136" i="5"/>
  <c r="AX136" i="5"/>
  <c r="AY136" i="5"/>
  <c r="AZ136" i="5"/>
  <c r="AV137" i="5"/>
  <c r="AW137" i="5"/>
  <c r="AX137" i="5"/>
  <c r="AY137" i="5"/>
  <c r="AZ137" i="5"/>
  <c r="AV138" i="5"/>
  <c r="AW138" i="5"/>
  <c r="AX138" i="5"/>
  <c r="AY138" i="5"/>
  <c r="AZ138" i="5"/>
  <c r="AV139" i="5"/>
  <c r="AW139" i="5"/>
  <c r="AX139" i="5"/>
  <c r="AY139" i="5"/>
  <c r="AZ139" i="5"/>
  <c r="AV140" i="5"/>
  <c r="AW140" i="5"/>
  <c r="AX140" i="5"/>
  <c r="AY140" i="5"/>
  <c r="AZ140" i="5"/>
  <c r="AV141" i="5"/>
  <c r="AW141" i="5"/>
  <c r="AX141" i="5"/>
  <c r="AY141" i="5"/>
  <c r="AZ141" i="5"/>
  <c r="AV142" i="5"/>
  <c r="AW142" i="5"/>
  <c r="AX142" i="5"/>
  <c r="AY142" i="5"/>
  <c r="AZ142" i="5"/>
  <c r="AV143" i="5"/>
  <c r="AW143" i="5"/>
  <c r="AX143" i="5"/>
  <c r="AY143" i="5"/>
  <c r="AZ143" i="5"/>
  <c r="AV144" i="5"/>
  <c r="AW144" i="5"/>
  <c r="AX144" i="5"/>
  <c r="AY144" i="5"/>
  <c r="AZ144" i="5"/>
  <c r="AV145" i="5"/>
  <c r="AW145" i="5"/>
  <c r="AX145" i="5"/>
  <c r="AY145" i="5"/>
  <c r="AZ145" i="5"/>
  <c r="AV146" i="5"/>
  <c r="AW146" i="5"/>
  <c r="AX146" i="5"/>
  <c r="AY146" i="5"/>
  <c r="AZ146" i="5"/>
  <c r="AV147" i="5"/>
  <c r="AW147" i="5"/>
  <c r="AX147" i="5"/>
  <c r="AY147" i="5"/>
  <c r="AZ147" i="5"/>
  <c r="AV148" i="5"/>
  <c r="AW148" i="5"/>
  <c r="AX148" i="5"/>
  <c r="AY148" i="5"/>
  <c r="AZ148" i="5"/>
  <c r="AV149" i="5"/>
  <c r="AW149" i="5"/>
  <c r="AX149" i="5"/>
  <c r="AY149" i="5"/>
  <c r="AZ149" i="5"/>
  <c r="AV150" i="5"/>
  <c r="AW150" i="5"/>
  <c r="AX150" i="5"/>
  <c r="AY150" i="5"/>
  <c r="AZ150" i="5"/>
  <c r="AV151" i="5"/>
  <c r="AW151" i="5"/>
  <c r="AX151" i="5"/>
  <c r="AY151" i="5"/>
  <c r="AZ151" i="5"/>
  <c r="AV152" i="5"/>
  <c r="AW152" i="5"/>
  <c r="AX152" i="5"/>
  <c r="AY152" i="5"/>
  <c r="AZ152" i="5"/>
  <c r="AV153" i="5"/>
  <c r="AW153" i="5"/>
  <c r="AX153" i="5"/>
  <c r="AY153" i="5"/>
  <c r="AZ153" i="5"/>
  <c r="AV154" i="5"/>
  <c r="AW154" i="5"/>
  <c r="AX154" i="5"/>
  <c r="AY154" i="5"/>
  <c r="AZ154" i="5"/>
  <c r="AV155" i="5"/>
  <c r="AW155" i="5"/>
  <c r="AX155" i="5"/>
  <c r="AY155" i="5"/>
  <c r="AZ155" i="5"/>
  <c r="AV156" i="5"/>
  <c r="AW156" i="5"/>
  <c r="AX156" i="5"/>
  <c r="AY156" i="5"/>
  <c r="AZ156" i="5"/>
  <c r="AV157" i="5"/>
  <c r="AW157" i="5"/>
  <c r="AX157" i="5"/>
  <c r="AY157" i="5"/>
  <c r="AZ157" i="5"/>
  <c r="AV158" i="5"/>
  <c r="AW158" i="5"/>
  <c r="AX158" i="5"/>
  <c r="AY158" i="5"/>
  <c r="AZ158" i="5"/>
  <c r="AV159" i="5"/>
  <c r="AW159" i="5"/>
  <c r="AX159" i="5"/>
  <c r="AY159" i="5"/>
  <c r="AZ159" i="5"/>
  <c r="AV160" i="5"/>
  <c r="AW160" i="5"/>
  <c r="AX160" i="5"/>
  <c r="AY160" i="5"/>
  <c r="AZ160" i="5"/>
  <c r="AV161" i="5"/>
  <c r="AW161" i="5"/>
  <c r="AX161" i="5"/>
  <c r="AY161" i="5"/>
  <c r="AZ161" i="5"/>
  <c r="AV162" i="5"/>
  <c r="AW162" i="5"/>
  <c r="AX162" i="5"/>
  <c r="AY162" i="5"/>
  <c r="AZ162" i="5"/>
  <c r="AV163" i="5"/>
  <c r="AW163" i="5"/>
  <c r="AX163" i="5"/>
  <c r="AY163" i="5"/>
  <c r="AZ163" i="5"/>
  <c r="AV164" i="5"/>
  <c r="AW164" i="5"/>
  <c r="AX164" i="5"/>
  <c r="AY164" i="5"/>
  <c r="AZ164" i="5"/>
  <c r="AV165" i="5"/>
  <c r="AW165" i="5"/>
  <c r="AX165" i="5"/>
  <c r="AY165" i="5"/>
  <c r="AZ165" i="5"/>
  <c r="AV166" i="5"/>
  <c r="AW166" i="5"/>
  <c r="AX166" i="5"/>
  <c r="AY166" i="5"/>
  <c r="AZ166" i="5"/>
  <c r="AV167" i="5"/>
  <c r="AW167" i="5"/>
  <c r="AX167" i="5"/>
  <c r="AY167" i="5"/>
  <c r="AZ167" i="5"/>
  <c r="AV168" i="5"/>
  <c r="AW168" i="5"/>
  <c r="AX168" i="5"/>
  <c r="AY168" i="5"/>
  <c r="AZ168" i="5"/>
  <c r="AV169" i="5"/>
  <c r="AW169" i="5"/>
  <c r="AX169" i="5"/>
  <c r="AY169" i="5"/>
  <c r="AZ169" i="5"/>
  <c r="AV170" i="5"/>
  <c r="AW170" i="5"/>
  <c r="AX170" i="5"/>
  <c r="AY170" i="5"/>
  <c r="AZ170" i="5"/>
  <c r="AV171" i="5"/>
  <c r="AW171" i="5"/>
  <c r="AX171" i="5"/>
  <c r="AY171" i="5"/>
  <c r="AZ171" i="5"/>
  <c r="AV172" i="5"/>
  <c r="AW172" i="5"/>
  <c r="AX172" i="5"/>
  <c r="AY172" i="5"/>
  <c r="AZ172" i="5"/>
  <c r="AV173" i="5"/>
  <c r="AW173" i="5"/>
  <c r="AX173" i="5"/>
  <c r="AY173" i="5"/>
  <c r="AZ173" i="5"/>
  <c r="AV174" i="5"/>
  <c r="AW174" i="5"/>
  <c r="AX174" i="5"/>
  <c r="AY174" i="5"/>
  <c r="AZ174" i="5"/>
  <c r="AV175" i="5"/>
  <c r="AW175" i="5"/>
  <c r="AX175" i="5"/>
  <c r="AY175" i="5"/>
  <c r="AZ175" i="5"/>
  <c r="AV176" i="5"/>
  <c r="AW176" i="5"/>
  <c r="AX176" i="5"/>
  <c r="AY176" i="5"/>
  <c r="AZ176" i="5"/>
  <c r="AV177" i="5"/>
  <c r="AW177" i="5"/>
  <c r="AX177" i="5"/>
  <c r="AY177" i="5"/>
  <c r="AZ177" i="5"/>
  <c r="AV178" i="5"/>
  <c r="AW178" i="5"/>
  <c r="AX178" i="5"/>
  <c r="AY178" i="5"/>
  <c r="AZ178" i="5"/>
  <c r="AV179" i="5"/>
  <c r="AW179" i="5"/>
  <c r="AX179" i="5"/>
  <c r="AY179" i="5"/>
  <c r="AZ179" i="5"/>
  <c r="AV180" i="5"/>
  <c r="AW180" i="5"/>
  <c r="AX180" i="5"/>
  <c r="AY180" i="5"/>
  <c r="AZ180" i="5"/>
  <c r="AV181" i="5"/>
  <c r="AW181" i="5"/>
  <c r="AX181" i="5"/>
  <c r="AY181" i="5"/>
  <c r="AZ181" i="5"/>
  <c r="AV182" i="5"/>
  <c r="AW182" i="5"/>
  <c r="AX182" i="5"/>
  <c r="AY182" i="5"/>
  <c r="AZ182" i="5"/>
  <c r="AV183" i="5"/>
  <c r="AW183" i="5"/>
  <c r="AX183" i="5"/>
  <c r="AY183" i="5"/>
  <c r="AZ183" i="5"/>
  <c r="AV184" i="5"/>
  <c r="AW184" i="5"/>
  <c r="AX184" i="5"/>
  <c r="AY184" i="5"/>
  <c r="AZ184" i="5"/>
  <c r="AV185" i="5"/>
  <c r="AW185" i="5"/>
  <c r="AX185" i="5"/>
  <c r="AY185" i="5"/>
  <c r="AZ185" i="5"/>
  <c r="AV186" i="5"/>
  <c r="AW186" i="5"/>
  <c r="AX186" i="5"/>
  <c r="AY186" i="5"/>
  <c r="AZ186" i="5"/>
  <c r="AV187" i="5"/>
  <c r="AW187" i="5"/>
  <c r="AX187" i="5"/>
  <c r="AY187" i="5"/>
  <c r="AZ187" i="5"/>
  <c r="AV188" i="5"/>
  <c r="AW188" i="5"/>
  <c r="AX188" i="5"/>
  <c r="AY188" i="5"/>
  <c r="AZ188" i="5"/>
  <c r="AV189" i="5"/>
  <c r="AW189" i="5"/>
  <c r="AX189" i="5"/>
  <c r="AY189" i="5"/>
  <c r="AZ189" i="5"/>
  <c r="AV190" i="5"/>
  <c r="AW190" i="5"/>
  <c r="AX190" i="5"/>
  <c r="AY190" i="5"/>
  <c r="AZ190" i="5"/>
  <c r="AV191" i="5"/>
  <c r="AW191" i="5"/>
  <c r="AX191" i="5"/>
  <c r="AY191" i="5"/>
  <c r="AZ191" i="5"/>
  <c r="AV192" i="5"/>
  <c r="AW192" i="5"/>
  <c r="AX192" i="5"/>
  <c r="AY192" i="5"/>
  <c r="AZ192" i="5"/>
  <c r="AV193" i="5"/>
  <c r="AW193" i="5"/>
  <c r="AX193" i="5"/>
  <c r="AY193" i="5"/>
  <c r="AZ193" i="5"/>
  <c r="AV194" i="5"/>
  <c r="AW194" i="5"/>
  <c r="AX194" i="5"/>
  <c r="AY194" i="5"/>
  <c r="AZ194" i="5"/>
  <c r="AV195" i="5"/>
  <c r="AW195" i="5"/>
  <c r="AX195" i="5"/>
  <c r="AY195" i="5"/>
  <c r="AZ195" i="5"/>
  <c r="AV196" i="5"/>
  <c r="AW196" i="5"/>
  <c r="AX196" i="5"/>
  <c r="AY196" i="5"/>
  <c r="AZ196" i="5"/>
  <c r="AV197" i="5"/>
  <c r="AW197" i="5"/>
  <c r="AX197" i="5"/>
  <c r="AY197" i="5"/>
  <c r="AZ197" i="5"/>
  <c r="AV198" i="5"/>
  <c r="AW198" i="5"/>
  <c r="AX198" i="5"/>
  <c r="AY198" i="5"/>
  <c r="AZ198" i="5"/>
  <c r="AV199" i="5"/>
  <c r="AW199" i="5"/>
  <c r="AX199" i="5"/>
  <c r="AY199" i="5"/>
  <c r="AZ199" i="5"/>
  <c r="AV200" i="5"/>
  <c r="AW200" i="5"/>
  <c r="AX200" i="5"/>
  <c r="AY200" i="5"/>
  <c r="AZ200" i="5"/>
  <c r="AZ3" i="5"/>
  <c r="AY3" i="5"/>
  <c r="AX3" i="5"/>
  <c r="AW3" i="5"/>
  <c r="AV3" i="5"/>
  <c r="H201" i="5"/>
  <c r="G201" i="5"/>
  <c r="F201" i="5"/>
  <c r="E201" i="5"/>
  <c r="D201" i="5"/>
  <c r="S201" i="5" s="1"/>
  <c r="H200" i="5"/>
  <c r="G200" i="5"/>
  <c r="F200" i="5"/>
  <c r="E200" i="5"/>
  <c r="D200" i="5"/>
  <c r="S200" i="5" s="1"/>
  <c r="H199" i="5"/>
  <c r="G199" i="5"/>
  <c r="F199" i="5"/>
  <c r="E199" i="5"/>
  <c r="D199" i="5"/>
  <c r="S199" i="5" s="1"/>
  <c r="H198" i="5"/>
  <c r="G198" i="5"/>
  <c r="F198" i="5"/>
  <c r="E198" i="5"/>
  <c r="D198" i="5"/>
  <c r="S198" i="5" s="1"/>
  <c r="H197" i="5"/>
  <c r="G197" i="5"/>
  <c r="F197" i="5"/>
  <c r="E197" i="5"/>
  <c r="D197" i="5"/>
  <c r="S197" i="5" s="1"/>
  <c r="H196" i="5"/>
  <c r="G196" i="5"/>
  <c r="F196" i="5"/>
  <c r="E196" i="5"/>
  <c r="D196" i="5"/>
  <c r="S196" i="5" s="1"/>
  <c r="H195" i="5"/>
  <c r="G195" i="5"/>
  <c r="F195" i="5"/>
  <c r="E195" i="5"/>
  <c r="D195" i="5"/>
  <c r="S195" i="5" s="1"/>
  <c r="H194" i="5"/>
  <c r="G194" i="5"/>
  <c r="F194" i="5"/>
  <c r="E194" i="5"/>
  <c r="D194" i="5"/>
  <c r="S194" i="5" s="1"/>
  <c r="H193" i="5"/>
  <c r="G193" i="5"/>
  <c r="F193" i="5"/>
  <c r="E193" i="5"/>
  <c r="D193" i="5"/>
  <c r="S193" i="5" s="1"/>
  <c r="H3" i="5"/>
  <c r="G3" i="5"/>
  <c r="F3" i="5"/>
  <c r="E3" i="5"/>
  <c r="D3" i="5"/>
  <c r="P3" i="5" s="1"/>
  <c r="S3" i="5" l="1"/>
  <c r="AK4" i="7" l="1"/>
  <c r="AK5" i="7"/>
  <c r="AL5" i="7" s="1"/>
  <c r="AK6" i="7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L6" i="7" l="1"/>
  <c r="AL4" i="7"/>
  <c r="L16" i="37" l="1"/>
  <c r="AI23" i="7"/>
  <c r="AA5" i="42" s="1"/>
  <c r="AA11" i="42" s="1"/>
  <c r="AI24" i="7" l="1"/>
  <c r="AA4" i="42" s="1"/>
  <c r="AI25" i="7"/>
  <c r="AA3" i="42" s="1"/>
  <c r="G2" i="13"/>
  <c r="K2" i="13" s="1"/>
  <c r="G3" i="13"/>
  <c r="K3" i="13" s="1"/>
  <c r="G4" i="13"/>
  <c r="K4" i="13" s="1"/>
  <c r="G5" i="13"/>
  <c r="K5" i="13" s="1"/>
  <c r="G8" i="13"/>
  <c r="K8" i="13" s="1"/>
  <c r="G9" i="13"/>
  <c r="K9" i="13" s="1"/>
  <c r="G10" i="13"/>
  <c r="K10" i="13" s="1"/>
  <c r="K11" i="13"/>
  <c r="G14" i="13"/>
  <c r="K14" i="13" s="1"/>
  <c r="G15" i="13"/>
  <c r="K15" i="13" s="1"/>
  <c r="G16" i="13"/>
  <c r="K16" i="13" s="1"/>
  <c r="G17" i="13"/>
  <c r="K17" i="13" s="1"/>
  <c r="AI29" i="7" l="1"/>
  <c r="AA10" i="42" s="1"/>
  <c r="A32" i="11" l="1"/>
  <c r="J32" i="11" s="1"/>
  <c r="Q3" i="14" l="1"/>
  <c r="Q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F20" i="13"/>
  <c r="E20" i="13"/>
  <c r="I14" i="13"/>
  <c r="H14" i="13"/>
  <c r="I8" i="13"/>
  <c r="H8" i="13"/>
  <c r="I2" i="13"/>
  <c r="H2" i="13"/>
  <c r="AB4" i="1"/>
  <c r="AF4" i="1"/>
  <c r="E19" i="37" s="1"/>
  <c r="AM5" i="3" l="1"/>
  <c r="AM6" i="3"/>
  <c r="AM14" i="3"/>
  <c r="AM8" i="3"/>
  <c r="AM7" i="3"/>
  <c r="AM10" i="3"/>
  <c r="AM13" i="3"/>
  <c r="AM12" i="3"/>
  <c r="AM9" i="3"/>
  <c r="AM11" i="3"/>
  <c r="AM15" i="3"/>
  <c r="E15" i="37"/>
  <c r="D22" i="44"/>
  <c r="C22" i="44"/>
  <c r="L21" i="37"/>
  <c r="AM4" i="3"/>
  <c r="J14" i="13"/>
  <c r="J8" i="13"/>
  <c r="J2" i="13"/>
  <c r="G20" i="13"/>
  <c r="K20" i="13" s="1"/>
  <c r="E22" i="44" l="1"/>
  <c r="F5" i="11"/>
  <c r="C5" i="11"/>
  <c r="A14" i="11"/>
  <c r="J14" i="11" s="1"/>
  <c r="A15" i="11"/>
  <c r="J15" i="11" s="1"/>
  <c r="A16" i="11"/>
  <c r="J16" i="11" s="1"/>
  <c r="A17" i="11"/>
  <c r="J17" i="11" s="1"/>
  <c r="A18" i="11"/>
  <c r="J18" i="11" s="1"/>
  <c r="A19" i="11"/>
  <c r="J19" i="11" s="1"/>
  <c r="A20" i="11"/>
  <c r="J20" i="11" s="1"/>
  <c r="A21" i="11"/>
  <c r="J21" i="11" s="1"/>
  <c r="A22" i="11"/>
  <c r="J22" i="11" s="1"/>
  <c r="A23" i="11"/>
  <c r="J23" i="11" s="1"/>
  <c r="A24" i="11"/>
  <c r="J24" i="11" s="1"/>
  <c r="A25" i="11"/>
  <c r="J25" i="11" s="1"/>
  <c r="A26" i="11"/>
  <c r="J26" i="11" s="1"/>
  <c r="A27" i="11"/>
  <c r="J27" i="11" s="1"/>
  <c r="A29" i="11"/>
  <c r="J29" i="11" s="1"/>
  <c r="A30" i="11"/>
  <c r="J30" i="11" s="1"/>
  <c r="A31" i="11"/>
  <c r="J31" i="11" s="1"/>
  <c r="A13" i="11"/>
  <c r="J13" i="11" s="1"/>
  <c r="AE12" i="1" l="1"/>
  <c r="AE18" i="1"/>
  <c r="AE24" i="1"/>
  <c r="AE16" i="1"/>
  <c r="AE5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6" i="1"/>
  <c r="AE14" i="1"/>
  <c r="AE8" i="1"/>
  <c r="AE20" i="1"/>
  <c r="AE10" i="1"/>
  <c r="AE22" i="1"/>
  <c r="AE26" i="1"/>
  <c r="AE28" i="1"/>
  <c r="AE138" i="1"/>
  <c r="AE144" i="1"/>
  <c r="AE150" i="1"/>
  <c r="AE71" i="1"/>
  <c r="AE83" i="1"/>
  <c r="AE95" i="1"/>
  <c r="AE107" i="1"/>
  <c r="AE113" i="1"/>
  <c r="AE131" i="1"/>
  <c r="AE118" i="1"/>
  <c r="AE35" i="1"/>
  <c r="AE41" i="1"/>
  <c r="AE47" i="1"/>
  <c r="AE53" i="1"/>
  <c r="AE59" i="1"/>
  <c r="AE65" i="1"/>
  <c r="AE77" i="1"/>
  <c r="AE89" i="1"/>
  <c r="AE101" i="1"/>
  <c r="AE125" i="1"/>
  <c r="AE106" i="1"/>
  <c r="AE137" i="1"/>
  <c r="AE143" i="1"/>
  <c r="AE149" i="1"/>
  <c r="AE34" i="1"/>
  <c r="AE46" i="1"/>
  <c r="AE64" i="1"/>
  <c r="AE70" i="1"/>
  <c r="AE82" i="1"/>
  <c r="AE100" i="1"/>
  <c r="AE130" i="1"/>
  <c r="AE40" i="1"/>
  <c r="AE52" i="1"/>
  <c r="AE58" i="1"/>
  <c r="AE76" i="1"/>
  <c r="AE88" i="1"/>
  <c r="AE94" i="1"/>
  <c r="AE112" i="1"/>
  <c r="AE145" i="1"/>
  <c r="AE136" i="1"/>
  <c r="AE142" i="1"/>
  <c r="AE148" i="1"/>
  <c r="AE111" i="1"/>
  <c r="AE123" i="1"/>
  <c r="AE73" i="1"/>
  <c r="AE103" i="1"/>
  <c r="AE115" i="1"/>
  <c r="AE133" i="1"/>
  <c r="AE33" i="1"/>
  <c r="AE39" i="1"/>
  <c r="AE45" i="1"/>
  <c r="AE51" i="1"/>
  <c r="AE57" i="1"/>
  <c r="AE63" i="1"/>
  <c r="AE69" i="1"/>
  <c r="AE75" i="1"/>
  <c r="AE81" i="1"/>
  <c r="AE87" i="1"/>
  <c r="AE93" i="1"/>
  <c r="AE99" i="1"/>
  <c r="AE105" i="1"/>
  <c r="AE117" i="1"/>
  <c r="AE129" i="1"/>
  <c r="AE49" i="1"/>
  <c r="AE85" i="1"/>
  <c r="AE135" i="1"/>
  <c r="AE141" i="1"/>
  <c r="AE147" i="1"/>
  <c r="AE134" i="1"/>
  <c r="AE91" i="1"/>
  <c r="AE127" i="1"/>
  <c r="AE32" i="1"/>
  <c r="AE38" i="1"/>
  <c r="AE44" i="1"/>
  <c r="AE50" i="1"/>
  <c r="AE56" i="1"/>
  <c r="AE62" i="1"/>
  <c r="AE68" i="1"/>
  <c r="AE74" i="1"/>
  <c r="AE80" i="1"/>
  <c r="AE86" i="1"/>
  <c r="AE92" i="1"/>
  <c r="AE98" i="1"/>
  <c r="AE104" i="1"/>
  <c r="AE110" i="1"/>
  <c r="AE116" i="1"/>
  <c r="AE122" i="1"/>
  <c r="AE128" i="1"/>
  <c r="AE43" i="1"/>
  <c r="AE67" i="1"/>
  <c r="AE97" i="1"/>
  <c r="AE121" i="1"/>
  <c r="AE140" i="1"/>
  <c r="AE146" i="1"/>
  <c r="AE55" i="1"/>
  <c r="AE79" i="1"/>
  <c r="AE109" i="1"/>
  <c r="AE31" i="1"/>
  <c r="AE37" i="1"/>
  <c r="AE61" i="1"/>
  <c r="AE139" i="1"/>
  <c r="AE30" i="1"/>
  <c r="AE36" i="1"/>
  <c r="AE42" i="1"/>
  <c r="AE48" i="1"/>
  <c r="AE54" i="1"/>
  <c r="AE60" i="1"/>
  <c r="AE66" i="1"/>
  <c r="AE72" i="1"/>
  <c r="AE78" i="1"/>
  <c r="AE84" i="1"/>
  <c r="AE90" i="1"/>
  <c r="AE96" i="1"/>
  <c r="AE102" i="1"/>
  <c r="AE108" i="1"/>
  <c r="AE114" i="1"/>
  <c r="AE120" i="1"/>
  <c r="AE126" i="1"/>
  <c r="AE132" i="1"/>
  <c r="AE119" i="1"/>
  <c r="AE124" i="1"/>
  <c r="AE151" i="1"/>
  <c r="AQ7" i="3"/>
  <c r="AQ11" i="3"/>
  <c r="AQ15" i="3"/>
  <c r="AQ6" i="3"/>
  <c r="AQ10" i="3"/>
  <c r="AQ14" i="3"/>
  <c r="AQ5" i="3"/>
  <c r="AQ9" i="3"/>
  <c r="AQ8" i="3"/>
  <c r="D14" i="44"/>
  <c r="D10" i="44"/>
  <c r="D11" i="44"/>
  <c r="D7" i="44"/>
  <c r="D12" i="44"/>
  <c r="D8" i="44"/>
  <c r="D13" i="44"/>
  <c r="D9" i="44"/>
  <c r="AI10" i="42"/>
  <c r="AI5" i="42"/>
  <c r="AI11" i="42" s="1"/>
  <c r="AI3" i="42"/>
  <c r="L24" i="37"/>
  <c r="F1" i="11"/>
  <c r="AQ4" i="3"/>
  <c r="AE4" i="1"/>
  <c r="E18" i="37" l="1"/>
  <c r="C1" i="11"/>
  <c r="F2" i="11"/>
  <c r="C2" i="11"/>
  <c r="G4" i="19"/>
  <c r="I2" i="19" s="1"/>
  <c r="H2" i="19" l="1"/>
  <c r="AH6" i="3" l="1"/>
  <c r="AH13" i="3"/>
  <c r="AH10" i="3"/>
  <c r="AH12" i="3"/>
  <c r="AH8" i="3"/>
  <c r="AH5" i="3"/>
  <c r="AH7" i="3"/>
  <c r="AH9" i="3"/>
  <c r="AH14" i="3"/>
  <c r="AH15" i="3"/>
  <c r="AH11" i="3"/>
  <c r="AH4" i="3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93" i="5" l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17" i="5"/>
  <c r="A218" i="5" s="1"/>
  <c r="A219" i="5" s="1"/>
  <c r="A220" i="5" s="1"/>
  <c r="A221" i="5" s="1"/>
  <c r="A222" i="5" s="1"/>
  <c r="M3" i="5" l="1"/>
  <c r="L3" i="5"/>
  <c r="A224" i="5"/>
  <c r="A225" i="5" s="1"/>
  <c r="A226" i="5" s="1"/>
  <c r="A227" i="5" s="1"/>
  <c r="A228" i="5" s="1"/>
  <c r="A229" i="5" s="1"/>
  <c r="A223" i="5"/>
  <c r="G14" i="43" l="1"/>
  <c r="P14" i="43" s="1"/>
  <c r="W14" i="43" s="1"/>
  <c r="G34" i="43"/>
  <c r="P34" i="43" s="1"/>
  <c r="W34" i="43" s="1"/>
  <c r="G23" i="43"/>
  <c r="P23" i="43" s="1"/>
  <c r="W23" i="43" s="1"/>
  <c r="G35" i="43"/>
  <c r="P35" i="43" s="1"/>
  <c r="W35" i="43" s="1"/>
  <c r="G62" i="43"/>
  <c r="P62" i="43" s="1"/>
  <c r="W62" i="43" s="1"/>
  <c r="G75" i="43"/>
  <c r="P75" i="43" s="1"/>
  <c r="W75" i="43" s="1"/>
  <c r="G89" i="43"/>
  <c r="P89" i="43" s="1"/>
  <c r="W89" i="43" s="1"/>
  <c r="G101" i="43"/>
  <c r="P101" i="43" s="1"/>
  <c r="W101" i="43" s="1"/>
  <c r="G123" i="43"/>
  <c r="P123" i="43" s="1"/>
  <c r="W123" i="43" s="1"/>
  <c r="G135" i="43"/>
  <c r="P135" i="43" s="1"/>
  <c r="W135" i="43" s="1"/>
  <c r="G93" i="43"/>
  <c r="P93" i="43" s="1"/>
  <c r="W93" i="43" s="1"/>
  <c r="G106" i="43"/>
  <c r="P106" i="43" s="1"/>
  <c r="W106" i="43" s="1"/>
  <c r="G24" i="43"/>
  <c r="P24" i="43" s="1"/>
  <c r="W24" i="43" s="1"/>
  <c r="G38" i="43"/>
  <c r="P38" i="43" s="1"/>
  <c r="W38" i="43" s="1"/>
  <c r="G51" i="43"/>
  <c r="P51" i="43" s="1"/>
  <c r="W51" i="43" s="1"/>
  <c r="G63" i="43"/>
  <c r="P63" i="43" s="1"/>
  <c r="W63" i="43" s="1"/>
  <c r="G76" i="43"/>
  <c r="P76" i="43" s="1"/>
  <c r="W76" i="43" s="1"/>
  <c r="G90" i="43"/>
  <c r="P90" i="43" s="1"/>
  <c r="W90" i="43" s="1"/>
  <c r="G102" i="43"/>
  <c r="P102" i="43" s="1"/>
  <c r="W102" i="43" s="1"/>
  <c r="G124" i="43"/>
  <c r="P124" i="43" s="1"/>
  <c r="W124" i="43" s="1"/>
  <c r="G136" i="43"/>
  <c r="P136" i="43" s="1"/>
  <c r="W136" i="43" s="1"/>
  <c r="G139" i="43"/>
  <c r="P139" i="43" s="1"/>
  <c r="W139" i="43" s="1"/>
  <c r="G128" i="43"/>
  <c r="P128" i="43" s="1"/>
  <c r="W128" i="43" s="1"/>
  <c r="G26" i="43"/>
  <c r="P26" i="43" s="1"/>
  <c r="W26" i="43" s="1"/>
  <c r="G39" i="43"/>
  <c r="P39" i="43" s="1"/>
  <c r="W39" i="43" s="1"/>
  <c r="G52" i="43"/>
  <c r="P52" i="43" s="1"/>
  <c r="W52" i="43" s="1"/>
  <c r="G64" i="43"/>
  <c r="P64" i="43" s="1"/>
  <c r="W64" i="43" s="1"/>
  <c r="G78" i="43"/>
  <c r="P78" i="43" s="1"/>
  <c r="W78" i="43" s="1"/>
  <c r="G91" i="43"/>
  <c r="P91" i="43" s="1"/>
  <c r="W91" i="43" s="1"/>
  <c r="G103" i="43"/>
  <c r="P103" i="43" s="1"/>
  <c r="W103" i="43" s="1"/>
  <c r="G125" i="43"/>
  <c r="P125" i="43" s="1"/>
  <c r="W125" i="43" s="1"/>
  <c r="G137" i="43"/>
  <c r="P137" i="43" s="1"/>
  <c r="W137" i="43" s="1"/>
  <c r="G105" i="43"/>
  <c r="P105" i="43" s="1"/>
  <c r="W105" i="43" s="1"/>
  <c r="G69" i="43"/>
  <c r="P69" i="43" s="1"/>
  <c r="W69" i="43" s="1"/>
  <c r="G41" i="43"/>
  <c r="P41" i="43" s="1"/>
  <c r="W41" i="43" s="1"/>
  <c r="G53" i="43"/>
  <c r="P53" i="43" s="1"/>
  <c r="W53" i="43" s="1"/>
  <c r="G66" i="43"/>
  <c r="P66" i="43" s="1"/>
  <c r="W66" i="43" s="1"/>
  <c r="G79" i="43"/>
  <c r="P79" i="43" s="1"/>
  <c r="W79" i="43" s="1"/>
  <c r="G92" i="43"/>
  <c r="P92" i="43" s="1"/>
  <c r="W92" i="43" s="1"/>
  <c r="G104" i="43"/>
  <c r="P104" i="43" s="1"/>
  <c r="W104" i="43" s="1"/>
  <c r="G126" i="43"/>
  <c r="P126" i="43" s="1"/>
  <c r="W126" i="43" s="1"/>
  <c r="G138" i="43"/>
  <c r="P138" i="43" s="1"/>
  <c r="W138" i="43" s="1"/>
  <c r="G127" i="43"/>
  <c r="P127" i="43" s="1"/>
  <c r="W127" i="43" s="1"/>
  <c r="G94" i="43"/>
  <c r="P94" i="43" s="1"/>
  <c r="W94" i="43" s="1"/>
  <c r="G27" i="43"/>
  <c r="P27" i="43" s="1"/>
  <c r="W27" i="43" s="1"/>
  <c r="G42" i="43"/>
  <c r="P42" i="43" s="1"/>
  <c r="W42" i="43" s="1"/>
  <c r="G54" i="43"/>
  <c r="P54" i="43" s="1"/>
  <c r="W54" i="43" s="1"/>
  <c r="G67" i="43"/>
  <c r="P67" i="43" s="1"/>
  <c r="W67" i="43" s="1"/>
  <c r="G28" i="43"/>
  <c r="P28" i="43" s="1"/>
  <c r="W28" i="43" s="1"/>
  <c r="G43" i="43"/>
  <c r="P43" i="43" s="1"/>
  <c r="W43" i="43" s="1"/>
  <c r="G29" i="43"/>
  <c r="P29" i="43" s="1"/>
  <c r="W29" i="43" s="1"/>
  <c r="G44" i="43"/>
  <c r="P44" i="43" s="1"/>
  <c r="W44" i="43" s="1"/>
  <c r="G56" i="43"/>
  <c r="P56" i="43" s="1"/>
  <c r="W56" i="43" s="1"/>
  <c r="G70" i="43"/>
  <c r="P70" i="43" s="1"/>
  <c r="W70" i="43" s="1"/>
  <c r="G82" i="43"/>
  <c r="P82" i="43" s="1"/>
  <c r="W82" i="43" s="1"/>
  <c r="G95" i="43"/>
  <c r="P95" i="43" s="1"/>
  <c r="W95" i="43" s="1"/>
  <c r="G107" i="43"/>
  <c r="P107" i="43" s="1"/>
  <c r="W107" i="43" s="1"/>
  <c r="G129" i="43"/>
  <c r="P129" i="43" s="1"/>
  <c r="W129" i="43" s="1"/>
  <c r="G141" i="43"/>
  <c r="P141" i="43" s="1"/>
  <c r="W141" i="43" s="1"/>
  <c r="G61" i="43"/>
  <c r="P61" i="43" s="1"/>
  <c r="W61" i="43" s="1"/>
  <c r="G30" i="43"/>
  <c r="P30" i="43" s="1"/>
  <c r="W30" i="43" s="1"/>
  <c r="G45" i="43"/>
  <c r="P45" i="43" s="1"/>
  <c r="W45" i="43" s="1"/>
  <c r="G57" i="43"/>
  <c r="P57" i="43" s="1"/>
  <c r="W57" i="43" s="1"/>
  <c r="G71" i="43"/>
  <c r="P71" i="43" s="1"/>
  <c r="W71" i="43" s="1"/>
  <c r="G83" i="43"/>
  <c r="P83" i="43" s="1"/>
  <c r="W83" i="43" s="1"/>
  <c r="G96" i="43"/>
  <c r="P96" i="43" s="1"/>
  <c r="W96" i="43" s="1"/>
  <c r="G108" i="43"/>
  <c r="P108" i="43" s="1"/>
  <c r="W108" i="43" s="1"/>
  <c r="G130" i="43"/>
  <c r="P130" i="43" s="1"/>
  <c r="W130" i="43" s="1"/>
  <c r="G142" i="43"/>
  <c r="P142" i="43" s="1"/>
  <c r="W142" i="43" s="1"/>
  <c r="G134" i="43"/>
  <c r="P134" i="43" s="1"/>
  <c r="W134" i="43" s="1"/>
  <c r="G31" i="43"/>
  <c r="P31" i="43" s="1"/>
  <c r="W31" i="43" s="1"/>
  <c r="G46" i="43"/>
  <c r="P46" i="43" s="1"/>
  <c r="W46" i="43" s="1"/>
  <c r="G58" i="43"/>
  <c r="P58" i="43" s="1"/>
  <c r="W58" i="43" s="1"/>
  <c r="G72" i="43"/>
  <c r="P72" i="43" s="1"/>
  <c r="W72" i="43" s="1"/>
  <c r="G84" i="43"/>
  <c r="P84" i="43" s="1"/>
  <c r="W84" i="43" s="1"/>
  <c r="G98" i="43"/>
  <c r="P98" i="43" s="1"/>
  <c r="W98" i="43" s="1"/>
  <c r="G110" i="43"/>
  <c r="P110" i="43" s="1"/>
  <c r="W110" i="43" s="1"/>
  <c r="G131" i="43"/>
  <c r="P131" i="43" s="1"/>
  <c r="W131" i="43" s="1"/>
  <c r="G88" i="43"/>
  <c r="P88" i="43" s="1"/>
  <c r="W88" i="43" s="1"/>
  <c r="G32" i="43"/>
  <c r="P32" i="43" s="1"/>
  <c r="W32" i="43" s="1"/>
  <c r="G47" i="43"/>
  <c r="P47" i="43" s="1"/>
  <c r="W47" i="43" s="1"/>
  <c r="G59" i="43"/>
  <c r="P59" i="43" s="1"/>
  <c r="W59" i="43" s="1"/>
  <c r="G73" i="43"/>
  <c r="P73" i="43" s="1"/>
  <c r="W73" i="43" s="1"/>
  <c r="G86" i="43"/>
  <c r="P86" i="43" s="1"/>
  <c r="W86" i="43" s="1"/>
  <c r="G111" i="43"/>
  <c r="P111" i="43" s="1"/>
  <c r="W111" i="43" s="1"/>
  <c r="G132" i="43"/>
  <c r="P132" i="43" s="1"/>
  <c r="W132" i="43" s="1"/>
  <c r="G100" i="43"/>
  <c r="P100" i="43" s="1"/>
  <c r="W100" i="43" s="1"/>
  <c r="G140" i="43"/>
  <c r="P140" i="43" s="1"/>
  <c r="W140" i="43" s="1"/>
  <c r="G33" i="43"/>
  <c r="P33" i="43" s="1"/>
  <c r="W33" i="43" s="1"/>
  <c r="G48" i="43"/>
  <c r="P48" i="43" s="1"/>
  <c r="W48" i="43" s="1"/>
  <c r="G60" i="43"/>
  <c r="P60" i="43" s="1"/>
  <c r="W60" i="43" s="1"/>
  <c r="G74" i="43"/>
  <c r="P74" i="43" s="1"/>
  <c r="W74" i="43" s="1"/>
  <c r="G87" i="43"/>
  <c r="P87" i="43" s="1"/>
  <c r="W87" i="43" s="1"/>
  <c r="G99" i="43"/>
  <c r="P99" i="43" s="1"/>
  <c r="W99" i="43" s="1"/>
  <c r="G122" i="43"/>
  <c r="P122" i="43" s="1"/>
  <c r="W122" i="43" s="1"/>
  <c r="G133" i="43"/>
  <c r="P133" i="43" s="1"/>
  <c r="W133" i="43" s="1"/>
  <c r="G153" i="43"/>
  <c r="P153" i="43" s="1"/>
  <c r="W153" i="43" s="1"/>
  <c r="G81" i="43"/>
  <c r="P81" i="43" s="1"/>
  <c r="W81" i="43" s="1"/>
  <c r="G77" i="43"/>
  <c r="P77" i="43" s="1"/>
  <c r="W77" i="43" s="1"/>
  <c r="G85" i="43"/>
  <c r="P85" i="43" s="1"/>
  <c r="W85" i="43" s="1"/>
  <c r="G65" i="43"/>
  <c r="P65" i="43" s="1"/>
  <c r="W65" i="43" s="1"/>
  <c r="G49" i="43"/>
  <c r="P49" i="43" s="1"/>
  <c r="W49" i="43" s="1"/>
  <c r="G37" i="43"/>
  <c r="P37" i="43" s="1"/>
  <c r="W37" i="43" s="1"/>
  <c r="G40" i="43"/>
  <c r="P40" i="43" s="1"/>
  <c r="W40" i="43" s="1"/>
  <c r="G25" i="43"/>
  <c r="P25" i="43" s="1"/>
  <c r="W25" i="43" s="1"/>
  <c r="G68" i="43"/>
  <c r="P68" i="43" s="1"/>
  <c r="W68" i="43" s="1"/>
  <c r="G109" i="43"/>
  <c r="P109" i="43" s="1"/>
  <c r="W109" i="43" s="1"/>
  <c r="G97" i="43"/>
  <c r="P97" i="43" s="1"/>
  <c r="W97" i="43" s="1"/>
  <c r="G143" i="43"/>
  <c r="P143" i="43" s="1"/>
  <c r="W143" i="43" s="1"/>
  <c r="G8" i="43"/>
  <c r="P8" i="43" s="1"/>
  <c r="W8" i="43" s="1"/>
  <c r="G13" i="43"/>
  <c r="P13" i="43" s="1"/>
  <c r="W13" i="43" s="1"/>
  <c r="G16" i="43"/>
  <c r="P16" i="43" s="1"/>
  <c r="W16" i="43" s="1"/>
  <c r="G118" i="43"/>
  <c r="P118" i="43" s="1"/>
  <c r="W118" i="43" s="1"/>
  <c r="G15" i="43"/>
  <c r="P15" i="43" s="1"/>
  <c r="W15" i="43" s="1"/>
  <c r="G115" i="43"/>
  <c r="P115" i="43" s="1"/>
  <c r="W115" i="43" s="1"/>
  <c r="G150" i="43"/>
  <c r="P150" i="43" s="1"/>
  <c r="W150" i="43" s="1"/>
  <c r="G146" i="43"/>
  <c r="P146" i="43" s="1"/>
  <c r="W146" i="43" s="1"/>
  <c r="G121" i="43"/>
  <c r="P121" i="43" s="1"/>
  <c r="W121" i="43" s="1"/>
  <c r="G12" i="43"/>
  <c r="P12" i="43" s="1"/>
  <c r="W12" i="43" s="1"/>
  <c r="G22" i="43"/>
  <c r="P22" i="43" s="1"/>
  <c r="W22" i="43" s="1"/>
  <c r="G149" i="43"/>
  <c r="P149" i="43" s="1"/>
  <c r="W149" i="43" s="1"/>
  <c r="G152" i="43"/>
  <c r="P152" i="43" s="1"/>
  <c r="W152" i="43" s="1"/>
  <c r="G17" i="43"/>
  <c r="P17" i="43" s="1"/>
  <c r="W17" i="43" s="1"/>
  <c r="G6" i="43"/>
  <c r="P6" i="43" s="1"/>
  <c r="W6" i="43" s="1"/>
  <c r="G18" i="43"/>
  <c r="P18" i="43" s="1"/>
  <c r="W18" i="43" s="1"/>
  <c r="G116" i="43"/>
  <c r="P116" i="43" s="1"/>
  <c r="W116" i="43" s="1"/>
  <c r="G112" i="43"/>
  <c r="P112" i="43" s="1"/>
  <c r="W112" i="43" s="1"/>
  <c r="G145" i="43"/>
  <c r="P145" i="43" s="1"/>
  <c r="W145" i="43" s="1"/>
  <c r="G117" i="43"/>
  <c r="P117" i="43" s="1"/>
  <c r="W117" i="43" s="1"/>
  <c r="G21" i="43"/>
  <c r="P21" i="43" s="1"/>
  <c r="W21" i="43" s="1"/>
  <c r="G5" i="43"/>
  <c r="P5" i="43" s="1"/>
  <c r="W5" i="43" s="1"/>
  <c r="G7" i="43"/>
  <c r="P7" i="43" s="1"/>
  <c r="W7" i="43" s="1"/>
  <c r="G144" i="43"/>
  <c r="P144" i="43" s="1"/>
  <c r="W144" i="43" s="1"/>
  <c r="G119" i="43"/>
  <c r="P119" i="43" s="1"/>
  <c r="W119" i="43" s="1"/>
  <c r="G11" i="43"/>
  <c r="P11" i="43" s="1"/>
  <c r="W11" i="43" s="1"/>
  <c r="G113" i="43"/>
  <c r="P113" i="43" s="1"/>
  <c r="W113" i="43" s="1"/>
  <c r="G19" i="43"/>
  <c r="P19" i="43" s="1"/>
  <c r="W19" i="43" s="1"/>
  <c r="G120" i="43"/>
  <c r="P120" i="43" s="1"/>
  <c r="W120" i="43" s="1"/>
  <c r="G151" i="43"/>
  <c r="P151" i="43" s="1"/>
  <c r="W151" i="43" s="1"/>
  <c r="G114" i="43"/>
  <c r="P114" i="43" s="1"/>
  <c r="W114" i="43" s="1"/>
  <c r="G20" i="43"/>
  <c r="P20" i="43" s="1"/>
  <c r="W20" i="43" s="1"/>
  <c r="G10" i="43"/>
  <c r="P10" i="43" s="1"/>
  <c r="W10" i="43" s="1"/>
  <c r="G148" i="43"/>
  <c r="P148" i="43" s="1"/>
  <c r="W148" i="43" s="1"/>
  <c r="G9" i="43"/>
  <c r="P9" i="43" s="1"/>
  <c r="W9" i="43" s="1"/>
  <c r="G147" i="43"/>
  <c r="P147" i="43" s="1"/>
  <c r="W147" i="43" s="1"/>
  <c r="G4" i="43"/>
  <c r="G36" i="43"/>
  <c r="P229" i="5"/>
  <c r="L229" i="5"/>
  <c r="L233" i="5"/>
  <c r="L234" i="5"/>
  <c r="L224" i="5"/>
  <c r="L225" i="5"/>
  <c r="L221" i="5"/>
  <c r="L223" i="5"/>
  <c r="L228" i="5"/>
  <c r="L219" i="5"/>
  <c r="L218" i="5"/>
  <c r="L220" i="5"/>
  <c r="L222" i="5"/>
  <c r="L226" i="5"/>
  <c r="L227" i="5"/>
  <c r="N3" i="5"/>
  <c r="R3" i="5" s="1"/>
  <c r="L217" i="5"/>
  <c r="L232" i="5" s="1"/>
  <c r="P4" i="43" l="1"/>
  <c r="W4" i="43" s="1"/>
  <c r="P36" i="43"/>
  <c r="W36" i="43" s="1"/>
  <c r="Q229" i="5"/>
  <c r="P233" i="5"/>
  <c r="Q233" i="5" s="1"/>
  <c r="X4" i="42" s="1"/>
  <c r="P220" i="5"/>
  <c r="Q220" i="5" s="1"/>
  <c r="AC7" i="3" s="1"/>
  <c r="P219" i="5"/>
  <c r="Q219" i="5" s="1"/>
  <c r="AC6" i="3" s="1"/>
  <c r="P218" i="5"/>
  <c r="Q218" i="5" s="1"/>
  <c r="AC5" i="3" s="1"/>
  <c r="P227" i="5"/>
  <c r="Q227" i="5" s="1"/>
  <c r="AC14" i="3" s="1"/>
  <c r="P224" i="5"/>
  <c r="Q224" i="5" s="1"/>
  <c r="AC11" i="3" s="1"/>
  <c r="P222" i="5"/>
  <c r="Q222" i="5" s="1"/>
  <c r="AC9" i="3" s="1"/>
  <c r="O3" i="5"/>
  <c r="P217" i="5"/>
  <c r="Q217" i="5" s="1"/>
  <c r="AC4" i="3" s="1"/>
  <c r="P232" i="5"/>
  <c r="Q232" i="5" s="1"/>
  <c r="X5" i="42" s="1"/>
  <c r="P228" i="5"/>
  <c r="Q228" i="5" s="1"/>
  <c r="AC15" i="3" s="1"/>
  <c r="Q3" i="5"/>
  <c r="B5" i="3"/>
  <c r="B6" i="3" s="1"/>
  <c r="B7" i="3" s="1"/>
  <c r="L14" i="3"/>
  <c r="L13" i="3"/>
  <c r="L12" i="3"/>
  <c r="L11" i="3"/>
  <c r="L9" i="3"/>
  <c r="L7" i="3"/>
  <c r="L6" i="3"/>
  <c r="L5" i="3"/>
  <c r="L4" i="3"/>
  <c r="K14" i="5"/>
  <c r="K17" i="5"/>
  <c r="K18" i="5"/>
  <c r="K44" i="5"/>
  <c r="K99" i="5"/>
  <c r="K139" i="5"/>
  <c r="K140" i="5"/>
  <c r="K141" i="5"/>
  <c r="K142" i="5"/>
  <c r="W5" i="1" l="1"/>
  <c r="W28" i="1"/>
  <c r="W22" i="1"/>
  <c r="W27" i="1"/>
  <c r="W17" i="1"/>
  <c r="W11" i="1"/>
  <c r="W9" i="1"/>
  <c r="W29" i="1"/>
  <c r="W23" i="1"/>
  <c r="W13" i="1"/>
  <c r="W16" i="1"/>
  <c r="W12" i="1"/>
  <c r="W6" i="1"/>
  <c r="W18" i="1"/>
  <c r="W25" i="1"/>
  <c r="W8" i="1"/>
  <c r="W24" i="1"/>
  <c r="W26" i="1"/>
  <c r="W7" i="1"/>
  <c r="W10" i="1"/>
  <c r="W19" i="1"/>
  <c r="W20" i="1"/>
  <c r="W14" i="1"/>
  <c r="W15" i="1"/>
  <c r="W21" i="1"/>
  <c r="W132" i="1"/>
  <c r="W124" i="1"/>
  <c r="W115" i="1"/>
  <c r="W106" i="1"/>
  <c r="W46" i="1"/>
  <c r="W48" i="1"/>
  <c r="W90" i="1"/>
  <c r="W65" i="1"/>
  <c r="W76" i="1"/>
  <c r="W94" i="1"/>
  <c r="W125" i="1"/>
  <c r="W37" i="1"/>
  <c r="W149" i="1"/>
  <c r="W133" i="1"/>
  <c r="W117" i="1"/>
  <c r="W102" i="1"/>
  <c r="W104" i="1"/>
  <c r="W43" i="1"/>
  <c r="W116" i="1"/>
  <c r="W85" i="1"/>
  <c r="W80" i="1"/>
  <c r="W110" i="1"/>
  <c r="W135" i="1"/>
  <c r="W72" i="1"/>
  <c r="W111" i="1"/>
  <c r="W54" i="1"/>
  <c r="W128" i="1"/>
  <c r="W96" i="1"/>
  <c r="W84" i="1"/>
  <c r="W64" i="1"/>
  <c r="W126" i="1"/>
  <c r="W55" i="1"/>
  <c r="W120" i="1"/>
  <c r="W49" i="1"/>
  <c r="W58" i="1"/>
  <c r="W51" i="1"/>
  <c r="W44" i="1"/>
  <c r="W100" i="1"/>
  <c r="W138" i="1"/>
  <c r="W82" i="1"/>
  <c r="W74" i="1"/>
  <c r="W67" i="1"/>
  <c r="W77" i="1"/>
  <c r="W99" i="1"/>
  <c r="W70" i="1"/>
  <c r="W83" i="1"/>
  <c r="W79" i="1"/>
  <c r="W78" i="1"/>
  <c r="W32" i="1"/>
  <c r="W137" i="1"/>
  <c r="W134" i="1"/>
  <c r="W86" i="1"/>
  <c r="W75" i="1"/>
  <c r="W61" i="1"/>
  <c r="W114" i="1"/>
  <c r="W105" i="1"/>
  <c r="W71" i="1"/>
  <c r="W73" i="1"/>
  <c r="W129" i="1"/>
  <c r="W31" i="1"/>
  <c r="W36" i="1"/>
  <c r="W52" i="1"/>
  <c r="W62" i="1"/>
  <c r="W92" i="1"/>
  <c r="W60" i="1"/>
  <c r="W53" i="1"/>
  <c r="W34" i="1"/>
  <c r="W91" i="1"/>
  <c r="W109" i="1"/>
  <c r="W40" i="1"/>
  <c r="W39" i="1"/>
  <c r="W38" i="1"/>
  <c r="W113" i="1"/>
  <c r="W150" i="1"/>
  <c r="W107" i="1"/>
  <c r="W50" i="1"/>
  <c r="W56" i="1"/>
  <c r="W57" i="1"/>
  <c r="W35" i="1"/>
  <c r="W108" i="1"/>
  <c r="W93" i="1"/>
  <c r="W118" i="1"/>
  <c r="W88" i="1"/>
  <c r="W63" i="1"/>
  <c r="W33" i="1"/>
  <c r="W42" i="1"/>
  <c r="W41" i="1"/>
  <c r="W130" i="1"/>
  <c r="W101" i="1"/>
  <c r="W136" i="1"/>
  <c r="W122" i="1"/>
  <c r="W112" i="1"/>
  <c r="W98" i="1"/>
  <c r="W123" i="1"/>
  <c r="W30" i="1"/>
  <c r="W81" i="1"/>
  <c r="W87" i="1"/>
  <c r="W127" i="1"/>
  <c r="W59" i="1"/>
  <c r="W121" i="1"/>
  <c r="W45" i="1"/>
  <c r="W89" i="1"/>
  <c r="W95" i="1"/>
  <c r="W119" i="1"/>
  <c r="W131" i="1"/>
  <c r="W97" i="1"/>
  <c r="W47" i="1"/>
  <c r="W103" i="1"/>
  <c r="W68" i="1"/>
  <c r="W66" i="1"/>
  <c r="W69" i="1"/>
  <c r="W151" i="1"/>
  <c r="W139" i="1"/>
  <c r="W141" i="1"/>
  <c r="W143" i="1"/>
  <c r="W144" i="1"/>
  <c r="W140" i="1"/>
  <c r="W145" i="1"/>
  <c r="W148" i="1"/>
  <c r="W142" i="1"/>
  <c r="W147" i="1"/>
  <c r="W146" i="1"/>
  <c r="K39" i="5"/>
  <c r="K13" i="5"/>
  <c r="K24" i="5"/>
  <c r="K23" i="5"/>
  <c r="K12" i="5"/>
  <c r="K16" i="5"/>
  <c r="K15" i="5"/>
  <c r="K22" i="5"/>
  <c r="K34" i="5"/>
  <c r="K21" i="5"/>
  <c r="K20" i="5"/>
  <c r="K19" i="5"/>
  <c r="K11" i="5"/>
  <c r="K128" i="5"/>
  <c r="K116" i="5"/>
  <c r="K79" i="5"/>
  <c r="K91" i="5"/>
  <c r="K4" i="5"/>
  <c r="K104" i="5"/>
  <c r="K28" i="5"/>
  <c r="K5" i="5"/>
  <c r="K129" i="5"/>
  <c r="K117" i="5"/>
  <c r="K105" i="5"/>
  <c r="K80" i="5"/>
  <c r="K67" i="5"/>
  <c r="K55" i="5"/>
  <c r="K43" i="5"/>
  <c r="K63" i="5"/>
  <c r="K136" i="5"/>
  <c r="K124" i="5"/>
  <c r="K112" i="5"/>
  <c r="K87" i="5"/>
  <c r="K75" i="5"/>
  <c r="K51" i="5"/>
  <c r="K8" i="5"/>
  <c r="K57" i="5"/>
  <c r="K45" i="5"/>
  <c r="K31" i="5"/>
  <c r="K56" i="5"/>
  <c r="K38" i="5"/>
  <c r="K62" i="5"/>
  <c r="K111" i="5"/>
  <c r="K98" i="5"/>
  <c r="K86" i="5"/>
  <c r="K74" i="5"/>
  <c r="K61" i="5"/>
  <c r="K49" i="5"/>
  <c r="K135" i="5"/>
  <c r="K110" i="5"/>
  <c r="K97" i="5"/>
  <c r="K85" i="5"/>
  <c r="K73" i="5"/>
  <c r="K26" i="5"/>
  <c r="K50" i="5"/>
  <c r="K134" i="5"/>
  <c r="K133" i="5"/>
  <c r="K96" i="5"/>
  <c r="K72" i="5"/>
  <c r="K123" i="5"/>
  <c r="K122" i="5"/>
  <c r="K121" i="5"/>
  <c r="K109" i="5"/>
  <c r="K84" i="5"/>
  <c r="K92" i="5"/>
  <c r="K126" i="5"/>
  <c r="K101" i="5"/>
  <c r="K77" i="5"/>
  <c r="K53" i="5"/>
  <c r="K138" i="5"/>
  <c r="K114" i="5"/>
  <c r="K89" i="5"/>
  <c r="K65" i="5"/>
  <c r="K41" i="5"/>
  <c r="K137" i="5"/>
  <c r="K125" i="5"/>
  <c r="K113" i="5"/>
  <c r="K100" i="5"/>
  <c r="K88" i="5"/>
  <c r="K76" i="5"/>
  <c r="K64" i="5"/>
  <c r="K52" i="5"/>
  <c r="K40" i="5"/>
  <c r="K27" i="5"/>
  <c r="K37" i="5"/>
  <c r="K10" i="5"/>
  <c r="K60" i="5"/>
  <c r="K48" i="5"/>
  <c r="K36" i="5"/>
  <c r="K35" i="5"/>
  <c r="K9" i="5"/>
  <c r="K120" i="5"/>
  <c r="K108" i="5"/>
  <c r="K95" i="5"/>
  <c r="K83" i="5"/>
  <c r="K71" i="5"/>
  <c r="K59" i="5"/>
  <c r="K47" i="5"/>
  <c r="K132" i="5"/>
  <c r="K131" i="5"/>
  <c r="K119" i="5"/>
  <c r="K107" i="5"/>
  <c r="K103" i="5"/>
  <c r="K94" i="5"/>
  <c r="K82" i="5"/>
  <c r="K70" i="5"/>
  <c r="K58" i="5"/>
  <c r="K46" i="5"/>
  <c r="K33" i="5"/>
  <c r="K7" i="5"/>
  <c r="K25" i="5"/>
  <c r="K130" i="5"/>
  <c r="K118" i="5"/>
  <c r="K106" i="5"/>
  <c r="K93" i="5"/>
  <c r="K81" i="5"/>
  <c r="K69" i="5"/>
  <c r="K32" i="5"/>
  <c r="K6" i="5"/>
  <c r="K30" i="5"/>
  <c r="K127" i="5"/>
  <c r="K115" i="5"/>
  <c r="K90" i="5"/>
  <c r="K78" i="5"/>
  <c r="K66" i="5"/>
  <c r="K54" i="5"/>
  <c r="K42" i="5"/>
  <c r="K29" i="5"/>
  <c r="Z3" i="43"/>
  <c r="K68" i="5"/>
  <c r="K143" i="5"/>
  <c r="K145" i="5"/>
  <c r="K102" i="5"/>
  <c r="K146" i="5"/>
  <c r="K144" i="5"/>
  <c r="AD10" i="3"/>
  <c r="AD5" i="3"/>
  <c r="AD12" i="3"/>
  <c r="AD7" i="3"/>
  <c r="AD14" i="3"/>
  <c r="AD9" i="3"/>
  <c r="AD6" i="3"/>
  <c r="AD11" i="3"/>
  <c r="AD13" i="3"/>
  <c r="AD8" i="3"/>
  <c r="AD15" i="3"/>
  <c r="W4" i="1"/>
  <c r="AG4" i="1" s="1"/>
  <c r="P225" i="5"/>
  <c r="Q225" i="5" s="1"/>
  <c r="AC12" i="3" s="1"/>
  <c r="P234" i="5"/>
  <c r="Q234" i="5" s="1"/>
  <c r="X3" i="42" s="1"/>
  <c r="L11" i="37"/>
  <c r="E11" i="37"/>
  <c r="F11" i="37" s="1"/>
  <c r="X11" i="42"/>
  <c r="P221" i="5"/>
  <c r="Q221" i="5" s="1"/>
  <c r="AC8" i="3" s="1"/>
  <c r="P223" i="5"/>
  <c r="Q223" i="5" s="1"/>
  <c r="AC10" i="3" s="1"/>
  <c r="L12" i="37"/>
  <c r="K202" i="5"/>
  <c r="AD4" i="3"/>
  <c r="P226" i="5"/>
  <c r="Q226" i="5" s="1"/>
  <c r="AC13" i="3" s="1"/>
  <c r="L237" i="5"/>
  <c r="B8" i="3"/>
  <c r="B9" i="3" s="1"/>
  <c r="B10" i="3" s="1"/>
  <c r="B11" i="3" s="1"/>
  <c r="B12" i="3" s="1"/>
  <c r="B13" i="3" s="1"/>
  <c r="B14" i="3" s="1"/>
  <c r="B15" i="3" s="1"/>
  <c r="K198" i="5"/>
  <c r="K196" i="5"/>
  <c r="K199" i="5"/>
  <c r="K194" i="5"/>
  <c r="K195" i="5"/>
  <c r="K200" i="5"/>
  <c r="K201" i="5"/>
  <c r="K197" i="5"/>
  <c r="K193" i="5"/>
  <c r="B5" i="1"/>
  <c r="A5" i="43" s="1"/>
  <c r="AJ148" i="1" l="1"/>
  <c r="AI148" i="1"/>
  <c r="AG148" i="1"/>
  <c r="AI47" i="1"/>
  <c r="AJ47" i="1"/>
  <c r="AG47" i="1"/>
  <c r="AJ30" i="1"/>
  <c r="AG30" i="1"/>
  <c r="AI30" i="1"/>
  <c r="AG88" i="1"/>
  <c r="AJ88" i="1"/>
  <c r="AI88" i="1"/>
  <c r="AJ39" i="1"/>
  <c r="AG39" i="1"/>
  <c r="AI39" i="1"/>
  <c r="AJ129" i="1"/>
  <c r="AG129" i="1"/>
  <c r="AI129" i="1"/>
  <c r="AG79" i="1"/>
  <c r="AI79" i="1"/>
  <c r="AJ79" i="1"/>
  <c r="AG58" i="1"/>
  <c r="AI58" i="1"/>
  <c r="AJ58" i="1"/>
  <c r="AG135" i="1"/>
  <c r="AJ135" i="1"/>
  <c r="AI135" i="1"/>
  <c r="AG125" i="1"/>
  <c r="AJ125" i="1"/>
  <c r="AI125" i="1"/>
  <c r="AG15" i="1"/>
  <c r="AJ15" i="1"/>
  <c r="AI15" i="1"/>
  <c r="AG12" i="1"/>
  <c r="AI12" i="1"/>
  <c r="AJ12" i="1"/>
  <c r="AG145" i="1"/>
  <c r="AJ145" i="1"/>
  <c r="AI145" i="1"/>
  <c r="AJ97" i="1"/>
  <c r="AG97" i="1"/>
  <c r="AI97" i="1"/>
  <c r="AJ123" i="1"/>
  <c r="AG123" i="1"/>
  <c r="AI123" i="1"/>
  <c r="AJ118" i="1"/>
  <c r="AG118" i="1"/>
  <c r="AI118" i="1"/>
  <c r="AG40" i="1"/>
  <c r="AI40" i="1"/>
  <c r="AJ40" i="1"/>
  <c r="AJ73" i="1"/>
  <c r="AI73" i="1"/>
  <c r="AG73" i="1"/>
  <c r="AI83" i="1"/>
  <c r="AG83" i="1"/>
  <c r="AJ83" i="1"/>
  <c r="AJ49" i="1"/>
  <c r="AI49" i="1"/>
  <c r="AG49" i="1"/>
  <c r="AI110" i="1"/>
  <c r="AG110" i="1"/>
  <c r="AJ110" i="1"/>
  <c r="AJ94" i="1"/>
  <c r="AG94" i="1"/>
  <c r="AI94" i="1"/>
  <c r="AI14" i="1"/>
  <c r="AJ14" i="1"/>
  <c r="AG14" i="1"/>
  <c r="AJ16" i="1"/>
  <c r="AI16" i="1"/>
  <c r="AG16" i="1"/>
  <c r="AI140" i="1"/>
  <c r="AG140" i="1"/>
  <c r="AJ140" i="1"/>
  <c r="AI131" i="1"/>
  <c r="AG131" i="1"/>
  <c r="AJ131" i="1"/>
  <c r="AJ98" i="1"/>
  <c r="AI98" i="1"/>
  <c r="AG98" i="1"/>
  <c r="AJ93" i="1"/>
  <c r="AI93" i="1"/>
  <c r="AG93" i="1"/>
  <c r="AG109" i="1"/>
  <c r="AI109" i="1"/>
  <c r="AJ109" i="1"/>
  <c r="AG71" i="1"/>
  <c r="AI71" i="1"/>
  <c r="AJ71" i="1"/>
  <c r="AG70" i="1"/>
  <c r="AJ70" i="1"/>
  <c r="AI70" i="1"/>
  <c r="AI120" i="1"/>
  <c r="AJ120" i="1"/>
  <c r="AG120" i="1"/>
  <c r="AI80" i="1"/>
  <c r="AJ80" i="1"/>
  <c r="AG80" i="1"/>
  <c r="AJ76" i="1"/>
  <c r="AG76" i="1"/>
  <c r="AI76" i="1"/>
  <c r="AJ20" i="1"/>
  <c r="AG20" i="1"/>
  <c r="AI20" i="1"/>
  <c r="AG13" i="1"/>
  <c r="AJ13" i="1"/>
  <c r="AI13" i="1"/>
  <c r="AJ144" i="1"/>
  <c r="AG144" i="1"/>
  <c r="AI144" i="1"/>
  <c r="AG119" i="1"/>
  <c r="AJ119" i="1"/>
  <c r="AI119" i="1"/>
  <c r="AI112" i="1"/>
  <c r="AJ112" i="1"/>
  <c r="AG112" i="1"/>
  <c r="AI108" i="1"/>
  <c r="AJ108" i="1"/>
  <c r="AG108" i="1"/>
  <c r="AG91" i="1"/>
  <c r="AI91" i="1"/>
  <c r="AJ91" i="1"/>
  <c r="AI105" i="1"/>
  <c r="AJ105" i="1"/>
  <c r="AG105" i="1"/>
  <c r="AJ99" i="1"/>
  <c r="AI99" i="1"/>
  <c r="AG99" i="1"/>
  <c r="AJ55" i="1"/>
  <c r="AG55" i="1"/>
  <c r="AI55" i="1"/>
  <c r="AG85" i="1"/>
  <c r="AJ85" i="1"/>
  <c r="AI85" i="1"/>
  <c r="AG65" i="1"/>
  <c r="AI65" i="1"/>
  <c r="AJ65" i="1"/>
  <c r="AG19" i="1"/>
  <c r="AI19" i="1"/>
  <c r="AJ19" i="1"/>
  <c r="AG23" i="1"/>
  <c r="AJ23" i="1"/>
  <c r="AI23" i="1"/>
  <c r="AG143" i="1"/>
  <c r="AI143" i="1"/>
  <c r="AJ143" i="1"/>
  <c r="AG95" i="1"/>
  <c r="AJ95" i="1"/>
  <c r="AI95" i="1"/>
  <c r="AG122" i="1"/>
  <c r="AJ122" i="1"/>
  <c r="AI122" i="1"/>
  <c r="AI35" i="1"/>
  <c r="AG35" i="1"/>
  <c r="AJ35" i="1"/>
  <c r="AJ34" i="1"/>
  <c r="AG34" i="1"/>
  <c r="AI34" i="1"/>
  <c r="AI114" i="1"/>
  <c r="AJ114" i="1"/>
  <c r="AG114" i="1"/>
  <c r="AI77" i="1"/>
  <c r="AJ77" i="1"/>
  <c r="AG77" i="1"/>
  <c r="AG126" i="1"/>
  <c r="AJ126" i="1"/>
  <c r="AI126" i="1"/>
  <c r="AI116" i="1"/>
  <c r="AG116" i="1"/>
  <c r="AJ116" i="1"/>
  <c r="AG90" i="1"/>
  <c r="AJ90" i="1"/>
  <c r="AI90" i="1"/>
  <c r="AG10" i="1"/>
  <c r="AI10" i="1"/>
  <c r="AJ10" i="1"/>
  <c r="AG29" i="1"/>
  <c r="AJ29" i="1"/>
  <c r="AI29" i="1"/>
  <c r="AJ141" i="1"/>
  <c r="AG141" i="1"/>
  <c r="AI141" i="1"/>
  <c r="AG89" i="1"/>
  <c r="AI89" i="1"/>
  <c r="AJ89" i="1"/>
  <c r="AI136" i="1"/>
  <c r="AJ136" i="1"/>
  <c r="AG136" i="1"/>
  <c r="AI57" i="1"/>
  <c r="AG57" i="1"/>
  <c r="AJ57" i="1"/>
  <c r="AJ53" i="1"/>
  <c r="AI53" i="1"/>
  <c r="AG53" i="1"/>
  <c r="AG61" i="1"/>
  <c r="AJ61" i="1"/>
  <c r="AI61" i="1"/>
  <c r="AI67" i="1"/>
  <c r="AG67" i="1"/>
  <c r="AJ67" i="1"/>
  <c r="AG64" i="1"/>
  <c r="AI64" i="1"/>
  <c r="AJ64" i="1"/>
  <c r="AI43" i="1"/>
  <c r="AJ43" i="1"/>
  <c r="AG43" i="1"/>
  <c r="AI48" i="1"/>
  <c r="AJ48" i="1"/>
  <c r="AG48" i="1"/>
  <c r="AG7" i="1"/>
  <c r="AI7" i="1"/>
  <c r="AJ7" i="1"/>
  <c r="AG9" i="1"/>
  <c r="AI9" i="1"/>
  <c r="AJ9" i="1"/>
  <c r="AI139" i="1"/>
  <c r="AJ139" i="1"/>
  <c r="AG139" i="1"/>
  <c r="AJ45" i="1"/>
  <c r="AI45" i="1"/>
  <c r="AG45" i="1"/>
  <c r="AI101" i="1"/>
  <c r="AJ101" i="1"/>
  <c r="AG101" i="1"/>
  <c r="AI56" i="1"/>
  <c r="AJ56" i="1"/>
  <c r="AG56" i="1"/>
  <c r="AG60" i="1"/>
  <c r="AJ60" i="1"/>
  <c r="AI60" i="1"/>
  <c r="AJ75" i="1"/>
  <c r="AI75" i="1"/>
  <c r="AG75" i="1"/>
  <c r="AJ74" i="1"/>
  <c r="AG74" i="1"/>
  <c r="AI74" i="1"/>
  <c r="AJ84" i="1"/>
  <c r="AI84" i="1"/>
  <c r="AG84" i="1"/>
  <c r="AG104" i="1"/>
  <c r="AI104" i="1"/>
  <c r="AJ104" i="1"/>
  <c r="AJ46" i="1"/>
  <c r="AI46" i="1"/>
  <c r="AG46" i="1"/>
  <c r="AJ26" i="1"/>
  <c r="AI26" i="1"/>
  <c r="AG26" i="1"/>
  <c r="AI11" i="1"/>
  <c r="AG11" i="1"/>
  <c r="AJ11" i="1"/>
  <c r="AJ151" i="1"/>
  <c r="AI151" i="1"/>
  <c r="AG151" i="1"/>
  <c r="AH151" i="1" s="1"/>
  <c r="AI121" i="1"/>
  <c r="AJ121" i="1"/>
  <c r="AG121" i="1"/>
  <c r="AG130" i="1"/>
  <c r="AJ130" i="1"/>
  <c r="AI130" i="1"/>
  <c r="AI50" i="1"/>
  <c r="AG50" i="1"/>
  <c r="AJ50" i="1"/>
  <c r="AI92" i="1"/>
  <c r="AG92" i="1"/>
  <c r="AJ92" i="1"/>
  <c r="AG86" i="1"/>
  <c r="AJ86" i="1"/>
  <c r="AI86" i="1"/>
  <c r="AJ82" i="1"/>
  <c r="AG82" i="1"/>
  <c r="AI82" i="1"/>
  <c r="AI96" i="1"/>
  <c r="AJ96" i="1"/>
  <c r="AG96" i="1"/>
  <c r="AJ102" i="1"/>
  <c r="AI102" i="1"/>
  <c r="AG102" i="1"/>
  <c r="AG106" i="1"/>
  <c r="AJ106" i="1"/>
  <c r="AI106" i="1"/>
  <c r="AI24" i="1"/>
  <c r="AG24" i="1"/>
  <c r="AJ24" i="1"/>
  <c r="AG17" i="1"/>
  <c r="AJ17" i="1"/>
  <c r="AI17" i="1"/>
  <c r="AI69" i="1"/>
  <c r="AJ69" i="1"/>
  <c r="AG69" i="1"/>
  <c r="AG59" i="1"/>
  <c r="AJ59" i="1"/>
  <c r="AI59" i="1"/>
  <c r="AI41" i="1"/>
  <c r="AJ41" i="1"/>
  <c r="AG41" i="1"/>
  <c r="AG107" i="1"/>
  <c r="AJ107" i="1"/>
  <c r="AI107" i="1"/>
  <c r="AI62" i="1"/>
  <c r="AG62" i="1"/>
  <c r="AJ62" i="1"/>
  <c r="AI134" i="1"/>
  <c r="AG134" i="1"/>
  <c r="AJ134" i="1"/>
  <c r="AG138" i="1"/>
  <c r="AJ138" i="1"/>
  <c r="AI138" i="1"/>
  <c r="AJ128" i="1"/>
  <c r="AG128" i="1"/>
  <c r="AI128" i="1"/>
  <c r="AI117" i="1"/>
  <c r="AG117" i="1"/>
  <c r="AJ117" i="1"/>
  <c r="AI115" i="1"/>
  <c r="AJ115" i="1"/>
  <c r="AG115" i="1"/>
  <c r="AG8" i="1"/>
  <c r="AI8" i="1"/>
  <c r="AJ8" i="1"/>
  <c r="AG27" i="1"/>
  <c r="AI27" i="1"/>
  <c r="AJ27" i="1"/>
  <c r="AG146" i="1"/>
  <c r="AI146" i="1"/>
  <c r="AJ146" i="1"/>
  <c r="AI66" i="1"/>
  <c r="AG66" i="1"/>
  <c r="AJ66" i="1"/>
  <c r="AG127" i="1"/>
  <c r="AJ127" i="1"/>
  <c r="AI127" i="1"/>
  <c r="AJ42" i="1"/>
  <c r="AG42" i="1"/>
  <c r="AI42" i="1"/>
  <c r="AI150" i="1"/>
  <c r="AG150" i="1"/>
  <c r="AH150" i="1" s="1"/>
  <c r="AJ150" i="1"/>
  <c r="AJ52" i="1"/>
  <c r="AG52" i="1"/>
  <c r="AI52" i="1"/>
  <c r="AJ137" i="1"/>
  <c r="AG137" i="1"/>
  <c r="AI137" i="1"/>
  <c r="AI100" i="1"/>
  <c r="AJ100" i="1"/>
  <c r="AG100" i="1"/>
  <c r="AG54" i="1"/>
  <c r="AI54" i="1"/>
  <c r="AJ54" i="1"/>
  <c r="AG133" i="1"/>
  <c r="AI133" i="1"/>
  <c r="AJ133" i="1"/>
  <c r="AI124" i="1"/>
  <c r="AJ124" i="1"/>
  <c r="AG124" i="1"/>
  <c r="AI25" i="1"/>
  <c r="AG25" i="1"/>
  <c r="AJ25" i="1"/>
  <c r="AG22" i="1"/>
  <c r="AJ22" i="1"/>
  <c r="AI22" i="1"/>
  <c r="AJ147" i="1"/>
  <c r="AI147" i="1"/>
  <c r="AG147" i="1"/>
  <c r="AI68" i="1"/>
  <c r="AG68" i="1"/>
  <c r="AJ68" i="1"/>
  <c r="AJ87" i="1"/>
  <c r="AI87" i="1"/>
  <c r="AG87" i="1"/>
  <c r="AI33" i="1"/>
  <c r="AG33" i="1"/>
  <c r="AJ33" i="1"/>
  <c r="AI113" i="1"/>
  <c r="AJ113" i="1"/>
  <c r="AG113" i="1"/>
  <c r="AI36" i="1"/>
  <c r="AJ36" i="1"/>
  <c r="AG36" i="1"/>
  <c r="AG32" i="1"/>
  <c r="AJ32" i="1"/>
  <c r="AI32" i="1"/>
  <c r="AJ44" i="1"/>
  <c r="AG44" i="1"/>
  <c r="AI44" i="1"/>
  <c r="AI111" i="1"/>
  <c r="AG111" i="1"/>
  <c r="AJ111" i="1"/>
  <c r="AI149" i="1"/>
  <c r="AJ149" i="1"/>
  <c r="AG149" i="1"/>
  <c r="AJ132" i="1"/>
  <c r="AG132" i="1"/>
  <c r="AI132" i="1"/>
  <c r="AJ18" i="1"/>
  <c r="AG18" i="1"/>
  <c r="AI18" i="1"/>
  <c r="AI28" i="1"/>
  <c r="AG28" i="1"/>
  <c r="AJ28" i="1"/>
  <c r="AG142" i="1"/>
  <c r="AJ142" i="1"/>
  <c r="AI142" i="1"/>
  <c r="AJ103" i="1"/>
  <c r="AI103" i="1"/>
  <c r="AG103" i="1"/>
  <c r="AJ81" i="1"/>
  <c r="AI81" i="1"/>
  <c r="AG81" i="1"/>
  <c r="AG63" i="1"/>
  <c r="AJ63" i="1"/>
  <c r="AI63" i="1"/>
  <c r="AI38" i="1"/>
  <c r="AG38" i="1"/>
  <c r="AJ38" i="1"/>
  <c r="AI31" i="1"/>
  <c r="AG31" i="1"/>
  <c r="AJ31" i="1"/>
  <c r="AG78" i="1"/>
  <c r="AI78" i="1"/>
  <c r="AJ78" i="1"/>
  <c r="AI51" i="1"/>
  <c r="AG51" i="1"/>
  <c r="AJ51" i="1"/>
  <c r="AI72" i="1"/>
  <c r="AJ72" i="1"/>
  <c r="AG72" i="1"/>
  <c r="AG37" i="1"/>
  <c r="AJ37" i="1"/>
  <c r="AI37" i="1"/>
  <c r="AJ21" i="1"/>
  <c r="AI21" i="1"/>
  <c r="AG21" i="1"/>
  <c r="AG6" i="1"/>
  <c r="AI6" i="1"/>
  <c r="AJ6" i="1"/>
  <c r="AG5" i="1"/>
  <c r="AI5" i="1"/>
  <c r="AJ5" i="1"/>
  <c r="AJ4" i="1"/>
  <c r="AI4" i="1"/>
  <c r="P237" i="5"/>
  <c r="Q237" i="5" s="1"/>
  <c r="X10" i="42" s="1"/>
  <c r="B6" i="1"/>
  <c r="A6" i="43" s="1"/>
  <c r="C8" i="37"/>
  <c r="F23" i="37" s="1"/>
  <c r="G26" i="13"/>
  <c r="K26" i="13" s="1"/>
  <c r="AG3" i="42" s="1"/>
  <c r="F27" i="13"/>
  <c r="G25" i="13"/>
  <c r="K25" i="13" s="1"/>
  <c r="AG4" i="42" s="1"/>
  <c r="E27" i="13"/>
  <c r="G24" i="13"/>
  <c r="K24" i="13" s="1"/>
  <c r="AG5" i="42" s="1"/>
  <c r="AH139" i="1" l="1"/>
  <c r="AH146" i="1"/>
  <c r="AH145" i="1"/>
  <c r="AH149" i="1"/>
  <c r="AH141" i="1"/>
  <c r="AH138" i="1"/>
  <c r="AH147" i="1"/>
  <c r="AH144" i="1"/>
  <c r="AH142" i="1"/>
  <c r="AH148" i="1"/>
  <c r="AH140" i="1"/>
  <c r="AH143" i="1"/>
  <c r="AH37" i="1"/>
  <c r="AH95" i="1"/>
  <c r="AH99" i="1"/>
  <c r="AH114" i="1"/>
  <c r="AH91" i="1"/>
  <c r="AH75" i="1"/>
  <c r="AH30" i="1"/>
  <c r="AH103" i="1"/>
  <c r="AH87" i="1"/>
  <c r="AH100" i="1"/>
  <c r="AH96" i="1"/>
  <c r="AH84" i="1"/>
  <c r="AH56" i="1"/>
  <c r="AH108" i="1"/>
  <c r="AH120" i="1"/>
  <c r="AH93" i="1"/>
  <c r="AH16" i="1"/>
  <c r="AH49" i="1"/>
  <c r="AH110" i="1"/>
  <c r="AH31" i="1"/>
  <c r="AH132" i="1"/>
  <c r="AH25" i="1"/>
  <c r="AH42" i="1"/>
  <c r="AH128" i="1"/>
  <c r="AH50" i="1"/>
  <c r="AH11" i="1"/>
  <c r="AH57" i="1"/>
  <c r="AH35" i="1"/>
  <c r="AH55" i="1"/>
  <c r="AH118" i="1"/>
  <c r="AH32" i="1"/>
  <c r="AH27" i="1"/>
  <c r="AH107" i="1"/>
  <c r="AH17" i="1"/>
  <c r="AH9" i="1"/>
  <c r="AH64" i="1"/>
  <c r="AH29" i="1"/>
  <c r="AH126" i="1"/>
  <c r="AH23" i="1"/>
  <c r="AH13" i="1"/>
  <c r="AH12" i="1"/>
  <c r="AH58" i="1"/>
  <c r="AH88" i="1"/>
  <c r="AH116" i="1"/>
  <c r="AH72" i="1"/>
  <c r="AH36" i="1"/>
  <c r="AH124" i="1"/>
  <c r="AH26" i="1"/>
  <c r="AH101" i="1"/>
  <c r="AH136" i="1"/>
  <c r="AH14" i="1"/>
  <c r="AH80" i="1"/>
  <c r="AH38" i="1"/>
  <c r="AH68" i="1"/>
  <c r="AH137" i="1"/>
  <c r="AH24" i="1"/>
  <c r="AH82" i="1"/>
  <c r="AH74" i="1"/>
  <c r="AH67" i="1"/>
  <c r="AH20" i="1"/>
  <c r="AH83" i="1"/>
  <c r="AH112" i="1"/>
  <c r="AH5" i="1"/>
  <c r="AH127" i="1"/>
  <c r="AH8" i="1"/>
  <c r="AH130" i="1"/>
  <c r="AH7" i="1"/>
  <c r="AH10" i="1"/>
  <c r="AH122" i="1"/>
  <c r="AH19" i="1"/>
  <c r="AH15" i="1"/>
  <c r="AH39" i="1"/>
  <c r="AH70" i="1"/>
  <c r="AH109" i="1"/>
  <c r="AH97" i="1"/>
  <c r="AH113" i="1"/>
  <c r="AH115" i="1"/>
  <c r="AH125" i="1"/>
  <c r="AH121" i="1"/>
  <c r="AH85" i="1"/>
  <c r="AH105" i="1"/>
  <c r="AH94" i="1"/>
  <c r="AH98" i="1"/>
  <c r="AH47" i="1"/>
  <c r="AH51" i="1"/>
  <c r="AH28" i="1"/>
  <c r="AH111" i="1"/>
  <c r="AH52" i="1"/>
  <c r="AH66" i="1"/>
  <c r="AH134" i="1"/>
  <c r="AH131" i="1"/>
  <c r="AH41" i="1"/>
  <c r="AH73" i="1"/>
  <c r="AH61" i="1"/>
  <c r="AH65" i="1"/>
  <c r="AH119" i="1"/>
  <c r="AH6" i="1"/>
  <c r="AH63" i="1"/>
  <c r="AH133" i="1"/>
  <c r="AH59" i="1"/>
  <c r="AH106" i="1"/>
  <c r="AH86" i="1"/>
  <c r="AH89" i="1"/>
  <c r="AH76" i="1"/>
  <c r="AH45" i="1"/>
  <c r="AH77" i="1"/>
  <c r="AH90" i="1"/>
  <c r="AH21" i="1"/>
  <c r="AH81" i="1"/>
  <c r="AH69" i="1"/>
  <c r="AH102" i="1"/>
  <c r="AH53" i="1"/>
  <c r="AH43" i="1"/>
  <c r="AH60" i="1"/>
  <c r="AH135" i="1"/>
  <c r="AH48" i="1"/>
  <c r="AH46" i="1"/>
  <c r="AH40" i="1"/>
  <c r="AH123" i="1"/>
  <c r="AH18" i="1"/>
  <c r="AH44" i="1"/>
  <c r="AH33" i="1"/>
  <c r="AH117" i="1"/>
  <c r="AH62" i="1"/>
  <c r="AH92" i="1"/>
  <c r="AH34" i="1"/>
  <c r="AH79" i="1"/>
  <c r="AH71" i="1"/>
  <c r="AH129" i="1"/>
  <c r="AH78" i="1"/>
  <c r="AH22" i="1"/>
  <c r="AH54" i="1"/>
  <c r="AH104" i="1"/>
  <c r="D21" i="44"/>
  <c r="B7" i="1"/>
  <c r="A7" i="43" s="1"/>
  <c r="C21" i="44"/>
  <c r="AG11" i="42"/>
  <c r="G27" i="13"/>
  <c r="K27" i="13" s="1"/>
  <c r="AG10" i="42" s="1"/>
  <c r="Q22" i="30"/>
  <c r="N22" i="30"/>
  <c r="P18" i="30"/>
  <c r="Q18" i="30"/>
  <c r="O22" i="30"/>
  <c r="O18" i="30"/>
  <c r="P22" i="30"/>
  <c r="R22" i="30"/>
  <c r="N18" i="30"/>
  <c r="R18" i="30"/>
  <c r="A18" i="44" l="1"/>
  <c r="B8" i="1"/>
  <c r="A8" i="43" s="1"/>
  <c r="D18" i="44"/>
  <c r="C18" i="44"/>
  <c r="E21" i="44"/>
  <c r="AH4" i="1"/>
  <c r="K4" i="39"/>
  <c r="O4" i="39" s="1"/>
  <c r="K3" i="39"/>
  <c r="R3" i="39" s="1"/>
  <c r="B9" i="1" l="1"/>
  <c r="A9" i="43" s="1"/>
  <c r="C12" i="44"/>
  <c r="C7" i="44"/>
  <c r="C13" i="44"/>
  <c r="C14" i="44"/>
  <c r="C11" i="44"/>
  <c r="C10" i="44"/>
  <c r="C9" i="44"/>
  <c r="C8" i="44"/>
  <c r="E18" i="44"/>
  <c r="Q4" i="39"/>
  <c r="R4" i="39"/>
  <c r="O3" i="39"/>
  <c r="P3" i="39" s="1"/>
  <c r="Q3" i="39"/>
  <c r="P30" i="14"/>
  <c r="P29" i="14"/>
  <c r="AB3" i="42" s="1"/>
  <c r="AN3" i="42" s="1"/>
  <c r="P28" i="14"/>
  <c r="AB4" i="42" s="1"/>
  <c r="AN4" i="42" s="1"/>
  <c r="B10" i="1" l="1"/>
  <c r="A10" i="43" s="1"/>
  <c r="B13" i="44"/>
  <c r="B8" i="44"/>
  <c r="B7" i="44"/>
  <c r="B14" i="44"/>
  <c r="B12" i="44"/>
  <c r="B11" i="44"/>
  <c r="B10" i="44"/>
  <c r="B9" i="44"/>
  <c r="P4" i="39"/>
  <c r="P27" i="14"/>
  <c r="AB5" i="42" s="1"/>
  <c r="AN5" i="42" s="1"/>
  <c r="P31" i="14"/>
  <c r="AB10" i="42" s="1"/>
  <c r="AN10" i="42" s="1"/>
  <c r="AP10" i="42" l="1"/>
  <c r="AB11" i="42"/>
  <c r="B11" i="1"/>
  <c r="A11" i="43" s="1"/>
  <c r="C6" i="14"/>
  <c r="AI12" i="3" s="1"/>
  <c r="C9" i="14"/>
  <c r="AI8" i="3" s="1"/>
  <c r="C13" i="14"/>
  <c r="AI15" i="3" s="1"/>
  <c r="C4" i="14"/>
  <c r="AI6" i="3" s="1"/>
  <c r="C3" i="14"/>
  <c r="AI5" i="3" s="1"/>
  <c r="C12" i="14"/>
  <c r="AI11" i="3" s="1"/>
  <c r="C7" i="14"/>
  <c r="AI14" i="3" s="1"/>
  <c r="C10" i="14"/>
  <c r="AI9" i="3" s="1"/>
  <c r="C11" i="14"/>
  <c r="AI10" i="3" s="1"/>
  <c r="C8" i="14"/>
  <c r="AI13" i="3" s="1"/>
  <c r="C2" i="14"/>
  <c r="AI4" i="3" s="1"/>
  <c r="C5" i="14"/>
  <c r="AI7" i="3" s="1"/>
  <c r="AS9" i="3" l="1"/>
  <c r="AU9" i="3"/>
  <c r="AV9" i="3"/>
  <c r="AU14" i="3"/>
  <c r="AV14" i="3"/>
  <c r="AS14" i="3"/>
  <c r="AU11" i="3"/>
  <c r="AV11" i="3"/>
  <c r="AS11" i="3"/>
  <c r="AU5" i="3"/>
  <c r="AS5" i="3"/>
  <c r="AV5" i="3"/>
  <c r="AU6" i="3"/>
  <c r="AS6" i="3"/>
  <c r="AV6" i="3"/>
  <c r="AV15" i="3"/>
  <c r="AU15" i="3"/>
  <c r="AS15" i="3"/>
  <c r="AS8" i="3"/>
  <c r="AV8" i="3"/>
  <c r="AU8" i="3"/>
  <c r="AV12" i="3"/>
  <c r="AU12" i="3"/>
  <c r="AS12" i="3"/>
  <c r="AU7" i="3"/>
  <c r="AS7" i="3"/>
  <c r="AV7" i="3"/>
  <c r="AV13" i="3"/>
  <c r="AS13" i="3"/>
  <c r="AU13" i="3"/>
  <c r="AV10" i="3"/>
  <c r="AS10" i="3"/>
  <c r="AU10" i="3"/>
  <c r="AO5" i="42"/>
  <c r="AN11" i="42"/>
  <c r="AP11" i="42" s="1"/>
  <c r="AP12" i="42" s="1"/>
  <c r="AO3" i="42"/>
  <c r="AO4" i="42"/>
  <c r="AU4" i="3"/>
  <c r="AS4" i="3"/>
  <c r="B12" i="1"/>
  <c r="A12" i="43" s="1"/>
  <c r="AV4" i="3"/>
  <c r="AT10" i="3" l="1"/>
  <c r="AT5" i="3"/>
  <c r="AT12" i="3"/>
  <c r="AT8" i="3"/>
  <c r="AT14" i="3"/>
  <c r="AT6" i="3"/>
  <c r="AT15" i="3"/>
  <c r="AT9" i="3"/>
  <c r="AT13" i="3"/>
  <c r="AT11" i="3"/>
  <c r="AT7" i="3"/>
  <c r="B13" i="1"/>
  <c r="A13" i="43" s="1"/>
  <c r="L17" i="37"/>
  <c r="M11" i="37" s="1"/>
  <c r="B14" i="1" l="1"/>
  <c r="A14" i="43" s="1"/>
  <c r="J8" i="37"/>
  <c r="M30" i="37" s="1"/>
  <c r="B15" i="1" l="1"/>
  <c r="A15" i="43" s="1"/>
  <c r="AT4" i="3"/>
  <c r="B16" i="1" l="1"/>
  <c r="A16" i="43" s="1"/>
  <c r="B17" i="1" l="1"/>
  <c r="A17" i="43" s="1"/>
  <c r="B18" i="1" l="1"/>
  <c r="A18" i="43" s="1"/>
  <c r="B19" i="1" l="1"/>
  <c r="A19" i="43" s="1"/>
  <c r="B20" i="1" l="1"/>
  <c r="A20" i="43" s="1"/>
  <c r="B21" i="1" l="1"/>
  <c r="A21" i="43" s="1"/>
  <c r="B22" i="1" l="1"/>
  <c r="A22" i="43" s="1"/>
  <c r="B23" i="1" l="1"/>
  <c r="A23" i="43" s="1"/>
  <c r="B24" i="1" l="1"/>
  <c r="A24" i="43" s="1"/>
  <c r="B25" i="1" l="1"/>
  <c r="A25" i="43" s="1"/>
  <c r="B26" i="1" l="1"/>
  <c r="A26" i="43" s="1"/>
  <c r="B27" i="1" l="1"/>
  <c r="A27" i="43" s="1"/>
  <c r="B28" i="1" l="1"/>
  <c r="A28" i="43" s="1"/>
  <c r="B29" i="1" l="1"/>
  <c r="A29" i="43" s="1"/>
  <c r="B30" i="1" l="1"/>
  <c r="A30" i="43" s="1"/>
  <c r="B31" i="1" l="1"/>
  <c r="A31" i="43" s="1"/>
  <c r="B32" i="1" l="1"/>
  <c r="A32" i="43" s="1"/>
  <c r="B33" i="1" l="1"/>
  <c r="A33" i="43" s="1"/>
  <c r="B34" i="1" l="1"/>
  <c r="A34" i="43" s="1"/>
  <c r="B35" i="1" l="1"/>
  <c r="A35" i="43" l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A37" i="43" l="1"/>
  <c r="A38" i="43"/>
  <c r="A39" i="43" l="1"/>
  <c r="A40" i="43" l="1"/>
  <c r="A41" i="43" l="1"/>
  <c r="A42" i="43" l="1"/>
  <c r="A43" i="43" l="1"/>
  <c r="A44" i="43" l="1"/>
  <c r="A45" i="43" l="1"/>
  <c r="A46" i="43" l="1"/>
  <c r="A47" i="43" l="1"/>
  <c r="A48" i="43" l="1"/>
  <c r="A49" i="43" l="1"/>
  <c r="A51" i="43" l="1"/>
  <c r="A52" i="43" l="1"/>
  <c r="A53" i="43" l="1"/>
  <c r="A54" i="43" l="1"/>
  <c r="A56" i="43" l="1"/>
  <c r="A57" i="43" l="1"/>
  <c r="A58" i="43" l="1"/>
  <c r="A59" i="43" l="1"/>
  <c r="A60" i="43" l="1"/>
  <c r="A61" i="43" l="1"/>
  <c r="A62" i="43" l="1"/>
  <c r="A63" i="43" l="1"/>
  <c r="A64" i="43" l="1"/>
  <c r="A65" i="43" l="1"/>
  <c r="A66" i="43" l="1"/>
  <c r="A67" i="43" l="1"/>
  <c r="A68" i="43" l="1"/>
  <c r="A69" i="43" l="1"/>
  <c r="A70" i="43" l="1"/>
  <c r="A71" i="43" l="1"/>
  <c r="A72" i="43" l="1"/>
  <c r="A73" i="43" l="1"/>
  <c r="A74" i="43" l="1"/>
  <c r="A75" i="43" l="1"/>
  <c r="A76" i="43" l="1"/>
  <c r="A77" i="43" l="1"/>
  <c r="A78" i="43" l="1"/>
  <c r="A79" i="43" l="1"/>
  <c r="A81" i="43" l="1"/>
  <c r="A82" i="43" l="1"/>
  <c r="A83" i="43" l="1"/>
  <c r="A84" i="43" l="1"/>
  <c r="A85" i="43" l="1"/>
  <c r="A86" i="43" l="1"/>
  <c r="A87" i="43" l="1"/>
  <c r="A88" i="43" l="1"/>
  <c r="A89" i="43" l="1"/>
  <c r="A90" i="43" l="1"/>
  <c r="A91" i="43" l="1"/>
  <c r="A92" i="43" l="1"/>
  <c r="A93" i="43" l="1"/>
  <c r="A94" i="43" l="1"/>
  <c r="A95" i="43" l="1"/>
  <c r="A96" i="43" l="1"/>
  <c r="A97" i="43" l="1"/>
  <c r="A98" i="43" l="1"/>
  <c r="A99" i="43" l="1"/>
  <c r="A100" i="43" l="1"/>
  <c r="A101" i="43" l="1"/>
  <c r="A102" i="43" l="1"/>
  <c r="A103" i="43" l="1"/>
  <c r="A104" i="43" l="1"/>
  <c r="A105" i="43" l="1"/>
  <c r="A106" i="43" l="1"/>
  <c r="A107" i="43" l="1"/>
  <c r="A108" i="43" l="1"/>
  <c r="A109" i="43" l="1"/>
  <c r="A110" i="43" l="1"/>
  <c r="A111" i="43" l="1"/>
  <c r="A112" i="43" l="1"/>
  <c r="A113" i="43" l="1"/>
  <c r="A114" i="43" l="1"/>
  <c r="A115" i="43" l="1"/>
  <c r="A116" i="43" l="1"/>
  <c r="A117" i="43" l="1"/>
  <c r="A118" i="43" l="1"/>
  <c r="A119" i="43" l="1"/>
  <c r="A120" i="43" l="1"/>
  <c r="A121" i="43" l="1"/>
  <c r="A122" i="43" l="1"/>
  <c r="A123" i="43" l="1"/>
  <c r="A124" i="43" l="1"/>
  <c r="A125" i="43" l="1"/>
  <c r="A126" i="43" l="1"/>
  <c r="A127" i="43" l="1"/>
  <c r="A128" i="43" l="1"/>
  <c r="A129" i="43" l="1"/>
  <c r="A130" i="43" l="1"/>
  <c r="A131" i="43" l="1"/>
  <c r="A132" i="43" l="1"/>
  <c r="A133" i="43" l="1"/>
  <c r="A134" i="43" l="1"/>
  <c r="A135" i="43" l="1"/>
  <c r="A136" i="43" l="1"/>
  <c r="A137" i="43" l="1"/>
  <c r="A138" i="43" l="1"/>
  <c r="A139" i="43" l="1"/>
  <c r="A140" i="43" l="1"/>
  <c r="A141" i="43" l="1"/>
  <c r="A142" i="43" l="1"/>
  <c r="A143" i="43" l="1"/>
  <c r="A144" i="43" l="1"/>
  <c r="A145" i="43" l="1"/>
  <c r="A146" i="43" l="1"/>
  <c r="A147" i="43" l="1"/>
  <c r="A148" i="43" l="1"/>
  <c r="A149" i="43" l="1"/>
  <c r="A150" i="43" l="1"/>
  <c r="A151" i="43" l="1"/>
  <c r="A153" i="43" l="1"/>
  <c r="A152" i="43"/>
</calcChain>
</file>

<file path=xl/comments1.xml><?xml version="1.0" encoding="utf-8"?>
<comments xmlns="http://schemas.openxmlformats.org/spreadsheetml/2006/main">
  <authors>
    <author>Marlo D.. Solicito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VQAs' points multiplier
ave. poiints/day: 3.09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DBA's points multiplier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PR's points multiplier</t>
        </r>
      </text>
    </comment>
  </commentList>
</comments>
</file>

<file path=xl/comments10.xml><?xml version="1.0" encoding="utf-8"?>
<comments xmlns="http://schemas.openxmlformats.org/spreadsheetml/2006/main">
  <authors>
    <author>Marlo D.. Solicito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</commentList>
</comments>
</file>

<file path=xl/comments11.xml><?xml version="1.0" encoding="utf-8"?>
<comments xmlns="http://schemas.openxmlformats.org/spreadsheetml/2006/main">
  <authors>
    <author>Marlo D.. Solicito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Michael Ventanilla</t>
        </r>
      </text>
    </comment>
  </commentList>
</comments>
</file>

<file path=xl/comments12.xml><?xml version="1.0" encoding="utf-8"?>
<comments xmlns="http://schemas.openxmlformats.org/spreadsheetml/2006/main">
  <authors>
    <author>Marlo D.. Solicito</author>
  </authors>
  <commentList>
    <comment ref="AG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Production Tracker</t>
        </r>
      </text>
    </comment>
  </commentList>
</comments>
</file>

<file path=xl/comments13.xml><?xml version="1.0" encoding="utf-8"?>
<comments xmlns="http://schemas.openxmlformats.org/spreadsheetml/2006/main">
  <authors>
    <author>Marlo D.. Solicito</author>
  </authors>
  <commentList>
    <comment ref="A1" authorId="0">
      <text>
        <r>
          <rPr>
            <sz val="9"/>
            <color indexed="81"/>
            <rFont val="Tahoma"/>
            <family val="2"/>
          </rPr>
          <t>get from MIS Team/Jessica Saguran
Individual Summary Report tab</t>
        </r>
      </text>
    </comment>
    <comment ref="T1" authorId="0">
      <text>
        <r>
          <rPr>
            <sz val="9"/>
            <color indexed="81"/>
            <rFont val="Tahoma"/>
            <family val="2"/>
          </rPr>
          <t>get from MIS Team/Jessica Saguran Team Summary Report Tab</t>
        </r>
      </text>
    </comment>
  </commentList>
</comments>
</file>

<file path=xl/comments14.xml><?xml version="1.0" encoding="utf-8"?>
<comments xmlns="http://schemas.openxmlformats.org/spreadsheetml/2006/main">
  <authors>
    <author>Larry Somera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*get from WML QA form official dashboard CE Score &amp; follow up (combined)</t>
        </r>
      </text>
    </comment>
  </commentList>
</comments>
</file>

<file path=xl/comments15.xml><?xml version="1.0" encoding="utf-8"?>
<comments xmlns="http://schemas.openxmlformats.org/spreadsheetml/2006/main">
  <authors>
    <author>Marlo D.. Solicito</author>
    <author>Larry Somera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Mike</t>
        </r>
      </text>
    </comment>
    <comment ref="R2" authorId="1">
      <text>
        <r>
          <rPr>
            <sz val="9"/>
            <color indexed="81"/>
            <rFont val="Tahoma"/>
            <family val="2"/>
          </rPr>
          <t>get from Sir Mike's email</t>
        </r>
      </text>
    </comment>
    <comment ref="E31" authorId="1">
      <text>
        <r>
          <rPr>
            <sz val="9"/>
            <color indexed="81"/>
            <rFont val="Tahoma"/>
            <family val="2"/>
          </rPr>
          <t>copy to cell E2</t>
        </r>
      </text>
    </comment>
    <comment ref="F31" authorId="1">
      <text>
        <r>
          <rPr>
            <sz val="9"/>
            <color indexed="81"/>
            <rFont val="Tahoma"/>
            <family val="2"/>
          </rPr>
          <t>copy to cell F2</t>
        </r>
      </text>
    </comment>
  </commentList>
</comments>
</file>

<file path=xl/comments16.xml><?xml version="1.0" encoding="utf-8"?>
<comments xmlns="http://schemas.openxmlformats.org/spreadsheetml/2006/main">
  <authors>
    <author>Larry Somera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Get from Bonus tracker </t>
        </r>
      </text>
    </comment>
  </commentList>
</comments>
</file>

<file path=xl/comments17.xml><?xml version="1.0" encoding="utf-8"?>
<comments xmlns="http://schemas.openxmlformats.org/spreadsheetml/2006/main">
  <authors>
    <author>Marlo D.. Solicito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MIS team/Jessica Saguran</t>
        </r>
      </text>
    </comment>
  </commentList>
</comments>
</file>

<file path=xl/comments18.xml><?xml version="1.0" encoding="utf-8"?>
<comments xmlns="http://schemas.openxmlformats.org/spreadsheetml/2006/main">
  <authors>
    <author>Larry Somera</author>
  </authors>
  <commentList>
    <comment ref="C1" authorId="0">
      <text>
        <r>
          <rPr>
            <sz val="9"/>
            <color indexed="81"/>
            <rFont val="Tahoma"/>
            <family val="2"/>
          </rPr>
          <t>get Churn scores of special functions resources from Apple</t>
        </r>
      </text>
    </comment>
  </commentList>
</comments>
</file>

<file path=xl/comments2.xml><?xml version="1.0" encoding="utf-8"?>
<comments xmlns="http://schemas.openxmlformats.org/spreadsheetml/2006/main">
  <authors>
    <author>Larry Somera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on LOA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on LOA until December 10</t>
        </r>
      </text>
    </comment>
  </commentList>
</comments>
</file>

<file path=xl/comments3.xml><?xml version="1.0" encoding="utf-8"?>
<comments xmlns="http://schemas.openxmlformats.org/spreadsheetml/2006/main">
  <authors>
    <author>Marlo D.. Solicito</author>
    <author>Larry Somera</author>
  </authors>
  <commentList>
    <comment ref="AO3" authorId="0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request it from the Managers and enter the data manually. If passed, put 100%; if failed, put 0%.</t>
        </r>
      </text>
    </comment>
    <comment ref="T10" authorId="1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
</t>
        </r>
      </text>
    </comment>
    <comment ref="AJ10" authorId="1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</t>
        </r>
      </text>
    </comment>
  </commentList>
</comments>
</file>

<file path=xl/comments4.xml><?xml version="1.0" encoding="utf-8"?>
<comments xmlns="http://schemas.openxmlformats.org/spreadsheetml/2006/main">
  <authors>
    <author>Larry Somera</author>
    <author>Marlo D.. Solicito</author>
  </authors>
  <commentList>
    <comment ref="AJ10" authorId="0">
      <text>
        <r>
          <rPr>
            <sz val="9"/>
            <color indexed="81"/>
            <rFont val="Tahoma"/>
            <family val="2"/>
          </rPr>
          <t xml:space="preserve">no triad coaching for SOM role
</t>
        </r>
      </text>
    </comment>
    <comment ref="E31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2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3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manually; data is from Sir Mike; assumed 100%; if not 100%, it will be backtracked.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</commentList>
</comments>
</file>

<file path=xl/comments5.xml><?xml version="1.0" encoding="utf-8"?>
<comments xmlns="http://schemas.openxmlformats.org/spreadsheetml/2006/main">
  <authors>
    <author>Marlo D.. Solicito</author>
  </authors>
  <commentList>
    <comment ref="J2" authorId="0">
      <text>
        <r>
          <rPr>
            <sz val="9"/>
            <color indexed="81"/>
            <rFont val="Tahoma"/>
            <family val="2"/>
          </rPr>
          <t>put score here manually</t>
        </r>
      </text>
    </comment>
    <comment ref="J6" authorId="0">
      <text>
        <r>
          <rPr>
            <sz val="9"/>
            <color indexed="81"/>
            <rFont val="Tahoma"/>
            <family val="2"/>
          </rPr>
          <t>put mini team score here manually</t>
        </r>
      </text>
    </comment>
    <comment ref="J10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1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2" authorId="0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</commentList>
</comments>
</file>

<file path=xl/comments6.xml><?xml version="1.0" encoding="utf-8"?>
<comments xmlns="http://schemas.openxmlformats.org/spreadsheetml/2006/main">
  <authors>
    <author>Marlo D.. Solicito</author>
  </authors>
  <commentList>
    <comment ref="M2" authorId="0">
      <text>
        <r>
          <rPr>
            <sz val="9"/>
            <color indexed="81"/>
            <rFont val="Tahoma"/>
            <family val="2"/>
          </rPr>
          <t>put Timeliness score here manually</t>
        </r>
      </text>
    </comment>
    <comment ref="M3" authorId="0">
      <text>
        <r>
          <rPr>
            <sz val="9"/>
            <color indexed="81"/>
            <rFont val="Tahoma"/>
            <family val="2"/>
          </rPr>
          <t>put Accuracy score here manually</t>
        </r>
      </text>
    </comment>
    <comment ref="M4" authorId="0">
      <text>
        <r>
          <rPr>
            <sz val="9"/>
            <color indexed="81"/>
            <rFont val="Tahoma"/>
            <family val="2"/>
          </rPr>
          <t>put survey score here manually</t>
        </r>
      </text>
    </comment>
  </commentList>
</comments>
</file>

<file path=xl/comments7.xml><?xml version="1.0" encoding="utf-8"?>
<comments xmlns="http://schemas.openxmlformats.org/spreadsheetml/2006/main">
  <authors>
    <author>Marlo D.. Solicito</author>
  </authors>
  <commentList>
    <comment ref="H3" authorId="0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H4" authorId="0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K5" authorId="0">
      <text>
        <r>
          <rPr>
            <sz val="9"/>
            <color indexed="81"/>
            <rFont val="Tahoma"/>
            <family val="2"/>
          </rPr>
          <t>enter survey score manually</t>
        </r>
      </text>
    </comment>
  </commentList>
</comments>
</file>

<file path=xl/comments8.xml><?xml version="1.0" encoding="utf-8"?>
<comments xmlns="http://schemas.openxmlformats.org/spreadsheetml/2006/main">
  <authors>
    <author>Marlo D.. Solicito</author>
  </authors>
  <commentList>
    <comment ref="C8" authorId="0">
      <text>
        <r>
          <rPr>
            <sz val="9"/>
            <color indexed="81"/>
            <rFont val="Tahoma"/>
            <family val="2"/>
          </rPr>
          <t>put count of escalations here</t>
        </r>
      </text>
    </comment>
  </commentList>
</comments>
</file>

<file path=xl/comments9.xml><?xml version="1.0" encoding="utf-8"?>
<comments xmlns="http://schemas.openxmlformats.org/spreadsheetml/2006/main">
  <authors>
    <author>Larry Somera</author>
  </authors>
  <commentList>
    <comment ref="W2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3" authorId="0">
      <text>
        <r>
          <rPr>
            <sz val="9"/>
            <color indexed="81"/>
            <rFont val="Tahoma"/>
            <family val="2"/>
          </rPr>
          <t>approved by Sir Mike from 6 to 3</t>
        </r>
      </text>
    </comment>
    <comment ref="W4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5" authorId="0">
      <text>
        <r>
          <rPr>
            <sz val="9"/>
            <color indexed="81"/>
            <rFont val="Tahoma"/>
            <family val="2"/>
          </rPr>
          <t>approved by Sir Mike from 10 to 7</t>
        </r>
      </text>
    </comment>
    <comment ref="W6" authorId="0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standard goal</t>
        </r>
      </text>
    </comment>
  </commentList>
</comments>
</file>

<file path=xl/sharedStrings.xml><?xml version="1.0" encoding="utf-8"?>
<sst xmlns="http://schemas.openxmlformats.org/spreadsheetml/2006/main" count="7261" uniqueCount="888">
  <si>
    <t>PASSING RATE</t>
  </si>
  <si>
    <t>MONTH</t>
  </si>
  <si>
    <t>SCORECARD</t>
  </si>
  <si>
    <t>PRODUCTIVITY</t>
  </si>
  <si>
    <t>ATTENDANCE</t>
  </si>
  <si>
    <t>KC</t>
  </si>
  <si>
    <t>CHURN</t>
  </si>
  <si>
    <t>QUALITY (OVERALL)</t>
  </si>
  <si>
    <t>QUALITY - DESIGNERS</t>
  </si>
  <si>
    <t>QUALITY - PR</t>
  </si>
  <si>
    <t>QUALITY - VOICE QAs</t>
  </si>
  <si>
    <t>QUALITY - WEB MAINTENANCE</t>
  </si>
  <si>
    <t>PASSING RATE - SCORECARD</t>
  </si>
  <si>
    <t>JANUARY</t>
  </si>
  <si>
    <t>-</t>
  </si>
  <si>
    <t>PASSING RATE - PRODUCTIVITY</t>
  </si>
  <si>
    <t>FEBRUARY</t>
  </si>
  <si>
    <t>PASSING RATE - ATTENDANCE</t>
  </si>
  <si>
    <t>MARCH</t>
  </si>
  <si>
    <t>PASSING RATE - KC</t>
  </si>
  <si>
    <t>APRIL</t>
  </si>
  <si>
    <t>PASSING RATE - QUALITY (OVERALL)</t>
  </si>
  <si>
    <t>MAY</t>
  </si>
  <si>
    <t>PASSING RATE - QUALITY - DESIGNERS</t>
  </si>
  <si>
    <t>JUNE</t>
  </si>
  <si>
    <t>PASSING RATE - QUALITY - PR</t>
  </si>
  <si>
    <t>JULY</t>
  </si>
  <si>
    <t>PASSING RATE - QUALITY - VOICE QAs</t>
  </si>
  <si>
    <t>AUGUST</t>
  </si>
  <si>
    <t>SEPTEMBER</t>
  </si>
  <si>
    <t>OCTOBER</t>
  </si>
  <si>
    <t>NOVEMBER</t>
  </si>
  <si>
    <t>DECEMBER</t>
  </si>
  <si>
    <t>SITE LEVEL SCORE</t>
  </si>
  <si>
    <t>TARGET</t>
  </si>
  <si>
    <t>PASSED</t>
  </si>
  <si>
    <t>FAILED</t>
  </si>
  <si>
    <t>KPI</t>
  </si>
  <si>
    <t>SCORES</t>
  </si>
  <si>
    <t>MONEY CONVERSION</t>
  </si>
  <si>
    <t>NO.</t>
  </si>
  <si>
    <t>EMPLOYEE ID</t>
  </si>
  <si>
    <t>NAME</t>
  </si>
  <si>
    <t>ROLE</t>
  </si>
  <si>
    <t>SUPERVISOR</t>
  </si>
  <si>
    <t>OPERATIONS MANAGER</t>
  </si>
  <si>
    <t>Productivity Points</t>
  </si>
  <si>
    <t>Churn</t>
  </si>
  <si>
    <t>Quality</t>
  </si>
  <si>
    <t>Disputes</t>
  </si>
  <si>
    <t>CE Score</t>
  </si>
  <si>
    <t>Follow-Up</t>
  </si>
  <si>
    <t>Kudos</t>
  </si>
  <si>
    <t>Attendance (No late, No Absences?), 1=YES,0=NO</t>
  </si>
  <si>
    <t>STATUS</t>
  </si>
  <si>
    <t>Productivity</t>
  </si>
  <si>
    <t>Attendance (No late, No Absences?)</t>
  </si>
  <si>
    <t>TOTAL MONEY</t>
  </si>
  <si>
    <t>OVERALL</t>
  </si>
  <si>
    <t>QUALITY</t>
  </si>
  <si>
    <t>DISPUTES</t>
  </si>
  <si>
    <t>CE</t>
  </si>
  <si>
    <t>FCR</t>
  </si>
  <si>
    <t>BONUS</t>
  </si>
  <si>
    <t>WEIGHT</t>
  </si>
  <si>
    <t>SCORE PER KPI</t>
  </si>
  <si>
    <t>FINAL SCORE</t>
  </si>
  <si>
    <t>FOR CHECKING</t>
  </si>
  <si>
    <t>Tenure</t>
  </si>
  <si>
    <t>SENIOR OPERATIONS MANAGER</t>
  </si>
  <si>
    <t>TOWER HEAD</t>
  </si>
  <si>
    <t>HIRE DATE</t>
  </si>
  <si>
    <t>PRODUCTION DATE</t>
  </si>
  <si>
    <t>TENURE</t>
  </si>
  <si>
    <t>PR CALIBRATION</t>
  </si>
  <si>
    <t>RANK</t>
  </si>
  <si>
    <t>NO BONUS</t>
  </si>
  <si>
    <t>WITH BONUS</t>
  </si>
  <si>
    <t>Effective Date of Separation</t>
  </si>
  <si>
    <t>resign?</t>
  </si>
  <si>
    <t>actual churn score</t>
  </si>
  <si>
    <t>Beginner</t>
  </si>
  <si>
    <t>FABICON, JOHN GABRIEL T.</t>
  </si>
  <si>
    <t>Web Designer</t>
  </si>
  <si>
    <t>REYES, Arthur</t>
  </si>
  <si>
    <t>MENDOZA, Carlo</t>
  </si>
  <si>
    <t>Ventanilla, Mike</t>
  </si>
  <si>
    <t>Proofreader</t>
  </si>
  <si>
    <t>Intermediate</t>
  </si>
  <si>
    <t>CONSTANTINO, DIANA ROSE C.</t>
  </si>
  <si>
    <t>Voice QA</t>
  </si>
  <si>
    <t>Expert</t>
  </si>
  <si>
    <t>CRUZ, MA.BETTINA M.</t>
  </si>
  <si>
    <t>DICTADO, FRANCISMEL M.</t>
  </si>
  <si>
    <t>MACALALAD, ANGELICA A.</t>
  </si>
  <si>
    <t>MALIMBAN, ANICA JAHNA B.</t>
  </si>
  <si>
    <t>MEDRANO, ROUSELLE</t>
  </si>
  <si>
    <t>MORADA, JEROME F.</t>
  </si>
  <si>
    <t>VILLABRIGA, DARYL E.</t>
  </si>
  <si>
    <t>RABANERA, JOMAR G.</t>
  </si>
  <si>
    <t>GALANG, CARL ANTHONY M.</t>
  </si>
  <si>
    <t>TRINIDAD, NESSER CARLO G.</t>
  </si>
  <si>
    <t>FABURADA, BOOZ JOSHUA V.</t>
  </si>
  <si>
    <t>VILLARMENTE, KIMBERLY S.</t>
  </si>
  <si>
    <t>AMON, KATRINA D.</t>
  </si>
  <si>
    <t>REMULLA, Apple</t>
  </si>
  <si>
    <t>PASQUIN, Ryan</t>
  </si>
  <si>
    <t>CONDES, GERALDINE L.</t>
  </si>
  <si>
    <t>GONZAGA, AYRA N.</t>
  </si>
  <si>
    <t>GUTIERREZ, JOSE ARMANDO K., II</t>
  </si>
  <si>
    <t>LIAD, ANGELICA A.</t>
  </si>
  <si>
    <t>MONZON, PAULINE JOYCE A.</t>
  </si>
  <si>
    <t>NAVAL, MARY GRACE M.</t>
  </si>
  <si>
    <t>OMAMBAC, JIMSEN P.</t>
  </si>
  <si>
    <t>PARRILLA, CRISTINA MAY E.</t>
  </si>
  <si>
    <t>PASCUAL, CATHERINE A.</t>
  </si>
  <si>
    <t>RALLECA, MARY CARL DOROTEA M.</t>
  </si>
  <si>
    <t>SUAREZ, DANTE V.</t>
  </si>
  <si>
    <t>SURBONA, SEAN S.</t>
  </si>
  <si>
    <t>VARGAS, WINNIE I.</t>
  </si>
  <si>
    <t>TEODOSIO, ERISE G.</t>
  </si>
  <si>
    <t>TOMO, IRAND ALYSSA B.</t>
  </si>
  <si>
    <t>ANASTACIO, NICHOLE JAN A.</t>
  </si>
  <si>
    <t>Internal Mods (PSI)</t>
  </si>
  <si>
    <t>REGENCIA, Reymark</t>
  </si>
  <si>
    <t>ARCEO, LUKE ARVIN B.</t>
  </si>
  <si>
    <t>DE LEON, JESSNA MARIE</t>
  </si>
  <si>
    <t>DIAZ, SHIELA MARIE C.</t>
  </si>
  <si>
    <t>DIKIT, MARICHRIS A.</t>
  </si>
  <si>
    <t>FERNANDEZ, RAYMOND O.</t>
  </si>
  <si>
    <t>GONZALES, RENZY ELAINE L.</t>
  </si>
  <si>
    <t>PELAGIO, MICHAEL DOMINIC</t>
  </si>
  <si>
    <t>PELAYO, ERWIN REINER B.</t>
  </si>
  <si>
    <t>PIMENTEL, STEPHANIE B.</t>
  </si>
  <si>
    <t>TORRES, SHEENA C.</t>
  </si>
  <si>
    <t>BORELA, SHAIRA MAE C.</t>
  </si>
  <si>
    <t>ARGAO, PAUL CHRISTIAN L.</t>
  </si>
  <si>
    <t>LAPASTORA, Mark Anthony</t>
  </si>
  <si>
    <t>ASERON, RHYALYN P.</t>
  </si>
  <si>
    <t>BLANCAFLOR, KIM BRYAN M.</t>
  </si>
  <si>
    <t>CANAYON, MARK ANTHONY L.</t>
  </si>
  <si>
    <t>ESTRELLA, DARYL ANGELO C.</t>
  </si>
  <si>
    <t>Senior Web Designer</t>
  </si>
  <si>
    <t>GALES, DIONEL S.</t>
  </si>
  <si>
    <t>GALES, GERALD JOHN S.</t>
  </si>
  <si>
    <t>INOCENTES, MHARVIC L.</t>
  </si>
  <si>
    <t>LUGO, NORIEL BERNARD M.</t>
  </si>
  <si>
    <t>PADERAGAO, RICKZEL S.</t>
  </si>
  <si>
    <t>LAT, DIANNE GRACE A.</t>
  </si>
  <si>
    <t>BELESINA, RIZZA MEI V.</t>
  </si>
  <si>
    <t>SALAZAR, RENZ V.</t>
  </si>
  <si>
    <t>BALINTONG, MARK CHRISTIAN D.</t>
  </si>
  <si>
    <t>JAYAWON, Franklin</t>
  </si>
  <si>
    <t>DIAZ, SHARMAINE P.</t>
  </si>
  <si>
    <t>BALBALOSA, JOMARI C.</t>
  </si>
  <si>
    <t>ENCINAS, AARON C.</t>
  </si>
  <si>
    <t>LATAYAN, KIER M.</t>
  </si>
  <si>
    <t>MAMOLO, SHERMIN JOY C.</t>
  </si>
  <si>
    <t>Legacy Product Maintenance</t>
  </si>
  <si>
    <t>MUNOZ, JERWIN C.</t>
  </si>
  <si>
    <t>NIELO, ANGELICA J.</t>
  </si>
  <si>
    <t>PASCUAL, CYRUS IAN A.</t>
  </si>
  <si>
    <t>PRADO, ALVIN C.</t>
  </si>
  <si>
    <t>SANTIAGO, ALMAR ABRAHAM G.</t>
  </si>
  <si>
    <t>TIGLEY, EMMANUEL</t>
  </si>
  <si>
    <t>Logo Designer</t>
  </si>
  <si>
    <t>REMULLA, RENZEL B.</t>
  </si>
  <si>
    <t>SALUMBIDES, ROMNIEL L.</t>
  </si>
  <si>
    <t>DIAZ, ED JOSHUA B.</t>
  </si>
  <si>
    <t>FLORES, Emmanuel</t>
  </si>
  <si>
    <t>TAGUILASO, Daryl</t>
  </si>
  <si>
    <t>BATAYON, ELOISA V.</t>
  </si>
  <si>
    <t>BELTRAN, SHAIRA S.</t>
  </si>
  <si>
    <t>CARAIG, ROLANDO N., JR.</t>
  </si>
  <si>
    <t>CRUZ, ROWEL G.</t>
  </si>
  <si>
    <t>HONRADO, RHEA L.</t>
  </si>
  <si>
    <t>MERCADO, ROSEANN G.</t>
  </si>
  <si>
    <t>DBA</t>
  </si>
  <si>
    <t>OCENAR, PAULINE SIENNE M.</t>
  </si>
  <si>
    <t>RODRIGUEZ, ALLAN R.</t>
  </si>
  <si>
    <t>SALAMANTE, DANIELL ERIK D.</t>
  </si>
  <si>
    <t>SESTOSO, PATRICE ANNE M.</t>
  </si>
  <si>
    <t>MAROTO, ARJIEL I.</t>
  </si>
  <si>
    <t>BRAGADO, PAULO G.</t>
  </si>
  <si>
    <t>FERNANDEZ, ELMER Q.</t>
  </si>
  <si>
    <t>BACURIN, APOLINARIO M., JR.</t>
  </si>
  <si>
    <t>DE LOS SANTOS, Richard</t>
  </si>
  <si>
    <t>DE GUZMAN, MONNEYR JHON D.</t>
  </si>
  <si>
    <t>DEDEL, PAUL ANDREW B.</t>
  </si>
  <si>
    <t>ENRIQUEZ, AMIEL JAESO F.</t>
  </si>
  <si>
    <t>GARCIA, MARC RANIELLE R.</t>
  </si>
  <si>
    <t>HERNAEZ, SHAIRA MAE A.</t>
  </si>
  <si>
    <t>LANSIGAN, ERICKA R.</t>
  </si>
  <si>
    <t>LITAM, JOHN DEXTER M.</t>
  </si>
  <si>
    <t>MARTINEZ, LYCEL L.</t>
  </si>
  <si>
    <t>SAULON, JOHN ARCHER L.</t>
  </si>
  <si>
    <t>TALANIA, DEAN FELIX G.</t>
  </si>
  <si>
    <t>LARDIZABAL, JAN O.</t>
  </si>
  <si>
    <t>CABAUATAN, JOHN BENNETH B.</t>
  </si>
  <si>
    <t>CANTAL, JINKY E.</t>
  </si>
  <si>
    <t>CRUZ, Noel</t>
  </si>
  <si>
    <t>GUDEN, JACK THOMSON D.</t>
  </si>
  <si>
    <t>MANALO, PAUL ALEXIUS F.</t>
  </si>
  <si>
    <t>ROQUE, CHRISTIAN MARI T.</t>
  </si>
  <si>
    <t>ALLINGAG, EDWIN B., JR.</t>
  </si>
  <si>
    <t>DIZON, JUSTIN IVAN F.</t>
  </si>
  <si>
    <t>MACOROL, JEAN ERIKA D.</t>
  </si>
  <si>
    <t>MANICLANG, KRISTIAN JAY B.</t>
  </si>
  <si>
    <t>MONTEREY, JAYVENEIL Q.</t>
  </si>
  <si>
    <t>VILLAREAL, MARIJUN I.</t>
  </si>
  <si>
    <t>LUMABAN, KIM LAWRENZE B.</t>
  </si>
  <si>
    <t>ARCABOS, JEROME G.</t>
  </si>
  <si>
    <t>ROSETE, JOHN ANTHONY T.</t>
  </si>
  <si>
    <t>DELOS REYES, VERNARD C.</t>
  </si>
  <si>
    <t>CEDENO, Karleen</t>
  </si>
  <si>
    <t>ESGUERRA, NOMAR P.</t>
  </si>
  <si>
    <t>GOROSPE, DYAN JAY H.</t>
  </si>
  <si>
    <t>LAGAYA, ADRIAN R.</t>
  </si>
  <si>
    <t>MERCADO, JENNYFER D.</t>
  </si>
  <si>
    <t>NAPALANG, EZEKIEL L.</t>
  </si>
  <si>
    <t>OBISPO, MARY RUTH SUZAINE G.</t>
  </si>
  <si>
    <t>PAREDES, MA. ANN JELETTE T.</t>
  </si>
  <si>
    <t>PELEGRINO, KRISTIAN DAVE C.</t>
  </si>
  <si>
    <t>RANERA, JEDALYN G.</t>
  </si>
  <si>
    <t>DELA CRUZ, AIRA REGINA D.</t>
  </si>
  <si>
    <t>SUMALINOG, ROSE ANN B.</t>
  </si>
  <si>
    <t>DOMINGO, MARIMAR D.</t>
  </si>
  <si>
    <t>BARRIOS, Renell</t>
  </si>
  <si>
    <t>ORTILLANO, LIZBERT S.</t>
  </si>
  <si>
    <t>MAGPOC, MARLON B.</t>
  </si>
  <si>
    <t>BAUN, JOHN NEIL G.</t>
  </si>
  <si>
    <t>BUNA, JAYSON C.</t>
  </si>
  <si>
    <t>ARANAS, EMMALYN D.</t>
  </si>
  <si>
    <t>DELA PAZ, ELDON O.</t>
  </si>
  <si>
    <t>ENCINARES, JADE B.</t>
  </si>
  <si>
    <t>NARCISO, HARTY JONES L.</t>
  </si>
  <si>
    <t>PADUA, RHIYANA VENISE M.</t>
  </si>
  <si>
    <t>RABE, DARREN H.</t>
  </si>
  <si>
    <t>SANDOVAL, MARIANN R.</t>
  </si>
  <si>
    <t>MOLON, JOHN NICO B.</t>
  </si>
  <si>
    <t>Anova, Michelle</t>
  </si>
  <si>
    <t>ARPON, Katherine</t>
  </si>
  <si>
    <t>Glory, Mary Jane</t>
  </si>
  <si>
    <t>Diaz, Jordan</t>
  </si>
  <si>
    <t>Torres, Julie Ann</t>
  </si>
  <si>
    <t>Santos, Hannah Elkanah</t>
  </si>
  <si>
    <t>De Jesus, Bryan Michael</t>
  </si>
  <si>
    <t>De Luna, Annalyn</t>
  </si>
  <si>
    <t>Moldes, Rainier Allan</t>
  </si>
  <si>
    <t>Rempillo, Francis</t>
  </si>
  <si>
    <t>Mendoza, Ken Andrei</t>
  </si>
  <si>
    <t>Pariñas, Joeseph Deinniel</t>
  </si>
  <si>
    <t>Rico, Cler</t>
  </si>
  <si>
    <t>PRODUCTIVITY - VQA</t>
  </si>
  <si>
    <t>PR DISPUTE</t>
  </si>
  <si>
    <t>ATTRITION</t>
  </si>
  <si>
    <t>KC - SELF</t>
  </si>
  <si>
    <t>KC - TEAM</t>
  </si>
  <si>
    <t>CALIBRATION</t>
  </si>
  <si>
    <t>COACHING</t>
  </si>
  <si>
    <t>ADHERENCE</t>
  </si>
  <si>
    <t>LEADERSHIP COMMITMENT</t>
  </si>
  <si>
    <t>Supervisor - Designer</t>
  </si>
  <si>
    <t>VENTANILLA, Michael</t>
  </si>
  <si>
    <t>MENDIOLA, Anthony</t>
  </si>
  <si>
    <t>Supervisor - PSI</t>
  </si>
  <si>
    <t>Supervisor - PR</t>
  </si>
  <si>
    <t>Supervisor - VQA</t>
  </si>
  <si>
    <t>OPERATIONS MANAGERS</t>
  </si>
  <si>
    <t>ESCALATIONS</t>
  </si>
  <si>
    <t>TRIAD COACHING</t>
  </si>
  <si>
    <t>ERC</t>
  </si>
  <si>
    <t>DF INITIATIVES</t>
  </si>
  <si>
    <t>DF PROJECT</t>
  </si>
  <si>
    <t>SITE LEVEL</t>
  </si>
  <si>
    <t>OM</t>
  </si>
  <si>
    <t>NONE</t>
  </si>
  <si>
    <t>SCORE</t>
  </si>
  <si>
    <t>WEIGHT SCORE</t>
  </si>
  <si>
    <t>SOM</t>
  </si>
  <si>
    <t>DF INITIATIVES ACTUAL SCORE</t>
  </si>
  <si>
    <t>Triad Coaching</t>
  </si>
  <si>
    <t>Count of Coaching</t>
  </si>
  <si>
    <t>Count of Totals</t>
  </si>
  <si>
    <t>Compliance %</t>
  </si>
  <si>
    <t>FOR OM RYAN</t>
  </si>
  <si>
    <t>Triad Coaching Compliance</t>
  </si>
  <si>
    <t>Actual</t>
  </si>
  <si>
    <t>Percentage Equivalent</t>
  </si>
  <si>
    <t>90% to 100%</t>
  </si>
  <si>
    <t>85% to 89.99%</t>
  </si>
  <si>
    <t>80% to 84.99%</t>
  </si>
  <si>
    <t>less than 80%</t>
  </si>
  <si>
    <t>No</t>
  </si>
  <si>
    <t>Measure Classification</t>
  </si>
  <si>
    <t>Item</t>
  </si>
  <si>
    <t>Description</t>
  </si>
  <si>
    <t>Goal</t>
  </si>
  <si>
    <t>Weight</t>
  </si>
  <si>
    <t>Per Measure score</t>
  </si>
  <si>
    <t>Overall Score</t>
  </si>
  <si>
    <t>Quantitative Measure (100%)</t>
  </si>
  <si>
    <t>Effectiveness</t>
  </si>
  <si>
    <r>
      <t xml:space="preserve">Operations Survey </t>
    </r>
    <r>
      <rPr>
        <b/>
        <sz val="11"/>
        <color rgb="FFFF0000"/>
        <rFont val="Arial"/>
        <family val="2"/>
      </rPr>
      <t>(answered by OH, SOM, OM, TLs and ALL PSI AGENTS)</t>
    </r>
  </si>
  <si>
    <t>See tiering below</t>
  </si>
  <si>
    <t>PSI Quality (Reporting from PR)</t>
  </si>
  <si>
    <t>Team Level Score</t>
  </si>
  <si>
    <t>PSI FCR</t>
  </si>
  <si>
    <t>Site level Score</t>
  </si>
  <si>
    <t>PSI QA CE</t>
  </si>
  <si>
    <t>Mini Team (Refer to Tiering)</t>
  </si>
  <si>
    <t>Mini Team Output</t>
  </si>
  <si>
    <t>Churn Rate</t>
  </si>
  <si>
    <t>WML Churn</t>
  </si>
  <si>
    <t>Efficiency</t>
  </si>
  <si>
    <t>Attendance Rate (individual)</t>
  </si>
  <si>
    <t>actual score</t>
  </si>
  <si>
    <t>Product Knowledge</t>
  </si>
  <si>
    <t>Process Knowledge Test (self)</t>
  </si>
  <si>
    <t>Compliances</t>
  </si>
  <si>
    <t>Call Assessment &amp; Coaching Completion</t>
  </si>
  <si>
    <t>Report Timeliness (weekly &amp; monthly)</t>
  </si>
  <si>
    <t>Met/Not Met</t>
  </si>
  <si>
    <t>Leadership Commitment (25% of all WML agents coming 30 mins prior to shift and do a pre-shift huddle - meeting minutes sent through email)</t>
  </si>
  <si>
    <t>Bonus (5%)</t>
  </si>
  <si>
    <t>Bonus Points (Core team decision - consensus)</t>
  </si>
  <si>
    <t>- Commendation from the client directed to QA/CE Coach
- Innovation ideas implemented on a Personiv (approved by Paulo) and/or DexYP level (approved by client).
-POC Assignments</t>
  </si>
  <si>
    <t>Meet 1</t>
  </si>
  <si>
    <t>Tiering</t>
  </si>
  <si>
    <t>Operations Survey 
(answered by OH, SOM, OM and ALL TLs)</t>
  </si>
  <si>
    <t>3.50 to 4.00</t>
  </si>
  <si>
    <t>2.75 to 3.49</t>
  </si>
  <si>
    <t>2.00 to 2.74</t>
  </si>
  <si>
    <t>1.50 to 1.99</t>
  </si>
  <si>
    <t>less than 1.50</t>
  </si>
  <si>
    <t>No miss</t>
  </si>
  <si>
    <t>Miss 1 Report</t>
  </si>
  <si>
    <t>&gt;  1 Miss</t>
  </si>
  <si>
    <t>Mini Team Success Rate Tiering</t>
  </si>
  <si>
    <t>90% - 99.99%</t>
  </si>
  <si>
    <t>80% - 89.99%</t>
  </si>
  <si>
    <t>70% - 79.99%</t>
  </si>
  <si>
    <t>60% - 69.99%</t>
  </si>
  <si>
    <t>&lt;60%</t>
  </si>
  <si>
    <t>Timely Reporting</t>
  </si>
  <si>
    <t>Accurate Reporting</t>
  </si>
  <si>
    <r>
      <t xml:space="preserve">Operations Survey </t>
    </r>
    <r>
      <rPr>
        <b/>
        <sz val="10"/>
        <color rgb="FFFF0000"/>
        <rFont val="Arial"/>
        <family val="2"/>
      </rPr>
      <t>(answered by OH, SOM, OM and ALL TL)</t>
    </r>
  </si>
  <si>
    <t>Attendance</t>
  </si>
  <si>
    <t>Attendance Rate (actual score - individual)</t>
  </si>
  <si>
    <t>Bonus Points</t>
  </si>
  <si>
    <t>- Commendation from the client directed to the individual
- Innovation ideas implemented on a Personiv (approved by Paulo) and DexYP level (approved by client).
- Core team decision (consensus)</t>
  </si>
  <si>
    <t>Timely and Accurate Reporting</t>
  </si>
  <si>
    <t>0 Misses</t>
  </si>
  <si>
    <t>1 Miss</t>
  </si>
  <si>
    <t>2 misses and above</t>
  </si>
  <si>
    <t>CAPUNO, Jewelson</t>
  </si>
  <si>
    <t>NO</t>
  </si>
  <si>
    <t>MEASURE CLASSIFICATION</t>
  </si>
  <si>
    <t>ITEM</t>
  </si>
  <si>
    <t>DESCRIPTION</t>
  </si>
  <si>
    <t>GOAL</t>
  </si>
  <si>
    <t>ACTUAL</t>
  </si>
  <si>
    <t>Timely Task Completion and Response to Client</t>
  </si>
  <si>
    <t>Accurate Completion of Tasks</t>
  </si>
  <si>
    <t>Operations Survey (Leisa Bates)</t>
  </si>
  <si>
    <t>Operations Survey (answered by Leisa Bates)</t>
  </si>
  <si>
    <t>3.00 to 4.00</t>
  </si>
  <si>
    <t>2.00 to 2.99</t>
  </si>
  <si>
    <t>1.00 to 1.99</t>
  </si>
  <si>
    <t>0 to 0.99</t>
  </si>
  <si>
    <t>EFFECTIVENESS</t>
  </si>
  <si>
    <t>EFFICIENCY</t>
  </si>
  <si>
    <t>CLIENT ESCALATIONS</t>
  </si>
  <si>
    <t>ABRERA, Christian Henry</t>
  </si>
  <si>
    <t>Logistics Executive</t>
  </si>
  <si>
    <t>LAUZON, Nicah</t>
  </si>
  <si>
    <t>Count of Escalation</t>
  </si>
  <si>
    <t>OVERALL SCORE</t>
  </si>
  <si>
    <t>Quantitative Measure (95%)</t>
  </si>
  <si>
    <t>Scorecard Roll-Up (site wide)</t>
  </si>
  <si>
    <t>Roll-up</t>
  </si>
  <si>
    <t>Client Escalations</t>
  </si>
  <si>
    <t>Escalation from Clients  - external &amp; internal (reaching Mike V,  DG and Paulo and clients)</t>
  </si>
  <si>
    <t xml:space="preserve">&lt; 2 </t>
  </si>
  <si>
    <t>Qualitative Measure (5%)</t>
  </si>
  <si>
    <t>Bonus</t>
  </si>
  <si>
    <t>1. Commendation from the client
2. Issue identifier (client-approved)
3. Issue resolver (client-approved)
4. Innovation ideas implemented on a Personiv (approved by Paulo) and/or DexYP level (approved by client).
5. OM Initiated (core-team approved)</t>
  </si>
  <si>
    <t>Met 1</t>
  </si>
  <si>
    <t>SPECIFIC ROLE</t>
  </si>
  <si>
    <t>refer to tier</t>
  </si>
  <si>
    <t>met 1</t>
  </si>
  <si>
    <t>Web Designer - Logo</t>
  </si>
  <si>
    <t>Web Designer - Custom</t>
  </si>
  <si>
    <t>Web Designer - MD+YB</t>
  </si>
  <si>
    <t>SMRA (DBA)</t>
  </si>
  <si>
    <t>Actual Score</t>
  </si>
  <si>
    <t>Refer to Tier</t>
  </si>
  <si>
    <t>TIERS:</t>
  </si>
  <si>
    <t>QC DISPUTE</t>
  </si>
  <si>
    <t xml:space="preserve">VALID DISPUTE COUNT </t>
  </si>
  <si>
    <t>0-1</t>
  </si>
  <si>
    <t>8 and above</t>
  </si>
  <si>
    <t>Design Churn Tiering</t>
  </si>
  <si>
    <t>0%-20.99%</t>
  </si>
  <si>
    <t>21%-39.99%</t>
  </si>
  <si>
    <t>40%-59.99%</t>
  </si>
  <si>
    <t>60%-69.99%</t>
  </si>
  <si>
    <t>70%-79.99%</t>
  </si>
  <si>
    <t>80%-89.99%</t>
  </si>
  <si>
    <t>90%-99.99%</t>
  </si>
  <si>
    <t>Disputed Audit Work (external)</t>
  </si>
  <si>
    <t>&gt;2</t>
  </si>
  <si>
    <t>Attrition (cluster level | excluding promotion, transfers)</t>
  </si>
  <si>
    <t>&gt; 1</t>
  </si>
  <si>
    <t>Coaching Compliance</t>
  </si>
  <si>
    <t>PKT DISPUTE (NOEL)</t>
  </si>
  <si>
    <t>2 and above</t>
  </si>
  <si>
    <t>RESOURCES</t>
  </si>
  <si>
    <t>SUPERVISORS</t>
  </si>
  <si>
    <t>ALLINGAG, Edwin Jr.</t>
  </si>
  <si>
    <t>AMON, Katrina</t>
  </si>
  <si>
    <t>ANASTACIO, Nichole Jan A.</t>
  </si>
  <si>
    <t>ANOVA, Michelle</t>
  </si>
  <si>
    <t>ARCABOS, Jerome</t>
  </si>
  <si>
    <t>ARCEO, LUKE</t>
  </si>
  <si>
    <t>ARGAO, Paul Christian</t>
  </si>
  <si>
    <t>ASERON, Rhyalyn</t>
  </si>
  <si>
    <t>KPIs</t>
  </si>
  <si>
    <t>WEIGHT %</t>
  </si>
  <si>
    <t>SCORE%</t>
  </si>
  <si>
    <t>BACURIN, Apolinario Jr.</t>
  </si>
  <si>
    <t>BALBALOSA, Jomari</t>
  </si>
  <si>
    <t>BALINTONG, Mark Christian</t>
  </si>
  <si>
    <t>BATAYON, Eloisa V.</t>
  </si>
  <si>
    <t>BAUN, John Neil</t>
  </si>
  <si>
    <t>BELESINA, Rizza Mei</t>
  </si>
  <si>
    <t>BELTRAN, Shaira</t>
  </si>
  <si>
    <t>BLANCAFLOR, Kim Bryan</t>
  </si>
  <si>
    <t>BORELA, Shaira mae C.</t>
  </si>
  <si>
    <t>BRAGADO, Paulo</t>
  </si>
  <si>
    <t>BUNA, Jayson</t>
  </si>
  <si>
    <t>CAJULAO, Shanty</t>
  </si>
  <si>
    <t>CANAYON, Mark Anthony</t>
  </si>
  <si>
    <t>CANTAL, Jinky</t>
  </si>
  <si>
    <t>CARAIG, Rolando Jr.</t>
  </si>
  <si>
    <t>CONDES, Geraldine</t>
  </si>
  <si>
    <t>CONSTANTINO, Diana Rose</t>
  </si>
  <si>
    <t>CRUZ, Ma. Bettina</t>
  </si>
  <si>
    <t>CRUZ, Rowel</t>
  </si>
  <si>
    <t>DE GUZMAN, Monneyr Jhon</t>
  </si>
  <si>
    <t>DE JESUS, Bryan Michael</t>
  </si>
  <si>
    <t>DE LEON, Jessna Marie</t>
  </si>
  <si>
    <t>De Luna,Annalyn</t>
  </si>
  <si>
    <t>DEDEL, Paul Andrew</t>
  </si>
  <si>
    <t>DEL MUNDO, Emmalyn</t>
  </si>
  <si>
    <t>DELA CRUZ, Aira Regina</t>
  </si>
  <si>
    <t>DELA PAZ, Eldon</t>
  </si>
  <si>
    <t>DELOS REYES, Vernard</t>
  </si>
  <si>
    <t>DIAZ, Ed Joshua</t>
  </si>
  <si>
    <t>DIAZ, Jordan</t>
  </si>
  <si>
    <t>DIAZ, Sharmaine</t>
  </si>
  <si>
    <t>DIAZ, Shiela Marie</t>
  </si>
  <si>
    <t>DICTADO, Francismel</t>
  </si>
  <si>
    <t>DIKIT, Marichris A.</t>
  </si>
  <si>
    <t>DIZON, Justin Ivan</t>
  </si>
  <si>
    <t>DOMINGO, Marimar</t>
  </si>
  <si>
    <t>ENCINARES, Jade</t>
  </si>
  <si>
    <t>ENCINAS, Aaron</t>
  </si>
  <si>
    <t>ENRIQUEZ, Amiel Jaeso</t>
  </si>
  <si>
    <t>ESGUERRA, Nomar</t>
  </si>
  <si>
    <t>ESTRELLA, Daryl Angelo</t>
  </si>
  <si>
    <t>FABICON, John Gabriel</t>
  </si>
  <si>
    <t>FABURADA, Booz Joshua</t>
  </si>
  <si>
    <t>FERNANDEZ, Elmer</t>
  </si>
  <si>
    <t>FERNANDEZ, Raymond</t>
  </si>
  <si>
    <t>GALANG, Carl Anthony</t>
  </si>
  <si>
    <t>GALES, Dionel S.</t>
  </si>
  <si>
    <t>GALES, Gerald John</t>
  </si>
  <si>
    <t>GARCIA, Marc Ranielle</t>
  </si>
  <si>
    <t>GLORY, Mary Jane</t>
  </si>
  <si>
    <t>GONZAGA, Ayra</t>
  </si>
  <si>
    <t>GONZALES, Renzy Elaine</t>
  </si>
  <si>
    <t>GOROSPE, Dyan Jay</t>
  </si>
  <si>
    <t>GUDEN, Jack Thomson</t>
  </si>
  <si>
    <t>GUTIERREZ, Jose Armando II</t>
  </si>
  <si>
    <t xml:space="preserve">HERNAEZ,  Shaira Mae </t>
  </si>
  <si>
    <t>HONRADO, Rhea L.</t>
  </si>
  <si>
    <t>INOCENTES, Mharvic</t>
  </si>
  <si>
    <t>LAGAYA, Adrian R.</t>
  </si>
  <si>
    <t>LANSIGAN, Ericka R.</t>
  </si>
  <si>
    <t>LARDIZABAL, Jan</t>
  </si>
  <si>
    <t>LAT, Dianne Grace</t>
  </si>
  <si>
    <t>LATAYAN, Kier</t>
  </si>
  <si>
    <t>LIAD, Angelica</t>
  </si>
  <si>
    <t>LITAM, John Dexter M.</t>
  </si>
  <si>
    <t>LUGO, Noriel Bernard</t>
  </si>
  <si>
    <t>MACALALAD, Angelica</t>
  </si>
  <si>
    <t>MACOROL, Jean Erika</t>
  </si>
  <si>
    <t>MAGPOC, Marlon</t>
  </si>
  <si>
    <t>MALINBAN, Anica Jahna</t>
  </si>
  <si>
    <t>MAMOLO, Shermin Joy</t>
  </si>
  <si>
    <t>MANALO, Paul Alexius</t>
  </si>
  <si>
    <t>MANICLANG, Kristian Jay</t>
  </si>
  <si>
    <t>MARTINEZ, Lycel</t>
  </si>
  <si>
    <t>MEDRANO, Rouselle</t>
  </si>
  <si>
    <t>MENDOZA, Ken Andrei</t>
  </si>
  <si>
    <t>MENDOZA, Maria Jeraldine</t>
  </si>
  <si>
    <t>MERCADO, Jennyfer</t>
  </si>
  <si>
    <t>MERCADO, Roseann</t>
  </si>
  <si>
    <t>Moldes,Rainer Allan</t>
  </si>
  <si>
    <t>MOLON, John Nico</t>
  </si>
  <si>
    <t>MONTEREY, Jayveneil</t>
  </si>
  <si>
    <t>MONZON, Pauline Joyce</t>
  </si>
  <si>
    <t>MORADA, Jerome F.</t>
  </si>
  <si>
    <t>MUNOZ, Jerwin</t>
  </si>
  <si>
    <t>NAPALANG, Ezekiel L.</t>
  </si>
  <si>
    <t>NARCISO, Harty Jones</t>
  </si>
  <si>
    <t>NAVAL, Mary Grace</t>
  </si>
  <si>
    <t>NIELO, Angelica</t>
  </si>
  <si>
    <t>OBISPO, Mary Ruth Suzaine</t>
  </si>
  <si>
    <t>OCENAR, Pauline Sienne</t>
  </si>
  <si>
    <t>OMAMBAC, Jimsen</t>
  </si>
  <si>
    <t>ORTILLANO, Lizbert</t>
  </si>
  <si>
    <t>PADERAGAO, Rickzel S.</t>
  </si>
  <si>
    <t>PADUA, Rhiyana Venise</t>
  </si>
  <si>
    <t>PAREDES, Ma. Ann-Jelette</t>
  </si>
  <si>
    <t>PARIÑAS JOESEPH DEINNIEL</t>
  </si>
  <si>
    <t>PARRILLA, Cristina May</t>
  </si>
  <si>
    <t>PASCUAL, Catherine</t>
  </si>
  <si>
    <t>PASCUAL, Cyrus Ian</t>
  </si>
  <si>
    <t>PELAGIO, Michael Dominic</t>
  </si>
  <si>
    <t>PELAYO, Erwin Reiner</t>
  </si>
  <si>
    <t>PELEGRINO, Kristian Dave</t>
  </si>
  <si>
    <t>PIMENTEL, Stephanie</t>
  </si>
  <si>
    <t>PRADO, Alvin</t>
  </si>
  <si>
    <t>RABE, Darren</t>
  </si>
  <si>
    <t>RALLECA, Mary Carl Dorotea</t>
  </si>
  <si>
    <t>RANERA, Jedalyn</t>
  </si>
  <si>
    <t>Rempillo,Francis</t>
  </si>
  <si>
    <t>RICO, Cler</t>
  </si>
  <si>
    <t>RODRIGUEZ, Allan</t>
  </si>
  <si>
    <t>ROQUE, Christian Mari</t>
  </si>
  <si>
    <t xml:space="preserve">ROSETE, John Anthony </t>
  </si>
  <si>
    <t>SALAMANTE, Daniell Erik</t>
  </si>
  <si>
    <t>SALUMBIDES, Romniel</t>
  </si>
  <si>
    <t>SANDOVAL, Mariann R.</t>
  </si>
  <si>
    <t>SANTIAGO, Almar Abraham</t>
  </si>
  <si>
    <t>SANTOS, Hannah Elkanah</t>
  </si>
  <si>
    <t>SAULON, John Archer</t>
  </si>
  <si>
    <t>SESTOSO, Patrice Ann</t>
  </si>
  <si>
    <t>SUAREZ, Dante</t>
  </si>
  <si>
    <t>SUMALINOG, Rose-Ann</t>
  </si>
  <si>
    <t>SURBONA, Sean</t>
  </si>
  <si>
    <t>TALANIA, Dean Felix</t>
  </si>
  <si>
    <t>TIGLEY, Emmanuel</t>
  </si>
  <si>
    <t>TORRES, Julie Ann</t>
  </si>
  <si>
    <t>TORRES, Sheena</t>
  </si>
  <si>
    <t>Trinidad, Nesser Carlo</t>
  </si>
  <si>
    <t>VARGAS, Winnie</t>
  </si>
  <si>
    <t>VILLABRIGA, Daryl</t>
  </si>
  <si>
    <t>VILLAREAL, Marijun</t>
  </si>
  <si>
    <t>VILLARMENTE, Kimberly</t>
  </si>
  <si>
    <t>ATTRITION SCORE</t>
  </si>
  <si>
    <t>Emp ID</t>
  </si>
  <si>
    <t>Employee Name</t>
  </si>
  <si>
    <t>Supervisor</t>
  </si>
  <si>
    <t>Operations Manager</t>
  </si>
  <si>
    <t>Date of Resignation</t>
  </si>
  <si>
    <t>WS Attrition</t>
  </si>
  <si>
    <t>Separation Type</t>
  </si>
  <si>
    <t>Reason/s for Leaving</t>
  </si>
  <si>
    <t>Reason Category</t>
  </si>
  <si>
    <t>Remarks</t>
  </si>
  <si>
    <t>ATTRITION COUNT</t>
  </si>
  <si>
    <t>Mendoza, Maria Jeraldine</t>
  </si>
  <si>
    <t>Katherine Arpon</t>
  </si>
  <si>
    <t>Ryan Pasquin</t>
  </si>
  <si>
    <t>Baun, John Neil G.</t>
  </si>
  <si>
    <t>Renell Barrios</t>
  </si>
  <si>
    <t>December 2019 OM Attrition</t>
  </si>
  <si>
    <t>Starting HC</t>
  </si>
  <si>
    <t>Final HC</t>
  </si>
  <si>
    <t>Ave HC</t>
  </si>
  <si>
    <t>Attrition</t>
  </si>
  <si>
    <t>Attrition%</t>
  </si>
  <si>
    <t>Attrition Grade</t>
  </si>
  <si>
    <t>Tiering for Managers</t>
  </si>
  <si>
    <t>OM MENDOZA, Carlo</t>
  </si>
  <si>
    <t>2% &amp; below</t>
  </si>
  <si>
    <t>2.01% to 3%</t>
  </si>
  <si>
    <t>TOTAL</t>
  </si>
  <si>
    <t>3.01% to 4%</t>
  </si>
  <si>
    <t>above 4%</t>
  </si>
  <si>
    <t>EMPLOYEE NO.</t>
  </si>
  <si>
    <t>WEEK</t>
  </si>
  <si>
    <t>CALIBRATION SCORE</t>
  </si>
  <si>
    <t>REMARKS</t>
  </si>
  <si>
    <t>Correct Answers</t>
  </si>
  <si>
    <t>Total Items</t>
  </si>
  <si>
    <t>TEAM</t>
  </si>
  <si>
    <t>ACTUAL SCORE</t>
  </si>
  <si>
    <t>CHURN CALIBRATION SCORE MTD</t>
  </si>
  <si>
    <t>Churn Calibration Tiering</t>
  </si>
  <si>
    <t>80% to 100%</t>
  </si>
  <si>
    <t>70% to 79.99%</t>
  </si>
  <si>
    <t>60% to 69.99%</t>
  </si>
  <si>
    <t>Coreleave</t>
  </si>
  <si>
    <t>&lt; 60%</t>
  </si>
  <si>
    <t>CLUSTER</t>
  </si>
  <si>
    <t>DATE OF SUBMISSION</t>
  </si>
  <si>
    <t>EMP. NO.</t>
  </si>
  <si>
    <t>CORRECT ANSWER</t>
  </si>
  <si>
    <t>TOTAL ITEMS</t>
  </si>
  <si>
    <t>PR CALIBRATION SCORE</t>
  </si>
  <si>
    <t>MTD</t>
  </si>
  <si>
    <t>PR Calibration Tiering</t>
  </si>
  <si>
    <t>CORELEAVE</t>
  </si>
  <si>
    <t>TOMO, Irand Alyssa</t>
  </si>
  <si>
    <t>Leave</t>
  </si>
  <si>
    <t>POINTS AND HOURS</t>
  </si>
  <si>
    <t>Week 1</t>
  </si>
  <si>
    <t>Week 2</t>
  </si>
  <si>
    <t>Week 3</t>
  </si>
  <si>
    <t>Week 4</t>
  </si>
  <si>
    <t>Week 5</t>
  </si>
  <si>
    <t>% of Goal</t>
  </si>
  <si>
    <t>POINTS</t>
  </si>
  <si>
    <t>HOURS</t>
  </si>
  <si>
    <t>DAYS</t>
  </si>
  <si>
    <t>POINTS/DAY</t>
  </si>
  <si>
    <t>PRODUCTIVITY SCORE</t>
  </si>
  <si>
    <t>TOTAL GOAL</t>
  </si>
  <si>
    <t>TARGET DEDUCTION</t>
  </si>
  <si>
    <t>SCHEDULED - HOURS (for productivity)</t>
  </si>
  <si>
    <t>DEC MTD</t>
  </si>
  <si>
    <t>VQAs</t>
  </si>
  <si>
    <t>RESOURCES' ATTENDANCE</t>
  </si>
  <si>
    <t>TEAM LEADERS' ATTENDANCE</t>
  </si>
  <si>
    <t>Tower Head</t>
  </si>
  <si>
    <t>Team Leader</t>
  </si>
  <si>
    <t>Manager</t>
  </si>
  <si>
    <t>Name</t>
  </si>
  <si>
    <t>Employee ID</t>
  </si>
  <si>
    <t>Shift Count</t>
  </si>
  <si>
    <t>Total Scheduled Hours</t>
  </si>
  <si>
    <t>Planned Leaves</t>
  </si>
  <si>
    <t>Hours</t>
  </si>
  <si>
    <t>Total Lost Hours</t>
  </si>
  <si>
    <t>Lost Hours Rate</t>
  </si>
  <si>
    <t>Reliability Rate</t>
  </si>
  <si>
    <t>Absenteeism Rate</t>
  </si>
  <si>
    <t>Attendance Rate</t>
  </si>
  <si>
    <t>Approved OT Hours</t>
  </si>
  <si>
    <t>Unplanned Leaves</t>
  </si>
  <si>
    <t>Tardy</t>
  </si>
  <si>
    <t>UnderTime</t>
  </si>
  <si>
    <t>Over Breaks</t>
  </si>
  <si>
    <t>Cost Center</t>
  </si>
  <si>
    <t>Head Count</t>
  </si>
  <si>
    <t>Total Shift Scheduled</t>
  </si>
  <si>
    <t>Lost Hour Rate</t>
  </si>
  <si>
    <t>OT HOURS (Approved)</t>
  </si>
  <si>
    <t>Designation</t>
  </si>
  <si>
    <t>VENTANILLA, MICHAEL T.</t>
  </si>
  <si>
    <t>CEDENO, KARLEEN MATTHEA M.</t>
  </si>
  <si>
    <t>TAGUILASO, DARYL B.</t>
  </si>
  <si>
    <t>ABRERA, CHRISTIAN HENRY N.</t>
  </si>
  <si>
    <t>DEXYP DIGITAL FULFILLMENT</t>
  </si>
  <si>
    <t>JAYAWON, FRANKLIN C.</t>
  </si>
  <si>
    <t>BARRIOS, RENELL A.</t>
  </si>
  <si>
    <t>CRUZ, NOEL D.</t>
  </si>
  <si>
    <t>LAPASTORA, MARK ANTHONY P.</t>
  </si>
  <si>
    <t>REMULLA, APPLE GRACE D.</t>
  </si>
  <si>
    <t>PASQUIN, RYAN E.</t>
  </si>
  <si>
    <t>REYES, ARTHUR Q., JR.</t>
  </si>
  <si>
    <t>REGENCIA, REYMARK D.</t>
  </si>
  <si>
    <t>ARPON, KATHERINE JANICE C.</t>
  </si>
  <si>
    <t>ANOVA, MICHELLE C.</t>
  </si>
  <si>
    <t>MENDIOLA, ANTHONY F.</t>
  </si>
  <si>
    <t>FLORES, EMMANUEL A.</t>
  </si>
  <si>
    <t>DE LOS SANTOS, RICHARD A.</t>
  </si>
  <si>
    <t>CAPUNO, JEWELSON D.</t>
  </si>
  <si>
    <t>DE GUZMAN, MONNEYR-JHON D.</t>
  </si>
  <si>
    <t>DE JESUS, BRYAN MICHAEL M.</t>
  </si>
  <si>
    <t>DE LUNA, ANNALYN F.</t>
  </si>
  <si>
    <t>DIAZ, JORDAN D.</t>
  </si>
  <si>
    <t>GLORY, MARY JANE N.</t>
  </si>
  <si>
    <t>LAUZON, NICAH F.</t>
  </si>
  <si>
    <t>LAZARO, SANTY A.</t>
  </si>
  <si>
    <t>MENDOZA, KEN ANDREI S.</t>
  </si>
  <si>
    <t>MENDOZA, MARIA JERALDINE J.</t>
  </si>
  <si>
    <t>MOLDES, RANIER ALLAN S.</t>
  </si>
  <si>
    <t>PAREDES, MA. ANN-JELETTE T.</t>
  </si>
  <si>
    <t>PARIÑAS, JOESEPH DEINNIEL R.</t>
  </si>
  <si>
    <t>REMPILLO, FRANCIS R.</t>
  </si>
  <si>
    <t>RICO, CLER P.</t>
  </si>
  <si>
    <t>SANTOS, HANNAH ELKANAH L.</t>
  </si>
  <si>
    <t>SOMERA, LARRY M.</t>
  </si>
  <si>
    <t>SUMALINOG, ROSE-ANN B.</t>
  </si>
  <si>
    <t>TORRES, JULIE ANN A.</t>
  </si>
  <si>
    <t>QA SCORE</t>
  </si>
  <si>
    <t># OF VALID DISPUTES</t>
  </si>
  <si>
    <t>resource</t>
  </si>
  <si>
    <t>MOBILE/BANNER DESIGNER</t>
  </si>
  <si>
    <t>PROOFREADER</t>
  </si>
  <si>
    <t>EMP. #</t>
  </si>
  <si>
    <t>NAMES</t>
  </si>
  <si>
    <t>MOBILE</t>
  </si>
  <si>
    <t>BANNER</t>
  </si>
  <si>
    <t>MOBILE/BANNER</t>
  </si>
  <si>
    <t>THRYV</t>
  </si>
  <si>
    <t>BAU - Mobile Display / YP Banner (60%)</t>
  </si>
  <si>
    <t>MODS - Mobile Display / YP Banner (40%)</t>
  </si>
  <si>
    <t>Web Design BAU (60%)</t>
  </si>
  <si>
    <t>Web Design MODS (40%)</t>
  </si>
  <si>
    <t>LOGO DESIGNERS</t>
  </si>
  <si>
    <t>Logo Quality</t>
  </si>
  <si>
    <t>Roll-up Score</t>
  </si>
  <si>
    <t>LOGO</t>
  </si>
  <si>
    <t>Logo Designer/Wed Designer</t>
  </si>
  <si>
    <t>TIGLEY, Emman</t>
  </si>
  <si>
    <t>DBA/PR</t>
  </si>
  <si>
    <t xml:space="preserve"> VILLAREAL, Marijun</t>
  </si>
  <si>
    <t>HERNAEZ,  Shaira Mae</t>
  </si>
  <si>
    <t>ROSETE, John Anthony</t>
  </si>
  <si>
    <t>CE SCORE</t>
  </si>
  <si>
    <t>FOLLOW-UP</t>
  </si>
  <si>
    <t>MANAGER</t>
  </si>
  <si>
    <t>COMPLETED</t>
  </si>
  <si>
    <t>COMPLETION %</t>
  </si>
  <si>
    <t>Cruz, Noel</t>
  </si>
  <si>
    <t>Cedeno, Karleen Matthea</t>
  </si>
  <si>
    <t>WEEK 1</t>
  </si>
  <si>
    <t>Delos Santos, Richard</t>
  </si>
  <si>
    <t>Flores, Emmanuel</t>
  </si>
  <si>
    <t>Barrios, Renell</t>
  </si>
  <si>
    <t>Jayawon, Franklin</t>
  </si>
  <si>
    <t>Lapastora, Mark Anthony</t>
  </si>
  <si>
    <t>Arpon, Katherine Janice</t>
  </si>
  <si>
    <t>Reyes, Arthur Jr.</t>
  </si>
  <si>
    <t>SABIO, Joshua</t>
  </si>
  <si>
    <t>Mendiola, Anthony</t>
  </si>
  <si>
    <t>Remulla, Apple Grace</t>
  </si>
  <si>
    <t>Regencia, Reymark</t>
  </si>
  <si>
    <t>MANAGERS</t>
  </si>
  <si>
    <t>WEEK 2</t>
  </si>
  <si>
    <t>WEEK 3</t>
  </si>
  <si>
    <t>WEEK 4</t>
  </si>
  <si>
    <t>WEEK 5</t>
  </si>
  <si>
    <t>EMP ID</t>
  </si>
  <si>
    <t>IMMEDIATE SUPERVISOR</t>
  </si>
  <si>
    <t>RESULT</t>
  </si>
  <si>
    <t>Team</t>
  </si>
  <si>
    <t>Individual Score</t>
  </si>
  <si>
    <t>Team Score</t>
  </si>
  <si>
    <t>Level</t>
  </si>
  <si>
    <t>Score</t>
  </si>
  <si>
    <t>December</t>
  </si>
  <si>
    <t>Site Level</t>
  </si>
  <si>
    <t>Average per Role</t>
  </si>
  <si>
    <t>LOA</t>
  </si>
  <si>
    <t>QA/CE Coach</t>
  </si>
  <si>
    <t>Cluster</t>
  </si>
  <si>
    <t>SL</t>
  </si>
  <si>
    <t>Exempted</t>
  </si>
  <si>
    <t>LAZARO, Santy</t>
  </si>
  <si>
    <t>On VL</t>
  </si>
  <si>
    <t>Core Leave</t>
  </si>
  <si>
    <t>Resigned</t>
  </si>
  <si>
    <t>ERROR</t>
  </si>
  <si>
    <t>LINE ITEMS</t>
  </si>
  <si>
    <t>Resource</t>
  </si>
  <si>
    <t>VALID DISPUTES</t>
  </si>
  <si>
    <t>DISPUTES SCORES</t>
  </si>
  <si>
    <t>DIAZ, JORDAN</t>
  </si>
  <si>
    <t>COUNT OF VALID DISPUTES</t>
  </si>
  <si>
    <t>KUDOS</t>
  </si>
  <si>
    <t>CORE TEAM</t>
  </si>
  <si>
    <t>FLORES, EMMANUEL</t>
  </si>
  <si>
    <t>ü</t>
  </si>
  <si>
    <t>CEDEÑO, Karleen</t>
  </si>
  <si>
    <t>Leading the Johnny Ernie and Gary activity</t>
  </si>
  <si>
    <t>November Awarding Contributor (during client visit)</t>
  </si>
  <si>
    <t>ANASTACIO, Nic</t>
  </si>
  <si>
    <t xml:space="preserve">Creating the logo for DF Speaks </t>
  </si>
  <si>
    <t>Wall of Fame</t>
  </si>
  <si>
    <t>RABANERA, Jomar</t>
  </si>
  <si>
    <t>SALAZAR, Renz</t>
  </si>
  <si>
    <t>MORADA, Jerome</t>
  </si>
  <si>
    <t>Video Coverage</t>
  </si>
  <si>
    <t>TRINIDAD, Nesser Carlo</t>
  </si>
  <si>
    <t>Flash Mob Dancer</t>
  </si>
  <si>
    <t>SUMALINOG, Rose Ann</t>
  </si>
  <si>
    <t>LUMABAN, Kim Lawrence</t>
  </si>
  <si>
    <t>DE GUZMAN, Monneyr John</t>
  </si>
  <si>
    <t>HERNAEZ, Shaira</t>
  </si>
  <si>
    <t>CARAIG, Rolando</t>
  </si>
  <si>
    <t>HONRADO, Rhea</t>
  </si>
  <si>
    <t>MAROTO, Arjiel</t>
  </si>
  <si>
    <t>Monthly Website Design Competition</t>
  </si>
  <si>
    <t>LANSIGAN, Ericka</t>
  </si>
  <si>
    <t>ALLINGAG, Edwin</t>
  </si>
  <si>
    <t>LAPASTORA, Mark</t>
  </si>
  <si>
    <t>1st Assistant</t>
  </si>
  <si>
    <t>SESTOSO, Patrice</t>
  </si>
  <si>
    <t>For completing the Time Study Special Project for VQA</t>
  </si>
  <si>
    <t>Team POC</t>
  </si>
  <si>
    <t>ARANAS, Emmalyn</t>
  </si>
  <si>
    <t>Team POC, taking supp calls</t>
  </si>
  <si>
    <t>Email to case POC</t>
  </si>
  <si>
    <t xml:space="preserve">ORTILLANO, Lizbert </t>
  </si>
  <si>
    <t xml:space="preserve">Encinares, Jade </t>
  </si>
  <si>
    <t xml:space="preserve">Padua, Rhiyana </t>
  </si>
  <si>
    <t>Ageing Cases POC</t>
  </si>
  <si>
    <t xml:space="preserve">DIKIT, Marichris </t>
  </si>
  <si>
    <t>• Web Maintenance Email
- Workload Distribution
- EOD Report
- Ensures cases are monitored</t>
  </si>
  <si>
    <t>• Attendance Tracker
• Floorwalk if Emcy is unavailable
• Ensures surveys are completed</t>
  </si>
  <si>
    <t>DIAZ, Shiela</t>
  </si>
  <si>
    <t>• WML callback
- Ensure the callbacks are being done within the day
- Manage the callback</t>
  </si>
  <si>
    <t>FCR - AGENT SUMMARY</t>
  </si>
  <si>
    <t>Months</t>
  </si>
  <si>
    <t>Mar</t>
  </si>
  <si>
    <t>ALCASABAS, Aimee</t>
  </si>
  <si>
    <t>ALCASABAS, AIMEE G.</t>
  </si>
  <si>
    <t>Week Range</t>
  </si>
  <si>
    <t>(All)</t>
  </si>
  <si>
    <t>AQUIATAN, John David</t>
  </si>
  <si>
    <t>John David Aquiatan</t>
  </si>
  <si>
    <t xml:space="preserve">Date </t>
  </si>
  <si>
    <t>BELGIRA, Paula Joy</t>
  </si>
  <si>
    <t>Paula Belgira</t>
  </si>
  <si>
    <t>CASPI, Janica</t>
  </si>
  <si>
    <t>Janica Caspi</t>
  </si>
  <si>
    <t>Calls Answered</t>
  </si>
  <si>
    <t xml:space="preserve"> 1st call resolution # </t>
  </si>
  <si>
    <t>1st Call Resolution %</t>
  </si>
  <si>
    <t>Jessna Marie De Leon</t>
  </si>
  <si>
    <t>Cler Rico</t>
  </si>
  <si>
    <t>Emmalyn Del Mundo</t>
  </si>
  <si>
    <t>Darren Rabe</t>
  </si>
  <si>
    <t>DELIM, Justine</t>
  </si>
  <si>
    <t>DELIM, JUSTINE V.</t>
  </si>
  <si>
    <t>Eldon Dela Paz</t>
  </si>
  <si>
    <t>DESTREZA, Carol Anne</t>
  </si>
  <si>
    <t>Carol Anne Destreza</t>
  </si>
  <si>
    <t>Marichris Dikit</t>
  </si>
  <si>
    <t>Harty Narcisso</t>
  </si>
  <si>
    <t>Jade Balanun Encinares</t>
  </si>
  <si>
    <t>Renzy Elaine Gonzales</t>
  </si>
  <si>
    <t>Jayson Buna</t>
  </si>
  <si>
    <t>HERNANDEZ, Rochelle S</t>
  </si>
  <si>
    <t>Rochelle Hernandez</t>
  </si>
  <si>
    <t>Lizbert Ortillano</t>
  </si>
  <si>
    <t>MAGPANTAY, Dexter</t>
  </si>
  <si>
    <t>Dexter Magpantay</t>
  </si>
  <si>
    <t>Mariann Sandoval</t>
  </si>
  <si>
    <t>Erwin Reiner Pelayo</t>
  </si>
  <si>
    <t>Marimar Domingo</t>
  </si>
  <si>
    <t>Stephanie Pimentel</t>
  </si>
  <si>
    <t>Marlon Magpoc</t>
  </si>
  <si>
    <t>Nico Molon</t>
  </si>
  <si>
    <t>Rhiyana Venise PADUA</t>
  </si>
  <si>
    <t>Sheena Torres</t>
  </si>
  <si>
    <t>BROJAN, Hector</t>
  </si>
  <si>
    <t>hector brojan</t>
  </si>
  <si>
    <t>Nichole Jan Anastacio</t>
  </si>
  <si>
    <t>Luke Arceo</t>
  </si>
  <si>
    <t>John Neil Baun</t>
  </si>
  <si>
    <t>Michael Dominic Pelagio</t>
  </si>
  <si>
    <t>Sheila Marie Diaz</t>
  </si>
  <si>
    <t>Raymond Fernandez</t>
  </si>
  <si>
    <t>Shaira Mae Borela</t>
  </si>
  <si>
    <t>VALENZUELA, Janis</t>
  </si>
  <si>
    <t>Janis Valenzuela</t>
  </si>
  <si>
    <t>Rizza Belesina</t>
  </si>
  <si>
    <t>Start Date</t>
  </si>
  <si>
    <t>SITES W/ ERROR</t>
  </si>
  <si>
    <t>SITES AUDITED</t>
  </si>
  <si>
    <t>CHURN RATE</t>
  </si>
  <si>
    <t>CHURN SCORE</t>
  </si>
  <si>
    <t xml:space="preserve">Design Churn Tiering </t>
  </si>
  <si>
    <t>End Date</t>
  </si>
  <si>
    <t>0%-4.99%</t>
  </si>
  <si>
    <t>5%-14.99%</t>
  </si>
  <si>
    <t>15%-24.99%</t>
  </si>
  <si>
    <t>25%-29.99%</t>
  </si>
  <si>
    <t xml:space="preserve">&gt; = 30% </t>
  </si>
  <si>
    <t>DESIGNER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</si>
</sst>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mmmm\ yyyy"/>
    <numFmt numFmtId="166" formatCode="0.0%"/>
    <numFmt numFmtId="167" formatCode="_([$Php-3409]* #,##0.00_);_([$Php-3409]* \(#,##0.00\);_([$Php-3409]* &quot;-&quot;??_);_(@_)"/>
  </numFmts>
  <fonts count="1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1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name val="Calibri"/>
      <family val="2"/>
    </font>
    <font>
      <sz val="11"/>
      <color rgb="FF0033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7"/>
      <name val="Arial"/>
      <family val="2"/>
    </font>
    <font>
      <sz val="11"/>
      <color theme="8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41414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C00000"/>
      <name val="Arial"/>
      <family val="2"/>
    </font>
    <font>
      <u/>
      <sz val="11"/>
      <color theme="5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0"/>
      <color theme="9" tint="-0.499984740745262"/>
      <name val="Arial"/>
      <family val="2"/>
    </font>
    <font>
      <b/>
      <u/>
      <sz val="11"/>
      <color theme="4" tint="-0.499984740745262"/>
      <name val="Calibri"/>
      <family val="2"/>
      <scheme val="minor"/>
    </font>
    <font>
      <b/>
      <sz val="10"/>
      <color rgb="FFF3F3F3"/>
      <name val="Calibri"/>
      <family val="2"/>
    </font>
    <font>
      <b/>
      <sz val="10"/>
      <color rgb="FFEFEFEF"/>
      <name val="Calibri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980000"/>
      <name val="Calibri"/>
      <family val="2"/>
    </font>
    <font>
      <b/>
      <sz val="12"/>
      <color rgb="FFFFFFFF"/>
      <name val="Calibri"/>
      <family val="2"/>
    </font>
    <font>
      <sz val="10"/>
      <color theme="4" tint="-0.499984740745262"/>
      <name val="Arial"/>
      <family val="2"/>
    </font>
    <font>
      <b/>
      <u/>
      <sz val="12"/>
      <color theme="4" tint="-0.499984740745262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4" tint="-0.49998474074526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rgb="FFFFFF00"/>
      <name val="Calibri"/>
      <family val="2"/>
      <scheme val="minor"/>
    </font>
    <font>
      <b/>
      <u val="singleAccounting"/>
      <sz val="15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sz val="9"/>
      <name val="Wingdings"/>
      <charset val="2"/>
    </font>
    <font>
      <b/>
      <sz val="11"/>
      <color theme="0"/>
      <name val="Calibri"/>
      <family val="2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0" tint="-0.249977111117893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74"/>
        <bgColor rgb="FF00647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AF9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/>
      <right/>
      <top/>
      <bottom style="medium">
        <color rgb="FF376899"/>
      </bottom>
      <diagonal/>
    </border>
    <border>
      <left/>
      <right/>
      <top style="medium">
        <color rgb="FF376899"/>
      </top>
      <bottom style="medium">
        <color rgb="FF3768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/>
      <bottom style="medium">
        <color rgb="FF8EA9DB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medium">
        <color rgb="FF8EA9DB"/>
      </right>
      <top/>
      <bottom/>
      <diagonal/>
    </border>
  </borders>
  <cellStyleXfs count="41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5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17" fillId="0" borderId="0"/>
    <xf numFmtId="9" fontId="17" fillId="0" borderId="0" applyFill="0" applyBorder="0" applyAlignment="0" applyProtection="0"/>
    <xf numFmtId="9" fontId="17" fillId="0" borderId="0" applyFill="0" applyBorder="0" applyAlignment="0" applyProtection="0"/>
    <xf numFmtId="0" fontId="41" fillId="0" borderId="0" applyBorder="0" applyProtection="0"/>
    <xf numFmtId="0" fontId="40" fillId="0" borderId="0"/>
    <xf numFmtId="0" fontId="40" fillId="0" borderId="0"/>
    <xf numFmtId="0" fontId="42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3" fillId="0" borderId="0">
      <alignment horizontal="center"/>
    </xf>
    <xf numFmtId="0" fontId="44" fillId="0" borderId="0"/>
    <xf numFmtId="0" fontId="44" fillId="0" borderId="0"/>
    <xf numFmtId="0" fontId="43" fillId="0" borderId="0">
      <alignment horizontal="center" textRotation="90"/>
    </xf>
    <xf numFmtId="0" fontId="10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79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15" borderId="0" xfId="0" applyFill="1"/>
    <xf numFmtId="0" fontId="2" fillId="16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18" borderId="1" xfId="0" applyFont="1" applyFill="1" applyBorder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2" fillId="0" borderId="0" xfId="0" applyFont="1"/>
    <xf numFmtId="2" fontId="0" fillId="6" borderId="2" xfId="0" applyNumberFormat="1" applyFill="1" applyBorder="1" applyAlignment="1">
      <alignment horizontal="center"/>
    </xf>
    <xf numFmtId="2" fontId="9" fillId="15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10" fontId="0" fillId="14" borderId="0" xfId="0" applyNumberFormat="1" applyFill="1"/>
    <xf numFmtId="0" fontId="22" fillId="6" borderId="0" xfId="0" applyFont="1" applyFill="1" applyAlignment="1">
      <alignment horizontal="centerContinuous" vertical="center" wrapText="1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14" xfId="0" applyNumberFormat="1" applyBorder="1" applyAlignment="1">
      <alignment horizontal="center"/>
    </xf>
    <xf numFmtId="0" fontId="0" fillId="14" borderId="0" xfId="0" applyFill="1" applyAlignment="1">
      <alignment horizontal="center"/>
    </xf>
    <xf numFmtId="0" fontId="25" fillId="0" borderId="0" xfId="0" applyFont="1" applyAlignment="1">
      <alignment horizontal="center" wrapText="1"/>
    </xf>
    <xf numFmtId="10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/>
    </xf>
    <xf numFmtId="10" fontId="25" fillId="12" borderId="0" xfId="0" applyNumberFormat="1" applyFont="1" applyFill="1" applyAlignment="1">
      <alignment horizontal="center" wrapText="1"/>
    </xf>
    <xf numFmtId="10" fontId="0" fillId="1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10" fontId="2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0" fontId="30" fillId="7" borderId="1" xfId="0" applyNumberFormat="1" applyFont="1" applyFill="1" applyBorder="1" applyAlignment="1">
      <alignment horizontal="center"/>
    </xf>
    <xf numFmtId="10" fontId="33" fillId="17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2" fillId="15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10" fontId="19" fillId="15" borderId="1" xfId="0" applyNumberFormat="1" applyFont="1" applyFill="1" applyBorder="1" applyAlignment="1">
      <alignment horizontal="center"/>
    </xf>
    <xf numFmtId="0" fontId="36" fillId="0" borderId="0" xfId="8" applyFont="1" applyAlignment="1">
      <alignment horizontal="center"/>
    </xf>
    <xf numFmtId="0" fontId="37" fillId="0" borderId="15" xfId="8" applyFont="1" applyBorder="1" applyAlignment="1">
      <alignment horizontal="center"/>
    </xf>
    <xf numFmtId="0" fontId="36" fillId="0" borderId="0" xfId="8" applyFont="1"/>
    <xf numFmtId="0" fontId="38" fillId="0" borderId="0" xfId="8" applyFont="1"/>
    <xf numFmtId="9" fontId="36" fillId="0" borderId="0" xfId="8" applyNumberFormat="1" applyFont="1"/>
    <xf numFmtId="0" fontId="38" fillId="0" borderId="0" xfId="8" applyFont="1" applyAlignment="1">
      <alignment horizontal="center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5" fontId="17" fillId="0" borderId="1" xfId="0" applyNumberFormat="1" applyFont="1" applyBorder="1" applyAlignment="1">
      <alignment horizontal="center" wrapText="1"/>
    </xf>
    <xf numFmtId="0" fontId="22" fillId="15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wrapText="1"/>
    </xf>
    <xf numFmtId="1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0" fontId="28" fillId="34" borderId="1" xfId="0" applyNumberFormat="1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10" fontId="0" fillId="17" borderId="1" xfId="0" applyNumberFormat="1" applyFill="1" applyBorder="1" applyAlignment="1">
      <alignment horizontal="center"/>
    </xf>
    <xf numFmtId="10" fontId="0" fillId="15" borderId="0" xfId="0" applyNumberFormat="1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Alignment="1">
      <alignment horizontal="center"/>
    </xf>
    <xf numFmtId="0" fontId="45" fillId="7" borderId="1" xfId="0" applyFont="1" applyFill="1" applyBorder="1" applyAlignment="1">
      <alignment horizontal="center"/>
    </xf>
    <xf numFmtId="0" fontId="16" fillId="0" borderId="1" xfId="13" applyFont="1" applyBorder="1" applyAlignment="1">
      <alignment horizontal="center"/>
    </xf>
    <xf numFmtId="9" fontId="18" fillId="0" borderId="1" xfId="13" applyNumberFormat="1" applyFont="1" applyBorder="1" applyAlignment="1">
      <alignment horizontal="center"/>
    </xf>
    <xf numFmtId="0" fontId="18" fillId="0" borderId="1" xfId="13" applyFont="1" applyBorder="1" applyAlignment="1">
      <alignment horizontal="center"/>
    </xf>
    <xf numFmtId="0" fontId="48" fillId="28" borderId="0" xfId="0" applyFont="1" applyFill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31" fillId="0" borderId="0" xfId="0" applyFont="1"/>
    <xf numFmtId="0" fontId="52" fillId="0" borderId="0" xfId="0" applyFont="1" applyAlignment="1">
      <alignment horizontal="center"/>
    </xf>
    <xf numFmtId="2" fontId="52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51" fillId="35" borderId="0" xfId="0" applyFont="1" applyFill="1" applyAlignment="1">
      <alignment horizontal="center"/>
    </xf>
    <xf numFmtId="14" fontId="51" fillId="35" borderId="0" xfId="0" applyNumberFormat="1" applyFont="1" applyFill="1" applyAlignment="1">
      <alignment horizontal="center"/>
    </xf>
    <xf numFmtId="2" fontId="51" fillId="35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14" fillId="18" borderId="0" xfId="19" applyFont="1" applyFill="1" applyAlignment="1">
      <alignment horizontal="center" vertical="center" wrapText="1"/>
    </xf>
    <xf numFmtId="0" fontId="14" fillId="18" borderId="0" xfId="19" applyFont="1" applyFill="1" applyAlignment="1">
      <alignment vertical="center" wrapText="1"/>
    </xf>
    <xf numFmtId="0" fontId="14" fillId="18" borderId="0" xfId="19" applyFont="1" applyFill="1" applyAlignment="1">
      <alignment horizontal="left" vertical="center" wrapText="1"/>
    </xf>
    <xf numFmtId="0" fontId="13" fillId="10" borderId="1" xfId="19" applyFont="1" applyFill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/>
    </xf>
    <xf numFmtId="0" fontId="16" fillId="0" borderId="1" xfId="13" applyFont="1" applyBorder="1" applyAlignment="1">
      <alignment horizontal="center" vertical="center" wrapText="1"/>
    </xf>
    <xf numFmtId="0" fontId="17" fillId="0" borderId="0" xfId="13"/>
    <xf numFmtId="0" fontId="18" fillId="0" borderId="1" xfId="13" applyFont="1" applyBorder="1" applyAlignment="1">
      <alignment horizontal="center" vertical="center"/>
    </xf>
    <xf numFmtId="0" fontId="18" fillId="0" borderId="1" xfId="13" applyFont="1" applyBorder="1" applyAlignment="1">
      <alignment wrapText="1"/>
    </xf>
    <xf numFmtId="10" fontId="18" fillId="0" borderId="1" xfId="13" applyNumberFormat="1" applyFont="1" applyBorder="1" applyAlignment="1">
      <alignment horizontal="center" vertical="center"/>
    </xf>
    <xf numFmtId="0" fontId="18" fillId="0" borderId="1" xfId="13" applyFont="1" applyBorder="1" applyAlignment="1">
      <alignment vertical="center"/>
    </xf>
    <xf numFmtId="10" fontId="18" fillId="12" borderId="1" xfId="13" applyNumberFormat="1" applyFont="1" applyFill="1" applyBorder="1" applyAlignment="1">
      <alignment horizontal="center" vertical="center"/>
    </xf>
    <xf numFmtId="0" fontId="18" fillId="0" borderId="1" xfId="13" applyFont="1" applyBorder="1"/>
    <xf numFmtId="0" fontId="18" fillId="0" borderId="7" xfId="13" applyFont="1" applyBorder="1" applyAlignment="1">
      <alignment horizontal="left" vertical="center"/>
    </xf>
    <xf numFmtId="0" fontId="18" fillId="0" borderId="1" xfId="13" applyFont="1" applyBorder="1" applyAlignment="1">
      <alignment horizontal="left" vertical="center" wrapText="1"/>
    </xf>
    <xf numFmtId="0" fontId="18" fillId="0" borderId="1" xfId="13" quotePrefix="1" applyFont="1" applyBorder="1" applyAlignment="1">
      <alignment horizontal="left" vertical="center" wrapText="1"/>
    </xf>
    <xf numFmtId="9" fontId="18" fillId="0" borderId="1" xfId="13" applyNumberFormat="1" applyFont="1" applyBorder="1" applyAlignment="1">
      <alignment horizontal="center" vertical="center"/>
    </xf>
    <xf numFmtId="10" fontId="18" fillId="12" borderId="1" xfId="32" applyNumberFormat="1" applyFont="1" applyFill="1" applyBorder="1" applyAlignment="1">
      <alignment horizontal="center" vertical="center"/>
    </xf>
    <xf numFmtId="0" fontId="18" fillId="0" borderId="0" xfId="13" applyFont="1"/>
    <xf numFmtId="0" fontId="18" fillId="0" borderId="0" xfId="13" applyFont="1" applyAlignment="1">
      <alignment horizontal="left" vertical="center"/>
    </xf>
    <xf numFmtId="0" fontId="18" fillId="0" borderId="0" xfId="13" applyFont="1" applyAlignment="1">
      <alignment horizontal="center" vertical="center"/>
    </xf>
    <xf numFmtId="0" fontId="16" fillId="0" borderId="0" xfId="13" applyFont="1" applyAlignment="1">
      <alignment horizontal="center"/>
    </xf>
    <xf numFmtId="10" fontId="18" fillId="0" borderId="0" xfId="13" applyNumberFormat="1" applyFont="1" applyAlignment="1">
      <alignment horizontal="center"/>
    </xf>
    <xf numFmtId="166" fontId="18" fillId="0" borderId="0" xfId="13" applyNumberFormat="1" applyFont="1"/>
    <xf numFmtId="0" fontId="22" fillId="0" borderId="1" xfId="13" applyFont="1" applyBorder="1" applyAlignment="1">
      <alignment horizontal="center"/>
    </xf>
    <xf numFmtId="166" fontId="17" fillId="0" borderId="1" xfId="13" applyNumberFormat="1" applyBorder="1" applyAlignment="1">
      <alignment horizontal="center" vertical="center"/>
    </xf>
    <xf numFmtId="10" fontId="17" fillId="0" borderId="1" xfId="13" applyNumberFormat="1" applyBorder="1" applyAlignment="1">
      <alignment horizontal="center" vertical="center"/>
    </xf>
    <xf numFmtId="0" fontId="24" fillId="0" borderId="0" xfId="13" applyFont="1"/>
    <xf numFmtId="166" fontId="17" fillId="0" borderId="1" xfId="13" applyNumberFormat="1" applyBorder="1" applyAlignment="1">
      <alignment horizontal="center"/>
    </xf>
    <xf numFmtId="10" fontId="0" fillId="0" borderId="1" xfId="32" applyNumberFormat="1" applyFont="1" applyBorder="1" applyAlignment="1">
      <alignment horizontal="center" vertical="center"/>
    </xf>
    <xf numFmtId="0" fontId="18" fillId="0" borderId="0" xfId="13" applyFont="1" applyAlignment="1">
      <alignment horizontal="center"/>
    </xf>
    <xf numFmtId="9" fontId="18" fillId="0" borderId="0" xfId="13" applyNumberFormat="1" applyFont="1" applyAlignment="1">
      <alignment horizontal="center"/>
    </xf>
    <xf numFmtId="9" fontId="18" fillId="0" borderId="0" xfId="13" applyNumberFormat="1" applyFont="1"/>
    <xf numFmtId="0" fontId="53" fillId="0" borderId="0" xfId="0" applyFont="1"/>
    <xf numFmtId="0" fontId="53" fillId="0" borderId="0" xfId="0" applyFont="1" applyAlignment="1">
      <alignment horizontal="center"/>
    </xf>
    <xf numFmtId="10" fontId="53" fillId="26" borderId="0" xfId="0" applyNumberFormat="1" applyFont="1" applyFill="1" applyAlignment="1">
      <alignment horizontal="center"/>
    </xf>
    <xf numFmtId="0" fontId="55" fillId="25" borderId="12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53" fillId="0" borderId="0" xfId="0" applyNumberFormat="1" applyFont="1" applyAlignment="1">
      <alignment horizontal="center"/>
    </xf>
    <xf numFmtId="0" fontId="17" fillId="0" borderId="0" xfId="13" applyAlignment="1">
      <alignment horizontal="center"/>
    </xf>
    <xf numFmtId="0" fontId="16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10" fontId="0" fillId="0" borderId="0" xfId="1" applyNumberFormat="1" applyFont="1"/>
    <xf numFmtId="2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10" fontId="9" fillId="14" borderId="0" xfId="0" applyNumberFormat="1" applyFont="1" applyFill="1" applyAlignment="1">
      <alignment horizontal="center"/>
    </xf>
    <xf numFmtId="10" fontId="9" fillId="14" borderId="0" xfId="1" applyNumberFormat="1" applyFont="1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/>
    <xf numFmtId="10" fontId="7" fillId="26" borderId="0" xfId="0" applyNumberFormat="1" applyFont="1" applyFill="1" applyAlignment="1">
      <alignment horizontal="center"/>
    </xf>
    <xf numFmtId="0" fontId="57" fillId="0" borderId="0" xfId="0" applyFont="1"/>
    <xf numFmtId="0" fontId="49" fillId="11" borderId="0" xfId="0" applyFont="1" applyFill="1" applyAlignment="1">
      <alignment horizontal="center"/>
    </xf>
    <xf numFmtId="0" fontId="62" fillId="0" borderId="0" xfId="8" applyFont="1"/>
    <xf numFmtId="10" fontId="18" fillId="37" borderId="0" xfId="13" applyNumberFormat="1" applyFont="1" applyFill="1" applyAlignment="1">
      <alignment horizontal="center" vertical="center"/>
    </xf>
    <xf numFmtId="10" fontId="18" fillId="21" borderId="1" xfId="13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53" fillId="0" borderId="12" xfId="0" applyFont="1" applyBorder="1"/>
    <xf numFmtId="0" fontId="0" fillId="0" borderId="12" xfId="0" applyBorder="1"/>
    <xf numFmtId="0" fontId="1" fillId="40" borderId="20" xfId="0" applyFont="1" applyFill="1" applyBorder="1" applyAlignment="1">
      <alignment horizontal="center" vertical="center"/>
    </xf>
    <xf numFmtId="0" fontId="6" fillId="41" borderId="21" xfId="0" applyFont="1" applyFill="1" applyBorder="1" applyAlignment="1">
      <alignment horizontal="left"/>
    </xf>
    <xf numFmtId="0" fontId="6" fillId="41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2" fillId="41" borderId="21" xfId="0" applyFont="1" applyFill="1" applyBorder="1" applyAlignment="1">
      <alignment horizontal="left"/>
    </xf>
    <xf numFmtId="0" fontId="2" fillId="41" borderId="22" xfId="0" applyFont="1" applyFill="1" applyBorder="1" applyAlignment="1">
      <alignment horizontal="center" vertical="center"/>
    </xf>
    <xf numFmtId="10" fontId="2" fillId="41" borderId="22" xfId="1" applyNumberFormat="1" applyFont="1" applyFill="1" applyBorder="1" applyAlignment="1">
      <alignment horizontal="center" vertical="center"/>
    </xf>
    <xf numFmtId="0" fontId="1" fillId="40" borderId="23" xfId="0" applyFont="1" applyFill="1" applyBorder="1" applyAlignment="1">
      <alignment horizontal="center" vertical="center"/>
    </xf>
    <xf numFmtId="2" fontId="65" fillId="0" borderId="7" xfId="0" applyNumberFormat="1" applyFont="1" applyBorder="1"/>
    <xf numFmtId="2" fontId="65" fillId="0" borderId="9" xfId="0" applyNumberFormat="1" applyFont="1" applyBorder="1"/>
    <xf numFmtId="10" fontId="65" fillId="0" borderId="9" xfId="0" applyNumberFormat="1" applyFont="1" applyBorder="1"/>
    <xf numFmtId="0" fontId="26" fillId="31" borderId="0" xfId="0" applyFont="1" applyFill="1" applyAlignment="1">
      <alignment horizontal="center" vertical="center"/>
    </xf>
    <xf numFmtId="0" fontId="49" fillId="0" borderId="0" xfId="0" applyFont="1" applyAlignment="1">
      <alignment horizontal="center"/>
    </xf>
    <xf numFmtId="0" fontId="66" fillId="15" borderId="0" xfId="0" applyFont="1" applyFill="1" applyAlignment="1">
      <alignment horizontal="center"/>
    </xf>
    <xf numFmtId="10" fontId="66" fillId="15" borderId="0" xfId="0" applyNumberFormat="1" applyFont="1" applyFill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left" vertical="center" wrapText="1"/>
    </xf>
    <xf numFmtId="0" fontId="63" fillId="0" borderId="0" xfId="0" applyFont="1" applyAlignment="1">
      <alignment horizontal="center"/>
    </xf>
    <xf numFmtId="0" fontId="14" fillId="18" borderId="1" xfId="0" applyFont="1" applyFill="1" applyBorder="1" applyAlignment="1">
      <alignment horizontal="left" vertical="center" wrapText="1"/>
    </xf>
    <xf numFmtId="9" fontId="6" fillId="18" borderId="7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10" fontId="60" fillId="6" borderId="0" xfId="1" applyNumberFormat="1" applyFont="1" applyFill="1" applyAlignment="1">
      <alignment horizontal="center"/>
    </xf>
    <xf numFmtId="10" fontId="60" fillId="6" borderId="0" xfId="0" applyNumberFormat="1" applyFont="1" applyFill="1" applyAlignment="1">
      <alignment horizontal="center"/>
    </xf>
    <xf numFmtId="10" fontId="60" fillId="26" borderId="0" xfId="1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30" borderId="1" xfId="0" applyFill="1" applyBorder="1" applyAlignment="1">
      <alignment horizontal="center"/>
    </xf>
    <xf numFmtId="14" fontId="0" fillId="30" borderId="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2" fontId="52" fillId="16" borderId="0" xfId="0" applyNumberFormat="1" applyFont="1" applyFill="1" applyAlignment="1">
      <alignment horizontal="center"/>
    </xf>
    <xf numFmtId="0" fontId="52" fillId="16" borderId="0" xfId="0" applyFont="1" applyFill="1" applyAlignment="1">
      <alignment horizontal="center"/>
    </xf>
    <xf numFmtId="0" fontId="51" fillId="16" borderId="0" xfId="0" applyFont="1" applyFill="1" applyAlignment="1">
      <alignment horizontal="center"/>
    </xf>
    <xf numFmtId="2" fontId="51" fillId="16" borderId="0" xfId="0" applyNumberFormat="1" applyFont="1" applyFill="1" applyAlignment="1">
      <alignment horizontal="center"/>
    </xf>
    <xf numFmtId="2" fontId="31" fillId="30" borderId="0" xfId="0" applyNumberFormat="1" applyFont="1" applyFill="1" applyAlignment="1">
      <alignment horizontal="center"/>
    </xf>
    <xf numFmtId="10" fontId="29" fillId="30" borderId="0" xfId="0" applyNumberFormat="1" applyFont="1" applyFill="1" applyAlignment="1">
      <alignment horizontal="center"/>
    </xf>
    <xf numFmtId="0" fontId="70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70" fillId="4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 wrapText="1"/>
    </xf>
    <xf numFmtId="10" fontId="25" fillId="0" borderId="0" xfId="1" applyNumberFormat="1" applyFont="1" applyAlignment="1">
      <alignment horizontal="center"/>
    </xf>
    <xf numFmtId="10" fontId="31" fillId="0" borderId="0" xfId="0" applyNumberFormat="1" applyFont="1"/>
    <xf numFmtId="0" fontId="1" fillId="45" borderId="1" xfId="0" applyFont="1" applyFill="1" applyBorder="1" applyAlignment="1">
      <alignment horizontal="center"/>
    </xf>
    <xf numFmtId="10" fontId="1" fillId="45" borderId="1" xfId="0" applyNumberFormat="1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0" fontId="1" fillId="36" borderId="1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0" fontId="1" fillId="23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4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48" fillId="11" borderId="0" xfId="0" applyFont="1" applyFill="1" applyAlignment="1">
      <alignment horizontal="center"/>
    </xf>
    <xf numFmtId="10" fontId="73" fillId="0" borderId="0" xfId="0" applyNumberFormat="1" applyFont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71" fillId="15" borderId="1" xfId="0" applyFont="1" applyFill="1" applyBorder="1" applyAlignment="1">
      <alignment horizontal="center" vertical="center"/>
    </xf>
    <xf numFmtId="10" fontId="48" fillId="15" borderId="1" xfId="1" applyNumberFormat="1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71" fillId="15" borderId="0" xfId="0" applyFont="1" applyFill="1" applyAlignment="1">
      <alignment horizontal="center" vertical="center"/>
    </xf>
    <xf numFmtId="10" fontId="48" fillId="15" borderId="0" xfId="1" applyNumberFormat="1" applyFont="1" applyFill="1" applyAlignment="1">
      <alignment horizontal="center" vertical="center"/>
    </xf>
    <xf numFmtId="0" fontId="68" fillId="3" borderId="1" xfId="0" applyFont="1" applyFill="1" applyBorder="1" applyAlignment="1">
      <alignment horizontal="center"/>
    </xf>
    <xf numFmtId="10" fontId="70" fillId="0" borderId="1" xfId="0" applyNumberFormat="1" applyFont="1" applyBorder="1" applyAlignment="1">
      <alignment horizontal="center"/>
    </xf>
    <xf numFmtId="10" fontId="2" fillId="15" borderId="0" xfId="0" applyNumberFormat="1" applyFont="1" applyFill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78" fillId="3" borderId="0" xfId="0" applyFont="1" applyFill="1" applyAlignment="1">
      <alignment horizontal="center"/>
    </xf>
    <xf numFmtId="10" fontId="78" fillId="3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10" fontId="63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61" fillId="0" borderId="0" xfId="8" applyFont="1" applyAlignment="1">
      <alignment horizontal="center"/>
    </xf>
    <xf numFmtId="0" fontId="62" fillId="0" borderId="0" xfId="8" applyFont="1" applyAlignment="1">
      <alignment horizontal="center"/>
    </xf>
    <xf numFmtId="0" fontId="62" fillId="6" borderId="0" xfId="8" applyFont="1" applyFill="1" applyAlignment="1">
      <alignment horizontal="center"/>
    </xf>
    <xf numFmtId="0" fontId="61" fillId="6" borderId="0" xfId="8" applyFont="1" applyFill="1" applyAlignment="1">
      <alignment horizontal="center"/>
    </xf>
    <xf numFmtId="0" fontId="38" fillId="6" borderId="0" xfId="8" applyFont="1" applyFill="1" applyAlignment="1">
      <alignment horizontal="center"/>
    </xf>
    <xf numFmtId="10" fontId="62" fillId="6" borderId="0" xfId="8" applyNumberFormat="1" applyFont="1" applyFill="1" applyAlignment="1">
      <alignment horizontal="center"/>
    </xf>
    <xf numFmtId="10" fontId="61" fillId="6" borderId="0" xfId="8" applyNumberFormat="1" applyFont="1" applyFill="1" applyAlignment="1">
      <alignment horizontal="center"/>
    </xf>
    <xf numFmtId="10" fontId="62" fillId="0" borderId="0" xfId="8" applyNumberFormat="1" applyFont="1" applyAlignment="1">
      <alignment horizontal="center"/>
    </xf>
    <xf numFmtId="0" fontId="37" fillId="0" borderId="26" xfId="8" applyFont="1" applyBorder="1" applyAlignment="1">
      <alignment horizontal="center"/>
    </xf>
    <xf numFmtId="0" fontId="36" fillId="0" borderId="28" xfId="8" applyFont="1" applyBorder="1" applyAlignment="1">
      <alignment horizontal="center"/>
    </xf>
    <xf numFmtId="0" fontId="37" fillId="0" borderId="1" xfId="8" applyFont="1" applyBorder="1" applyAlignment="1">
      <alignment horizontal="center"/>
    </xf>
    <xf numFmtId="0" fontId="36" fillId="0" borderId="1" xfId="8" applyFont="1" applyBorder="1" applyAlignment="1">
      <alignment horizontal="center"/>
    </xf>
    <xf numFmtId="10" fontId="36" fillId="0" borderId="1" xfId="8" applyNumberFormat="1" applyFont="1" applyBorder="1" applyAlignment="1">
      <alignment horizontal="center"/>
    </xf>
    <xf numFmtId="10" fontId="37" fillId="0" borderId="1" xfId="8" applyNumberFormat="1" applyFont="1" applyBorder="1" applyAlignment="1">
      <alignment horizontal="center"/>
    </xf>
    <xf numFmtId="0" fontId="36" fillId="5" borderId="1" xfId="8" applyFont="1" applyFill="1" applyBorder="1" applyAlignment="1">
      <alignment horizontal="center"/>
    </xf>
    <xf numFmtId="10" fontId="36" fillId="5" borderId="1" xfId="8" applyNumberFormat="1" applyFont="1" applyFill="1" applyBorder="1" applyAlignment="1">
      <alignment horizontal="center"/>
    </xf>
    <xf numFmtId="0" fontId="79" fillId="25" borderId="1" xfId="8" applyFont="1" applyFill="1" applyBorder="1" applyAlignment="1">
      <alignment horizontal="center"/>
    </xf>
    <xf numFmtId="0" fontId="80" fillId="0" borderId="0" xfId="8" applyFont="1" applyAlignment="1">
      <alignment horizontal="center"/>
    </xf>
    <xf numFmtId="9" fontId="80" fillId="0" borderId="0" xfId="8" applyNumberFormat="1" applyFont="1" applyAlignment="1">
      <alignment horizontal="center"/>
    </xf>
    <xf numFmtId="0" fontId="81" fillId="9" borderId="1" xfId="0" applyFont="1" applyFill="1" applyBorder="1" applyAlignment="1">
      <alignment horizontal="center"/>
    </xf>
    <xf numFmtId="10" fontId="81" fillId="9" borderId="1" xfId="0" applyNumberFormat="1" applyFont="1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10" fontId="29" fillId="8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50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4" fillId="49" borderId="1" xfId="0" applyFont="1" applyFill="1" applyBorder="1" applyAlignment="1">
      <alignment horizontal="center"/>
    </xf>
    <xf numFmtId="10" fontId="34" fillId="49" borderId="1" xfId="0" applyNumberFormat="1" applyFont="1" applyFill="1" applyBorder="1" applyAlignment="1">
      <alignment horizontal="center"/>
    </xf>
    <xf numFmtId="0" fontId="23" fillId="47" borderId="0" xfId="0" applyFont="1" applyFill="1" applyAlignment="1">
      <alignment horizontal="center" vertical="center" wrapText="1"/>
    </xf>
    <xf numFmtId="0" fontId="58" fillId="47" borderId="0" xfId="0" applyFont="1" applyFill="1" applyAlignment="1">
      <alignment horizontal="center" vertical="center" wrapText="1"/>
    </xf>
    <xf numFmtId="0" fontId="23" fillId="44" borderId="0" xfId="0" applyFont="1" applyFill="1" applyAlignment="1">
      <alignment horizontal="center" wrapText="1"/>
    </xf>
    <xf numFmtId="0" fontId="23" fillId="44" borderId="24" xfId="0" applyFont="1" applyFill="1" applyBorder="1" applyAlignment="1">
      <alignment horizontal="center" wrapText="1"/>
    </xf>
    <xf numFmtId="0" fontId="58" fillId="0" borderId="24" xfId="0" applyFont="1" applyBorder="1" applyAlignment="1">
      <alignment horizontal="center" wrapText="1"/>
    </xf>
    <xf numFmtId="0" fontId="3" fillId="43" borderId="1" xfId="0" applyFont="1" applyFill="1" applyBorder="1" applyAlignment="1">
      <alignment horizontal="center"/>
    </xf>
    <xf numFmtId="10" fontId="3" fillId="43" borderId="1" xfId="0" applyNumberFormat="1" applyFont="1" applyFill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10" fontId="84" fillId="0" borderId="1" xfId="0" applyNumberFormat="1" applyFont="1" applyBorder="1" applyAlignment="1">
      <alignment horizontal="center"/>
    </xf>
    <xf numFmtId="10" fontId="50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12" borderId="0" xfId="0" applyFont="1" applyFill="1" applyAlignment="1">
      <alignment horizontal="center"/>
    </xf>
    <xf numFmtId="0" fontId="18" fillId="12" borderId="1" xfId="13" applyFont="1" applyFill="1" applyBorder="1" applyAlignment="1">
      <alignment horizontal="center" vertical="center"/>
    </xf>
    <xf numFmtId="10" fontId="17" fillId="0" borderId="0" xfId="13" applyNumberFormat="1"/>
    <xf numFmtId="0" fontId="7" fillId="12" borderId="0" xfId="0" applyFont="1" applyFill="1" applyAlignment="1">
      <alignment horizontal="center"/>
    </xf>
    <xf numFmtId="0" fontId="86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0" fontId="84" fillId="0" borderId="0" xfId="0" applyNumberFormat="1" applyFont="1" applyAlignment="1">
      <alignment horizontal="center"/>
    </xf>
    <xf numFmtId="0" fontId="17" fillId="0" borderId="1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 wrapText="1"/>
    </xf>
    <xf numFmtId="0" fontId="17" fillId="0" borderId="0" xfId="13" applyFont="1"/>
    <xf numFmtId="0" fontId="17" fillId="0" borderId="0" xfId="13" applyFont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0" fontId="17" fillId="0" borderId="1" xfId="13" applyFont="1" applyBorder="1"/>
    <xf numFmtId="9" fontId="17" fillId="0" borderId="1" xfId="13" applyNumberFormat="1" applyFont="1" applyBorder="1" applyAlignment="1">
      <alignment horizontal="center" vertical="center"/>
    </xf>
    <xf numFmtId="10" fontId="17" fillId="0" borderId="1" xfId="13" applyNumberFormat="1" applyFont="1" applyBorder="1" applyAlignment="1">
      <alignment horizontal="center" vertical="center"/>
    </xf>
    <xf numFmtId="0" fontId="17" fillId="0" borderId="1" xfId="13" applyFont="1" applyBorder="1" applyAlignment="1">
      <alignment wrapText="1"/>
    </xf>
    <xf numFmtId="0" fontId="17" fillId="0" borderId="8" xfId="13" applyFont="1" applyBorder="1" applyAlignment="1">
      <alignment vertical="center"/>
    </xf>
    <xf numFmtId="0" fontId="17" fillId="0" borderId="1" xfId="13" applyFont="1" applyFill="1" applyBorder="1" applyAlignment="1">
      <alignment vertical="center"/>
    </xf>
    <xf numFmtId="10" fontId="17" fillId="0" borderId="1" xfId="13" applyNumberFormat="1" applyFont="1" applyFill="1" applyBorder="1" applyAlignment="1">
      <alignment horizontal="center" vertical="center"/>
    </xf>
    <xf numFmtId="0" fontId="17" fillId="0" borderId="1" xfId="13" quotePrefix="1" applyFont="1" applyBorder="1" applyAlignment="1">
      <alignment horizontal="left" vertical="center" wrapText="1"/>
    </xf>
    <xf numFmtId="0" fontId="17" fillId="0" borderId="0" xfId="13" applyFont="1" applyAlignment="1">
      <alignment horizontal="left" vertical="center"/>
    </xf>
    <xf numFmtId="0" fontId="22" fillId="0" borderId="0" xfId="13" applyFont="1" applyFill="1" applyBorder="1" applyAlignment="1">
      <alignment horizontal="center"/>
    </xf>
    <xf numFmtId="2" fontId="17" fillId="0" borderId="0" xfId="13" applyNumberFormat="1" applyFont="1" applyAlignment="1">
      <alignment horizontal="left" vertical="center"/>
    </xf>
    <xf numFmtId="2" fontId="17" fillId="0" borderId="0" xfId="13" applyNumberFormat="1" applyFont="1"/>
    <xf numFmtId="0" fontId="22" fillId="0" borderId="1" xfId="13" applyFont="1" applyFill="1" applyBorder="1" applyAlignment="1">
      <alignment horizontal="center"/>
    </xf>
    <xf numFmtId="166" fontId="17" fillId="0" borderId="1" xfId="13" applyNumberFormat="1" applyFont="1" applyBorder="1" applyAlignment="1">
      <alignment horizontal="center" vertical="center"/>
    </xf>
    <xf numFmtId="9" fontId="17" fillId="0" borderId="0" xfId="13" applyNumberFormat="1" applyFont="1"/>
    <xf numFmtId="10" fontId="17" fillId="7" borderId="1" xfId="13" applyNumberFormat="1" applyFont="1" applyFill="1" applyBorder="1" applyAlignment="1">
      <alignment horizontal="center" vertical="center"/>
    </xf>
    <xf numFmtId="0" fontId="88" fillId="0" borderId="0" xfId="13" applyFont="1"/>
    <xf numFmtId="2" fontId="18" fillId="37" borderId="0" xfId="13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14" fontId="49" fillId="0" borderId="0" xfId="0" applyNumberFormat="1" applyFont="1" applyAlignment="1">
      <alignment horizontal="center"/>
    </xf>
    <xf numFmtId="14" fontId="49" fillId="0" borderId="0" xfId="0" applyNumberFormat="1" applyFont="1"/>
    <xf numFmtId="14" fontId="89" fillId="0" borderId="0" xfId="0" applyNumberFormat="1" applyFont="1" applyAlignment="1">
      <alignment horizontal="center"/>
    </xf>
    <xf numFmtId="10" fontId="14" fillId="18" borderId="7" xfId="0" applyNumberFormat="1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9" fontId="24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 wrapText="1"/>
    </xf>
    <xf numFmtId="0" fontId="53" fillId="51" borderId="19" xfId="0" applyFont="1" applyFill="1" applyBorder="1" applyAlignment="1">
      <alignment horizontal="center"/>
    </xf>
    <xf numFmtId="0" fontId="11" fillId="0" borderId="1" xfId="0" applyFont="1" applyFill="1" applyBorder="1"/>
    <xf numFmtId="10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4" fillId="18" borderId="0" xfId="0" applyFont="1" applyFill="1" applyAlignment="1">
      <alignment horizontal="center" vertical="center" wrapText="1"/>
    </xf>
    <xf numFmtId="0" fontId="14" fillId="18" borderId="0" xfId="0" applyFont="1" applyFill="1" applyAlignment="1">
      <alignment vertical="center" wrapText="1"/>
    </xf>
    <xf numFmtId="0" fontId="14" fillId="18" borderId="0" xfId="0" applyFont="1" applyFill="1" applyAlignment="1">
      <alignment horizontal="left" vertical="center" wrapText="1"/>
    </xf>
    <xf numFmtId="10" fontId="14" fillId="18" borderId="0" xfId="0" applyNumberFormat="1" applyFont="1" applyFill="1" applyAlignment="1">
      <alignment horizontal="center" vertical="center" wrapText="1"/>
    </xf>
    <xf numFmtId="0" fontId="17" fillId="0" borderId="1" xfId="13" applyBorder="1" applyAlignment="1">
      <alignment horizontal="center" vertical="center"/>
    </xf>
    <xf numFmtId="0" fontId="17" fillId="0" borderId="1" xfId="13" applyBorder="1"/>
    <xf numFmtId="0" fontId="17" fillId="0" borderId="1" xfId="13" applyBorder="1" applyAlignment="1">
      <alignment horizontal="left" vertical="center" wrapText="1"/>
    </xf>
    <xf numFmtId="0" fontId="17" fillId="0" borderId="8" xfId="13" applyBorder="1" applyAlignment="1">
      <alignment vertical="center"/>
    </xf>
    <xf numFmtId="0" fontId="17" fillId="0" borderId="1" xfId="13" applyBorder="1" applyAlignment="1">
      <alignment vertical="center"/>
    </xf>
    <xf numFmtId="0" fontId="17" fillId="0" borderId="1" xfId="13" quotePrefix="1" applyBorder="1" applyAlignment="1">
      <alignment horizontal="left" vertical="center" wrapText="1"/>
    </xf>
    <xf numFmtId="9" fontId="17" fillId="0" borderId="1" xfId="13" applyNumberFormat="1" applyBorder="1" applyAlignment="1">
      <alignment horizontal="center" vertical="center"/>
    </xf>
    <xf numFmtId="0" fontId="22" fillId="0" borderId="0" xfId="13" applyFont="1" applyAlignment="1">
      <alignment horizontal="center"/>
    </xf>
    <xf numFmtId="2" fontId="17" fillId="0" borderId="0" xfId="13" applyNumberFormat="1" applyAlignment="1">
      <alignment horizontal="left" vertical="center"/>
    </xf>
    <xf numFmtId="0" fontId="91" fillId="18" borderId="0" xfId="19" applyFont="1" applyFill="1" applyAlignment="1">
      <alignment horizontal="center" vertical="center" wrapText="1"/>
    </xf>
    <xf numFmtId="0" fontId="91" fillId="18" borderId="0" xfId="19" applyFont="1" applyFill="1" applyAlignment="1">
      <alignment vertical="center" wrapText="1"/>
    </xf>
    <xf numFmtId="10" fontId="17" fillId="52" borderId="1" xfId="13" applyNumberFormat="1" applyFill="1" applyBorder="1" applyAlignment="1">
      <alignment horizontal="center" vertical="center"/>
    </xf>
    <xf numFmtId="10" fontId="92" fillId="15" borderId="1" xfId="1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0" fontId="13" fillId="20" borderId="1" xfId="9" applyFont="1" applyFill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0" xfId="0" applyAlignment="1"/>
    <xf numFmtId="0" fontId="97" fillId="0" borderId="29" xfId="0" applyFont="1" applyBorder="1" applyAlignment="1"/>
    <xf numFmtId="10" fontId="12" fillId="52" borderId="0" xfId="0" applyNumberFormat="1" applyFont="1" applyFill="1" applyAlignment="1">
      <alignment horizontal="center"/>
    </xf>
    <xf numFmtId="0" fontId="102" fillId="0" borderId="0" xfId="13" applyFont="1"/>
    <xf numFmtId="2" fontId="12" fillId="37" borderId="0" xfId="32" applyNumberFormat="1" applyFont="1" applyFill="1"/>
    <xf numFmtId="0" fontId="2" fillId="51" borderId="1" xfId="0" applyFont="1" applyFill="1" applyBorder="1" applyAlignment="1">
      <alignment horizontal="center"/>
    </xf>
    <xf numFmtId="0" fontId="7" fillId="51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10" fontId="53" fillId="0" borderId="1" xfId="0" applyNumberFormat="1" applyFont="1" applyBorder="1" applyAlignment="1">
      <alignment horizontal="center"/>
    </xf>
    <xf numFmtId="9" fontId="53" fillId="0" borderId="1" xfId="0" applyNumberFormat="1" applyFont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1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37" fillId="11" borderId="0" xfId="1" applyNumberFormat="1" applyFont="1" applyFill="1" applyAlignment="1">
      <alignment horizontal="center"/>
    </xf>
    <xf numFmtId="10" fontId="25" fillId="11" borderId="0" xfId="1" applyNumberFormat="1" applyFont="1" applyFill="1" applyAlignment="1">
      <alignment horizontal="center"/>
    </xf>
    <xf numFmtId="0" fontId="8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0" fontId="7" fillId="0" borderId="0" xfId="0" applyNumberFormat="1" applyFont="1"/>
    <xf numFmtId="10" fontId="31" fillId="0" borderId="1" xfId="0" applyNumberFormat="1" applyFont="1" applyBorder="1" applyAlignment="1">
      <alignment horizontal="center"/>
    </xf>
    <xf numFmtId="0" fontId="97" fillId="0" borderId="30" xfId="0" applyFont="1" applyBorder="1" applyAlignment="1"/>
    <xf numFmtId="0" fontId="94" fillId="53" borderId="0" xfId="0" applyFont="1" applyFill="1" applyBorder="1" applyAlignment="1">
      <alignment horizontal="center"/>
    </xf>
    <xf numFmtId="14" fontId="58" fillId="54" borderId="0" xfId="0" applyNumberFormat="1" applyFont="1" applyFill="1" applyBorder="1" applyAlignment="1">
      <alignment horizontal="center"/>
    </xf>
    <xf numFmtId="0" fontId="97" fillId="0" borderId="0" xfId="0" applyFont="1" applyBorder="1" applyAlignment="1"/>
    <xf numFmtId="0" fontId="12" fillId="1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5" fillId="0" borderId="0" xfId="0" applyFont="1" applyAlignment="1">
      <alignment horizontal="center"/>
    </xf>
    <xf numFmtId="10" fontId="75" fillId="0" borderId="0" xfId="0" applyNumberFormat="1" applyFont="1" applyAlignment="1">
      <alignment horizontal="center"/>
    </xf>
    <xf numFmtId="10" fontId="30" fillId="7" borderId="2" xfId="0" applyNumberFormat="1" applyFont="1" applyFill="1" applyBorder="1" applyAlignment="1">
      <alignment horizontal="center"/>
    </xf>
    <xf numFmtId="9" fontId="76" fillId="0" borderId="1" xfId="0" applyNumberFormat="1" applyFont="1" applyBorder="1" applyAlignment="1">
      <alignment horizontal="center"/>
    </xf>
    <xf numFmtId="10" fontId="78" fillId="0" borderId="1" xfId="0" applyNumberFormat="1" applyFont="1" applyBorder="1" applyAlignment="1">
      <alignment horizontal="center"/>
    </xf>
    <xf numFmtId="10" fontId="106" fillId="43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2" fontId="54" fillId="23" borderId="12" xfId="0" applyNumberFormat="1" applyFont="1" applyFill="1" applyBorder="1" applyAlignment="1">
      <alignment horizontal="center" vertical="center" wrapText="1"/>
    </xf>
    <xf numFmtId="2" fontId="21" fillId="23" borderId="12" xfId="0" applyNumberFormat="1" applyFont="1" applyFill="1" applyBorder="1" applyAlignment="1">
      <alignment horizontal="center" vertical="center" wrapText="1"/>
    </xf>
    <xf numFmtId="2" fontId="54" fillId="6" borderId="12" xfId="0" applyNumberFormat="1" applyFont="1" applyFill="1" applyBorder="1" applyAlignment="1">
      <alignment horizontal="center" vertical="center" wrapText="1"/>
    </xf>
    <xf numFmtId="2" fontId="22" fillId="6" borderId="12" xfId="0" applyNumberFormat="1" applyFont="1" applyFill="1" applyBorder="1" applyAlignment="1">
      <alignment horizontal="center" vertical="center" wrapText="1"/>
    </xf>
    <xf numFmtId="2" fontId="60" fillId="0" borderId="0" xfId="0" applyNumberFormat="1" applyFont="1" applyAlignment="1">
      <alignment horizontal="center"/>
    </xf>
    <xf numFmtId="0" fontId="99" fillId="0" borderId="1" xfId="0" applyFont="1" applyBorder="1" applyAlignment="1">
      <alignment horizontal="center"/>
    </xf>
    <xf numFmtId="10" fontId="100" fillId="12" borderId="1" xfId="0" applyNumberFormat="1" applyFont="1" applyFill="1" applyBorder="1" applyAlignment="1">
      <alignment horizontal="center"/>
    </xf>
    <xf numFmtId="0" fontId="97" fillId="0" borderId="31" xfId="0" applyFont="1" applyBorder="1" applyAlignment="1"/>
    <xf numFmtId="0" fontId="97" fillId="0" borderId="32" xfId="0" applyFont="1" applyBorder="1" applyAlignment="1"/>
    <xf numFmtId="10" fontId="101" fillId="56" borderId="1" xfId="0" applyNumberFormat="1" applyFont="1" applyFill="1" applyBorder="1" applyAlignment="1">
      <alignment horizontal="center"/>
    </xf>
    <xf numFmtId="0" fontId="23" fillId="57" borderId="1" xfId="0" applyFont="1" applyFill="1" applyBorder="1" applyAlignment="1">
      <alignment horizontal="center"/>
    </xf>
    <xf numFmtId="0" fontId="99" fillId="5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0" fillId="12" borderId="1" xfId="0" applyFont="1" applyFill="1" applyBorder="1" applyAlignment="1">
      <alignment horizontal="center"/>
    </xf>
    <xf numFmtId="0" fontId="2" fillId="30" borderId="0" xfId="0" applyFont="1" applyFill="1" applyAlignment="1">
      <alignment horizontal="center"/>
    </xf>
    <xf numFmtId="0" fontId="70" fillId="15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59" borderId="0" xfId="0" applyFont="1" applyFill="1" applyAlignment="1">
      <alignment horizontal="center"/>
    </xf>
    <xf numFmtId="0" fontId="110" fillId="39" borderId="18" xfId="0" applyFont="1" applyFill="1" applyBorder="1" applyAlignment="1">
      <alignment horizontal="center"/>
    </xf>
    <xf numFmtId="167" fontId="111" fillId="12" borderId="19" xfId="0" applyNumberFormat="1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67" fillId="12" borderId="0" xfId="0" applyFont="1" applyFill="1" applyAlignment="1">
      <alignment horizontal="center"/>
    </xf>
    <xf numFmtId="10" fontId="70" fillId="15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112" fillId="0" borderId="0" xfId="0" applyNumberFormat="1" applyFont="1" applyAlignment="1">
      <alignment horizontal="center"/>
    </xf>
    <xf numFmtId="0" fontId="70" fillId="15" borderId="0" xfId="0" applyNumberFormat="1" applyFont="1" applyFill="1" applyAlignment="1">
      <alignment horizontal="center"/>
    </xf>
    <xf numFmtId="0" fontId="1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 wrapText="1"/>
    </xf>
    <xf numFmtId="10" fontId="70" fillId="17" borderId="1" xfId="0" applyNumberFormat="1" applyFont="1" applyFill="1" applyBorder="1" applyAlignment="1">
      <alignment horizontal="center"/>
    </xf>
    <xf numFmtId="10" fontId="9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10" fontId="114" fillId="59" borderId="1" xfId="0" applyNumberFormat="1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10" fontId="78" fillId="12" borderId="1" xfId="0" applyNumberFormat="1" applyFont="1" applyFill="1" applyBorder="1" applyAlignment="1">
      <alignment horizontal="center"/>
    </xf>
    <xf numFmtId="10" fontId="1" fillId="43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10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49" fillId="0" borderId="0" xfId="0" applyNumberFormat="1" applyFont="1" applyAlignment="1">
      <alignment horizontal="center"/>
    </xf>
    <xf numFmtId="0" fontId="49" fillId="0" borderId="0" xfId="0" applyFont="1"/>
    <xf numFmtId="0" fontId="50" fillId="0" borderId="0" xfId="0" applyFont="1"/>
    <xf numFmtId="0" fontId="115" fillId="36" borderId="1" xfId="0" applyFont="1" applyFill="1" applyBorder="1" applyAlignment="1">
      <alignment horizontal="center" vertical="center" wrapText="1"/>
    </xf>
    <xf numFmtId="10" fontId="17" fillId="0" borderId="0" xfId="13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1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1" borderId="22" xfId="1" applyNumberFormat="1" applyFill="1" applyBorder="1" applyAlignment="1">
      <alignment horizontal="center" vertical="center"/>
    </xf>
    <xf numFmtId="10" fontId="6" fillId="41" borderId="22" xfId="1" applyNumberFormat="1" applyFill="1" applyBorder="1" applyAlignment="1">
      <alignment horizontal="left" vertical="center"/>
    </xf>
    <xf numFmtId="10" fontId="6" fillId="0" borderId="21" xfId="1" applyNumberFormat="1" applyBorder="1" applyAlignment="1">
      <alignment horizontal="center" vertical="center"/>
    </xf>
    <xf numFmtId="10" fontId="6" fillId="0" borderId="2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0" fontId="0" fillId="15" borderId="1" xfId="0" applyNumberForma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left" vertical="center"/>
    </xf>
    <xf numFmtId="10" fontId="56" fillId="0" borderId="0" xfId="0" applyNumberFormat="1" applyFont="1" applyAlignment="1">
      <alignment horizontal="center"/>
    </xf>
    <xf numFmtId="10" fontId="56" fillId="0" borderId="1" xfId="0" applyNumberFormat="1" applyFont="1" applyBorder="1" applyAlignment="1">
      <alignment horizontal="center"/>
    </xf>
    <xf numFmtId="10" fontId="20" fillId="0" borderId="1" xfId="0" applyNumberFormat="1" applyFont="1" applyBorder="1" applyAlignment="1">
      <alignment horizontal="center"/>
    </xf>
    <xf numFmtId="10" fontId="49" fillId="0" borderId="1" xfId="0" applyNumberFormat="1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0" fontId="7" fillId="11" borderId="1" xfId="0" applyNumberFormat="1" applyFont="1" applyFill="1" applyBorder="1" applyAlignment="1">
      <alignment horizontal="center"/>
    </xf>
    <xf numFmtId="10" fontId="0" fillId="0" borderId="0" xfId="0" applyNumberFormat="1" applyAlignment="1"/>
    <xf numFmtId="10" fontId="28" fillId="12" borderId="1" xfId="0" applyNumberFormat="1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0" fontId="56" fillId="0" borderId="0" xfId="0" applyFont="1" applyFill="1" applyAlignment="1">
      <alignment horizontal="center"/>
    </xf>
    <xf numFmtId="10" fontId="56" fillId="0" borderId="0" xfId="0" applyNumberFormat="1" applyFont="1" applyFill="1" applyAlignment="1">
      <alignment horizontal="center"/>
    </xf>
    <xf numFmtId="0" fontId="14" fillId="0" borderId="0" xfId="0" applyFont="1" applyAlignment="1">
      <alignment vertical="center" wrapText="1"/>
    </xf>
    <xf numFmtId="0" fontId="116" fillId="6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116" fillId="60" borderId="6" xfId="0" applyFont="1" applyFill="1" applyBorder="1" applyAlignment="1">
      <alignment horizontal="center" vertical="center"/>
    </xf>
    <xf numFmtId="14" fontId="24" fillId="0" borderId="6" xfId="0" applyNumberFormat="1" applyFont="1" applyBorder="1" applyAlignment="1">
      <alignment horizontal="center" vertical="center"/>
    </xf>
    <xf numFmtId="0" fontId="8" fillId="61" borderId="1" xfId="0" applyFont="1" applyFill="1" applyBorder="1" applyAlignment="1">
      <alignment horizontal="center"/>
    </xf>
    <xf numFmtId="10" fontId="8" fillId="61" borderId="1" xfId="0" applyNumberFormat="1" applyFont="1" applyFill="1" applyBorder="1" applyAlignment="1">
      <alignment horizontal="center"/>
    </xf>
    <xf numFmtId="0" fontId="117" fillId="0" borderId="1" xfId="0" applyFont="1" applyBorder="1" applyAlignment="1">
      <alignment horizontal="center"/>
    </xf>
    <xf numFmtId="10" fontId="8" fillId="61" borderId="9" xfId="0" applyNumberFormat="1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0" fontId="81" fillId="16" borderId="1" xfId="0" applyFont="1" applyFill="1" applyBorder="1" applyAlignment="1">
      <alignment horizontal="center"/>
    </xf>
    <xf numFmtId="10" fontId="81" fillId="16" borderId="1" xfId="0" applyNumberFormat="1" applyFont="1" applyFill="1" applyBorder="1" applyAlignment="1">
      <alignment horizontal="center"/>
    </xf>
    <xf numFmtId="1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7" fillId="37" borderId="0" xfId="13" applyNumberFormat="1" applyFill="1"/>
    <xf numFmtId="10" fontId="2" fillId="12" borderId="1" xfId="0" applyNumberFormat="1" applyFont="1" applyFill="1" applyBorder="1" applyAlignment="1">
      <alignment horizontal="center"/>
    </xf>
    <xf numFmtId="2" fontId="3" fillId="9" borderId="4" xfId="0" applyNumberFormat="1" applyFont="1" applyFill="1" applyBorder="1" applyAlignment="1">
      <alignment horizontal="center"/>
    </xf>
    <xf numFmtId="10" fontId="31" fillId="0" borderId="2" xfId="0" applyNumberFormat="1" applyFont="1" applyBorder="1" applyAlignment="1">
      <alignment horizontal="center"/>
    </xf>
    <xf numFmtId="2" fontId="17" fillId="37" borderId="0" xfId="13" applyNumberFormat="1" applyFill="1"/>
    <xf numFmtId="2" fontId="56" fillId="0" borderId="0" xfId="0" applyNumberFormat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40" borderId="0" xfId="0" applyFont="1" applyFill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0" fillId="52" borderId="0" xfId="0" applyFill="1" applyAlignment="1">
      <alignment horizontal="center"/>
    </xf>
    <xf numFmtId="0" fontId="112" fillId="52" borderId="0" xfId="0" applyFont="1" applyFill="1" applyAlignment="1">
      <alignment horizontal="center"/>
    </xf>
    <xf numFmtId="10" fontId="0" fillId="52" borderId="0" xfId="0" applyNumberForma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29" fillId="14" borderId="0" xfId="0" applyNumberFormat="1" applyFont="1" applyFill="1" applyAlignment="1">
      <alignment horizontal="center"/>
    </xf>
    <xf numFmtId="10" fontId="31" fillId="14" borderId="0" xfId="0" applyNumberFormat="1" applyFont="1" applyFill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10" fontId="53" fillId="37" borderId="1" xfId="0" applyNumberFormat="1" applyFont="1" applyFill="1" applyBorder="1" applyAlignment="1">
      <alignment horizontal="center"/>
    </xf>
    <xf numFmtId="10" fontId="0" fillId="37" borderId="1" xfId="0" applyNumberFormat="1" applyFill="1" applyBorder="1" applyAlignment="1">
      <alignment horizontal="center"/>
    </xf>
    <xf numFmtId="0" fontId="0" fillId="37" borderId="1" xfId="0" applyNumberFormat="1" applyFill="1" applyBorder="1" applyAlignment="1">
      <alignment horizontal="center"/>
    </xf>
    <xf numFmtId="9" fontId="53" fillId="37" borderId="1" xfId="0" applyNumberFormat="1" applyFont="1" applyFill="1" applyBorder="1" applyAlignment="1">
      <alignment horizontal="center"/>
    </xf>
    <xf numFmtId="0" fontId="34" fillId="49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0" fontId="2" fillId="15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0" fillId="14" borderId="1" xfId="0" applyNumberForma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0" fillId="11" borderId="1" xfId="0" applyFont="1" applyFill="1" applyBorder="1" applyAlignment="1">
      <alignment horizontal="center"/>
    </xf>
    <xf numFmtId="0" fontId="49" fillId="11" borderId="1" xfId="0" applyFont="1" applyFill="1" applyBorder="1" applyAlignment="1">
      <alignment horizontal="center"/>
    </xf>
    <xf numFmtId="0" fontId="51" fillId="3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0" fontId="8" fillId="1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0" fontId="2" fillId="22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7" fillId="27" borderId="2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10" fontId="4" fillId="1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83" fillId="0" borderId="1" xfId="0" applyNumberFormat="1" applyFont="1" applyBorder="1"/>
    <xf numFmtId="10" fontId="84" fillId="11" borderId="0" xfId="0" applyNumberFormat="1" applyFont="1" applyFill="1" applyAlignment="1">
      <alignment horizontal="center"/>
    </xf>
    <xf numFmtId="0" fontId="37" fillId="0" borderId="33" xfId="8" applyFont="1" applyBorder="1" applyAlignment="1">
      <alignment horizontal="center"/>
    </xf>
    <xf numFmtId="0" fontId="61" fillId="0" borderId="1" xfId="8" applyFont="1" applyBorder="1" applyAlignment="1">
      <alignment horizontal="center"/>
    </xf>
    <xf numFmtId="10" fontId="62" fillId="0" borderId="1" xfId="8" applyNumberFormat="1" applyFont="1" applyBorder="1" applyAlignment="1">
      <alignment horizontal="center"/>
    </xf>
    <xf numFmtId="0" fontId="81" fillId="9" borderId="6" xfId="0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59" fillId="0" borderId="8" xfId="0" applyFont="1" applyFill="1" applyBorder="1" applyAlignment="1">
      <alignment vertical="center" wrapText="1"/>
    </xf>
    <xf numFmtId="0" fontId="59" fillId="0" borderId="8" xfId="0" applyFont="1" applyFill="1" applyBorder="1" applyAlignment="1">
      <alignment horizontal="center" vertical="center" wrapText="1"/>
    </xf>
    <xf numFmtId="17" fontId="26" fillId="62" borderId="1" xfId="0" applyNumberFormat="1" applyFont="1" applyFill="1" applyBorder="1" applyAlignment="1">
      <alignment horizontal="center" vertical="center" wrapText="1"/>
    </xf>
    <xf numFmtId="0" fontId="59" fillId="0" borderId="1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44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2" fillId="15" borderId="0" xfId="0" applyNumberFormat="1" applyFont="1" applyFill="1" applyAlignment="1">
      <alignment horizontal="center"/>
    </xf>
    <xf numFmtId="2" fontId="84" fillId="11" borderId="0" xfId="0" applyNumberFormat="1" applyFont="1" applyFill="1" applyAlignment="1">
      <alignment horizontal="center"/>
    </xf>
    <xf numFmtId="2" fontId="8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0" fontId="117" fillId="12" borderId="1" xfId="0" applyNumberFormat="1" applyFont="1" applyFill="1" applyBorder="1" applyAlignment="1">
      <alignment horizontal="center"/>
    </xf>
    <xf numFmtId="0" fontId="117" fillId="12" borderId="1" xfId="0" applyFont="1" applyFill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116" fillId="63" borderId="35" xfId="0" applyFont="1" applyFill="1" applyBorder="1" applyAlignment="1">
      <alignment horizontal="center" vertical="center"/>
    </xf>
    <xf numFmtId="0" fontId="116" fillId="63" borderId="36" xfId="0" applyFont="1" applyFill="1" applyBorder="1" applyAlignment="1">
      <alignment horizontal="center" vertical="center"/>
    </xf>
    <xf numFmtId="0" fontId="24" fillId="64" borderId="38" xfId="0" applyFont="1" applyFill="1" applyBorder="1" applyAlignment="1">
      <alignment vertical="center"/>
    </xf>
    <xf numFmtId="0" fontId="24" fillId="64" borderId="37" xfId="0" applyFont="1" applyFill="1" applyBorder="1" applyAlignment="1">
      <alignment horizontal="center" vertical="center"/>
    </xf>
    <xf numFmtId="10" fontId="24" fillId="64" borderId="37" xfId="0" applyNumberFormat="1" applyFont="1" applyFill="1" applyBorder="1" applyAlignment="1">
      <alignment horizontal="center" vertical="center"/>
    </xf>
    <xf numFmtId="0" fontId="24" fillId="64" borderId="3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10" fontId="24" fillId="0" borderId="37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120" fillId="64" borderId="38" xfId="0" applyFont="1" applyFill="1" applyBorder="1" applyAlignment="1">
      <alignment vertical="center"/>
    </xf>
    <xf numFmtId="0" fontId="120" fillId="64" borderId="37" xfId="0" applyFont="1" applyFill="1" applyBorder="1" applyAlignment="1">
      <alignment horizontal="center" vertical="center"/>
    </xf>
    <xf numFmtId="10" fontId="120" fillId="64" borderId="37" xfId="0" applyNumberFormat="1" applyFont="1" applyFill="1" applyBorder="1" applyAlignment="1">
      <alignment horizontal="center" vertical="center"/>
    </xf>
    <xf numFmtId="0" fontId="0" fillId="0" borderId="0" xfId="0" applyFont="1"/>
    <xf numFmtId="0" fontId="116" fillId="63" borderId="40" xfId="0" applyFont="1" applyFill="1" applyBorder="1" applyAlignment="1">
      <alignment horizontal="center" vertical="center"/>
    </xf>
    <xf numFmtId="0" fontId="24" fillId="64" borderId="36" xfId="0" applyFont="1" applyFill="1" applyBorder="1" applyAlignment="1">
      <alignment vertical="center"/>
    </xf>
    <xf numFmtId="10" fontId="0" fillId="41" borderId="22" xfId="1" applyNumberFormat="1" applyFont="1" applyFill="1" applyBorder="1" applyAlignment="1">
      <alignment horizontal="center" vertical="center"/>
    </xf>
    <xf numFmtId="10" fontId="0" fillId="41" borderId="22" xfId="1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21" fillId="0" borderId="1" xfId="0" applyFont="1" applyFill="1" applyBorder="1" applyAlignment="1">
      <alignment horizontal="center" vertical="center"/>
    </xf>
    <xf numFmtId="0" fontId="0" fillId="65" borderId="0" xfId="0" applyFill="1"/>
    <xf numFmtId="0" fontId="99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10" fontId="98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 wrapText="1"/>
    </xf>
    <xf numFmtId="0" fontId="124" fillId="0" borderId="0" xfId="0" applyFont="1" applyAlignment="1">
      <alignment horizontal="center"/>
    </xf>
    <xf numFmtId="0" fontId="25" fillId="0" borderId="0" xfId="0" applyFont="1"/>
    <xf numFmtId="10" fontId="123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 vertical="center"/>
    </xf>
    <xf numFmtId="0" fontId="123" fillId="0" borderId="0" xfId="0" applyFont="1" applyAlignment="1">
      <alignment horizontal="left"/>
    </xf>
    <xf numFmtId="0" fontId="90" fillId="0" borderId="18" xfId="0" applyFont="1" applyBorder="1" applyAlignment="1">
      <alignment horizontal="center" vertical="top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53" fillId="0" borderId="1" xfId="1" applyNumberFormat="1" applyFont="1" applyBorder="1" applyAlignment="1">
      <alignment horizontal="center"/>
    </xf>
    <xf numFmtId="10" fontId="33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38" fillId="0" borderId="1" xfId="0" applyNumberFormat="1" applyFont="1" applyBorder="1" applyAlignment="1">
      <alignment horizontal="center" vertical="center" wrapText="1"/>
    </xf>
    <xf numFmtId="2" fontId="53" fillId="12" borderId="0" xfId="0" applyNumberFormat="1" applyFont="1" applyFill="1" applyAlignment="1">
      <alignment horizontal="center"/>
    </xf>
    <xf numFmtId="0" fontId="125" fillId="0" borderId="0" xfId="8" applyFont="1" applyFill="1" applyAlignment="1">
      <alignment horizontal="center"/>
    </xf>
    <xf numFmtId="0" fontId="126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0" fillId="0" borderId="0" xfId="0" applyNumberFormat="1" applyFont="1"/>
    <xf numFmtId="0" fontId="0" fillId="32" borderId="1" xfId="0" applyFont="1" applyFill="1" applyBorder="1" applyAlignment="1">
      <alignment horizontal="center"/>
    </xf>
    <xf numFmtId="14" fontId="0" fillId="32" borderId="1" xfId="0" applyNumberFormat="1" applyFont="1" applyFill="1" applyBorder="1" applyAlignment="1">
      <alignment horizontal="center"/>
    </xf>
    <xf numFmtId="2" fontId="0" fillId="32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9" fontId="0" fillId="0" borderId="0" xfId="0" applyNumberFormat="1" applyFont="1" applyAlignment="1">
      <alignment horizontal="center"/>
    </xf>
    <xf numFmtId="2" fontId="107" fillId="12" borderId="0" xfId="19" applyNumberFormat="1" applyFont="1" applyFill="1" applyAlignment="1">
      <alignment vertical="center" wrapText="1"/>
    </xf>
    <xf numFmtId="9" fontId="12" fillId="37" borderId="0" xfId="1" applyFont="1" applyFill="1"/>
    <xf numFmtId="0" fontId="23" fillId="44" borderId="0" xfId="0" applyFont="1" applyFill="1" applyAlignment="1">
      <alignment vertical="center" wrapText="1"/>
    </xf>
    <xf numFmtId="0" fontId="23" fillId="44" borderId="0" xfId="0" applyFont="1" applyFill="1" applyAlignment="1">
      <alignment horizontal="center" vertical="center" wrapText="1"/>
    </xf>
    <xf numFmtId="10" fontId="23" fillId="44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44" borderId="24" xfId="0" applyFont="1" applyFill="1" applyBorder="1" applyAlignment="1">
      <alignment vertical="center" wrapText="1"/>
    </xf>
    <xf numFmtId="0" fontId="23" fillId="44" borderId="24" xfId="0" applyFont="1" applyFill="1" applyBorder="1" applyAlignment="1">
      <alignment horizontal="center" vertical="center" wrapText="1"/>
    </xf>
    <xf numFmtId="10" fontId="23" fillId="44" borderId="24" xfId="0" applyNumberFormat="1" applyFont="1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10" fontId="58" fillId="0" borderId="24" xfId="0" applyNumberFormat="1" applyFont="1" applyBorder="1" applyAlignment="1">
      <alignment horizontal="center" vertical="center" wrapText="1"/>
    </xf>
    <xf numFmtId="9" fontId="12" fillId="16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0" fontId="127" fillId="0" borderId="1" xfId="0" applyNumberFormat="1" applyFont="1" applyBorder="1" applyAlignment="1">
      <alignment horizontal="center"/>
    </xf>
    <xf numFmtId="10" fontId="127" fillId="15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/>
    </xf>
    <xf numFmtId="10" fontId="18" fillId="0" borderId="1" xfId="32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1" xfId="13" applyFont="1" applyBorder="1" applyAlignment="1">
      <alignment horizontal="left" vertical="center"/>
    </xf>
    <xf numFmtId="0" fontId="17" fillId="0" borderId="1" xfId="13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36" fillId="0" borderId="16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113" fillId="6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2" fillId="1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4" fillId="33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0" fontId="104" fillId="8" borderId="1" xfId="0" applyFont="1" applyFill="1" applyBorder="1" applyAlignment="1">
      <alignment horizontal="center"/>
    </xf>
    <xf numFmtId="0" fontId="104" fillId="8" borderId="2" xfId="0" applyFont="1" applyFill="1" applyBorder="1" applyAlignment="1">
      <alignment horizontal="center"/>
    </xf>
    <xf numFmtId="0" fontId="104" fillId="8" borderId="5" xfId="0" applyFont="1" applyFill="1" applyBorder="1" applyAlignment="1">
      <alignment horizontal="center"/>
    </xf>
    <xf numFmtId="0" fontId="104" fillId="8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10" fontId="104" fillId="0" borderId="1" xfId="0" applyNumberFormat="1" applyFont="1" applyBorder="1" applyAlignment="1">
      <alignment horizontal="center" vertical="center"/>
    </xf>
    <xf numFmtId="0" fontId="106" fillId="43" borderId="2" xfId="0" applyFont="1" applyFill="1" applyBorder="1" applyAlignment="1">
      <alignment horizontal="center"/>
    </xf>
    <xf numFmtId="0" fontId="106" fillId="43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8" fillId="0" borderId="1" xfId="13" applyFont="1" applyBorder="1" applyAlignment="1">
      <alignment horizontal="center" vertical="center" wrapText="1"/>
    </xf>
    <xf numFmtId="10" fontId="18" fillId="0" borderId="1" xfId="32" applyNumberFormat="1" applyFont="1" applyBorder="1" applyAlignment="1">
      <alignment horizontal="center" vertical="center"/>
    </xf>
    <xf numFmtId="0" fontId="18" fillId="0" borderId="7" xfId="13" applyFont="1" applyBorder="1" applyAlignment="1">
      <alignment horizontal="center" vertical="center"/>
    </xf>
    <xf numFmtId="0" fontId="18" fillId="0" borderId="9" xfId="13" applyFont="1" applyBorder="1" applyAlignment="1">
      <alignment horizontal="center" vertical="center"/>
    </xf>
    <xf numFmtId="0" fontId="18" fillId="0" borderId="8" xfId="13" applyFont="1" applyBorder="1" applyAlignment="1">
      <alignment horizontal="center" vertical="center"/>
    </xf>
    <xf numFmtId="9" fontId="22" fillId="6" borderId="2" xfId="0" applyNumberFormat="1" applyFont="1" applyFill="1" applyBorder="1" applyAlignment="1">
      <alignment horizontal="center" vertical="center" wrapText="1"/>
    </xf>
    <xf numFmtId="9" fontId="22" fillId="6" borderId="6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7" xfId="13" applyFont="1" applyBorder="1" applyAlignment="1">
      <alignment horizontal="center" vertical="center" wrapText="1"/>
    </xf>
    <xf numFmtId="0" fontId="17" fillId="0" borderId="9" xfId="13" applyFont="1" applyBorder="1" applyAlignment="1">
      <alignment horizontal="center" vertical="center" wrapText="1"/>
    </xf>
    <xf numFmtId="0" fontId="17" fillId="0" borderId="1" xfId="13" applyFont="1" applyBorder="1" applyAlignment="1">
      <alignment horizontal="left" vertical="center"/>
    </xf>
    <xf numFmtId="9" fontId="22" fillId="6" borderId="2" xfId="13" applyNumberFormat="1" applyFont="1" applyFill="1" applyBorder="1" applyAlignment="1">
      <alignment horizontal="center"/>
    </xf>
    <xf numFmtId="9" fontId="22" fillId="6" borderId="6" xfId="13" applyNumberFormat="1" applyFont="1" applyFill="1" applyBorder="1" applyAlignment="1">
      <alignment horizontal="center"/>
    </xf>
    <xf numFmtId="10" fontId="2" fillId="0" borderId="7" xfId="32" applyNumberFormat="1" applyFont="1" applyBorder="1" applyAlignment="1">
      <alignment horizontal="center" vertical="center"/>
    </xf>
    <xf numFmtId="10" fontId="2" fillId="0" borderId="9" xfId="32" applyNumberFormat="1" applyFont="1" applyBorder="1" applyAlignment="1">
      <alignment horizontal="center" vertical="center"/>
    </xf>
    <xf numFmtId="10" fontId="2" fillId="0" borderId="8" xfId="32" applyNumberFormat="1" applyFont="1" applyBorder="1" applyAlignment="1">
      <alignment horizontal="center" vertical="center"/>
    </xf>
    <xf numFmtId="9" fontId="22" fillId="6" borderId="2" xfId="13" applyNumberFormat="1" applyFont="1" applyFill="1" applyBorder="1" applyAlignment="1">
      <alignment horizontal="center" vertical="center" wrapText="1"/>
    </xf>
    <xf numFmtId="9" fontId="22" fillId="6" borderId="6" xfId="13" applyNumberFormat="1" applyFont="1" applyFill="1" applyBorder="1" applyAlignment="1">
      <alignment horizontal="center" vertical="center" wrapText="1"/>
    </xf>
    <xf numFmtId="0" fontId="17" fillId="0" borderId="7" xfId="13" applyBorder="1" applyAlignment="1">
      <alignment horizontal="center" vertical="center" wrapText="1"/>
    </xf>
    <xf numFmtId="0" fontId="17" fillId="0" borderId="9" xfId="13" applyBorder="1" applyAlignment="1">
      <alignment horizontal="center" vertical="center" wrapText="1"/>
    </xf>
    <xf numFmtId="0" fontId="17" fillId="0" borderId="1" xfId="13" applyBorder="1" applyAlignment="1">
      <alignment horizontal="left" vertical="center"/>
    </xf>
    <xf numFmtId="10" fontId="0" fillId="0" borderId="7" xfId="32" applyNumberFormat="1" applyFont="1" applyBorder="1" applyAlignment="1">
      <alignment horizontal="center" vertical="center"/>
    </xf>
    <xf numFmtId="10" fontId="0" fillId="0" borderId="9" xfId="32" applyNumberFormat="1" applyFont="1" applyBorder="1" applyAlignment="1">
      <alignment horizontal="center" vertical="center"/>
    </xf>
    <xf numFmtId="10" fontId="22" fillId="0" borderId="1" xfId="13" applyNumberFormat="1" applyFont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10" fontId="15" fillId="18" borderId="9" xfId="0" applyNumberFormat="1" applyFont="1" applyFill="1" applyBorder="1" applyAlignment="1">
      <alignment horizontal="center" vertical="center" wrapText="1"/>
    </xf>
    <xf numFmtId="10" fontId="15" fillId="18" borderId="8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/>
    </xf>
    <xf numFmtId="0" fontId="122" fillId="19" borderId="1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70" fillId="7" borderId="1" xfId="0" applyNumberFormat="1" applyFont="1" applyFill="1" applyBorder="1" applyAlignment="1">
      <alignment horizontal="center"/>
    </xf>
    <xf numFmtId="10" fontId="103" fillId="0" borderId="7" xfId="0" applyNumberFormat="1" applyFont="1" applyBorder="1" applyAlignment="1">
      <alignment horizontal="center" vertical="center"/>
    </xf>
    <xf numFmtId="10" fontId="103" fillId="0" borderId="9" xfId="0" applyNumberFormat="1" applyFont="1" applyBorder="1" applyAlignment="1">
      <alignment horizontal="center" vertical="center"/>
    </xf>
    <xf numFmtId="10" fontId="103" fillId="0" borderId="8" xfId="0" applyNumberFormat="1" applyFont="1" applyBorder="1" applyAlignment="1">
      <alignment horizontal="center" vertical="center"/>
    </xf>
    <xf numFmtId="0" fontId="90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03" fillId="0" borderId="1" xfId="0" applyNumberFormat="1" applyFont="1" applyBorder="1" applyAlignment="1">
      <alignment horizontal="center" vertical="center"/>
    </xf>
    <xf numFmtId="9" fontId="16" fillId="6" borderId="2" xfId="13" applyNumberFormat="1" applyFont="1" applyFill="1" applyBorder="1" applyAlignment="1">
      <alignment horizontal="center"/>
    </xf>
    <xf numFmtId="9" fontId="16" fillId="6" borderId="6" xfId="13" applyNumberFormat="1" applyFont="1" applyFill="1" applyBorder="1" applyAlignment="1">
      <alignment horizontal="center"/>
    </xf>
    <xf numFmtId="9" fontId="16" fillId="6" borderId="1" xfId="13" applyNumberFormat="1" applyFont="1" applyFill="1" applyBorder="1" applyAlignment="1">
      <alignment horizontal="center"/>
    </xf>
    <xf numFmtId="0" fontId="16" fillId="0" borderId="4" xfId="13" applyFont="1" applyBorder="1" applyAlignment="1">
      <alignment horizontal="center"/>
    </xf>
    <xf numFmtId="0" fontId="13" fillId="19" borderId="2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58" fillId="0" borderId="25" xfId="0" applyFont="1" applyBorder="1" applyAlignment="1">
      <alignment vertical="center" wrapText="1"/>
    </xf>
    <xf numFmtId="0" fontId="95" fillId="46" borderId="0" xfId="0" applyFont="1" applyFill="1" applyAlignment="1">
      <alignment vertical="center" wrapText="1"/>
    </xf>
    <xf numFmtId="0" fontId="21" fillId="25" borderId="0" xfId="0" applyFont="1" applyFill="1" applyAlignment="1">
      <alignment horizontal="center" vertical="center" wrapText="1"/>
    </xf>
    <xf numFmtId="0" fontId="21" fillId="2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21" fillId="24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left" vertical="center"/>
    </xf>
    <xf numFmtId="9" fontId="6" fillId="18" borderId="1" xfId="0" applyNumberFormat="1" applyFon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14" fillId="18" borderId="9" xfId="0" applyFont="1" applyFill="1" applyBorder="1" applyAlignment="1">
      <alignment vertical="center" wrapText="1"/>
    </xf>
    <xf numFmtId="0" fontId="14" fillId="18" borderId="8" xfId="0" applyFont="1" applyFill="1" applyBorder="1" applyAlignment="1">
      <alignment vertical="center" wrapText="1"/>
    </xf>
    <xf numFmtId="9" fontId="6" fillId="18" borderId="1" xfId="0" applyNumberFormat="1" applyFont="1" applyFill="1" applyBorder="1" applyAlignment="1">
      <alignment horizontal="center" vertical="center" wrapText="1"/>
    </xf>
    <xf numFmtId="0" fontId="64" fillId="40" borderId="0" xfId="0" applyFont="1" applyFill="1" applyAlignment="1">
      <alignment horizontal="center" vertical="center"/>
    </xf>
    <xf numFmtId="0" fontId="64" fillId="40" borderId="39" xfId="0" applyFont="1" applyFill="1" applyBorder="1" applyAlignment="1">
      <alignment horizontal="center" vertical="center"/>
    </xf>
    <xf numFmtId="165" fontId="37" fillId="0" borderId="27" xfId="8" applyNumberFormat="1" applyFont="1" applyBorder="1" applyAlignment="1">
      <alignment horizontal="center" vertical="center"/>
    </xf>
    <xf numFmtId="0" fontId="36" fillId="0" borderId="27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36" fillId="0" borderId="17" xfId="8" applyFont="1" applyBorder="1" applyAlignment="1">
      <alignment horizontal="center"/>
    </xf>
    <xf numFmtId="0" fontId="36" fillId="0" borderId="16" xfId="8" applyFont="1" applyBorder="1" applyAlignment="1">
      <alignment horizontal="center"/>
    </xf>
    <xf numFmtId="10" fontId="36" fillId="0" borderId="0" xfId="8" applyNumberFormat="1" applyFont="1" applyBorder="1" applyAlignment="1">
      <alignment horizontal="center"/>
    </xf>
    <xf numFmtId="0" fontId="36" fillId="0" borderId="0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82" fillId="17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96" fillId="55" borderId="1" xfId="0" applyFont="1" applyFill="1" applyBorder="1" applyAlignment="1">
      <alignment horizontal="center" vertical="center"/>
    </xf>
    <xf numFmtId="10" fontId="8" fillId="52" borderId="0" xfId="0" applyNumberFormat="1" applyFont="1" applyFill="1" applyBorder="1" applyAlignment="1">
      <alignment horizontal="center" vertic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95" fillId="55" borderId="1" xfId="0" applyFont="1" applyFill="1" applyBorder="1" applyAlignment="1">
      <alignment horizontal="center" vertical="center"/>
    </xf>
  </cellXfs>
  <cellStyles count="41">
    <cellStyle name="60% - Accent4 1 1 8" xfId="10"/>
    <cellStyle name="60% - Accent4 1 1 8 2" xfId="29"/>
    <cellStyle name="60% - Accent5 6" xfId="11"/>
    <cellStyle name="60% - Accent5 6 2" xfId="30"/>
    <cellStyle name="Comma 2" xfId="21"/>
    <cellStyle name="Comma 2 2" xfId="34"/>
    <cellStyle name="Comma 2 3" xfId="38"/>
    <cellStyle name="Excel Built-in Normal" xfId="12"/>
    <cellStyle name="Explanatory Text 5" xfId="16"/>
    <cellStyle name="Heading" xfId="23"/>
    <cellStyle name="Heading1" xfId="26"/>
    <cellStyle name="Normal" xfId="0" builtinId="0"/>
    <cellStyle name="Normal 17 11" xfId="18"/>
    <cellStyle name="Normal 17 3" xfId="17"/>
    <cellStyle name="Normal 2" xfId="8"/>
    <cellStyle name="Normal 2 2" xfId="2"/>
    <cellStyle name="Normal 2 3" xfId="3"/>
    <cellStyle name="Normal 2 4" xfId="19"/>
    <cellStyle name="Normal 2 8" xfId="13"/>
    <cellStyle name="Normal 2 8 2" xfId="31"/>
    <cellStyle name="Normal 2_Sheet4" xfId="27"/>
    <cellStyle name="Normal 3" xfId="20"/>
    <cellStyle name="Normal 3 2" xfId="33"/>
    <cellStyle name="Normal 3 3" xfId="37"/>
    <cellStyle name="Normal 35" xfId="4"/>
    <cellStyle name="Normal 4" xfId="28"/>
    <cellStyle name="Normal 4 2" xfId="36"/>
    <cellStyle name="Normal 4 3" xfId="40"/>
    <cellStyle name="Normal 5" xfId="9"/>
    <cellStyle name="Percent" xfId="1" builtinId="5"/>
    <cellStyle name="Percent 2" xfId="6"/>
    <cellStyle name="Percent 2 2" xfId="7"/>
    <cellStyle name="Percent 2 2 2" xfId="32"/>
    <cellStyle name="Percent 2 3" xfId="15"/>
    <cellStyle name="Percent 3" xfId="22"/>
    <cellStyle name="Percent 3 2" xfId="35"/>
    <cellStyle name="Percent 3 3" xfId="39"/>
    <cellStyle name="Percent 4" xfId="14"/>
    <cellStyle name="Percent 9" xfId="5"/>
    <cellStyle name="Result" xfId="24"/>
    <cellStyle name="Result2" xfId="25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0E3E8"/>
      <color rgb="FF660033"/>
      <color rgb="FF660066"/>
      <color rgb="FF0000FF"/>
      <color rgb="FF0033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rgbClr val="002060"/>
                </a:solidFill>
              </a:rPr>
              <a:t>PASSING RATE MoM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SCORECARD</c:v>
                </c:pt>
              </c:strCache>
            </c:strRef>
          </c:tx>
          <c:spPr>
            <a:ln w="635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SUMMARY!$B$3:$B$14</c:f>
              <c:numCache>
                <c:formatCode>0.00%</c:formatCode>
                <c:ptCount val="12"/>
                <c:pt idx="0">
                  <c:v>0.99465240641711228</c:v>
                </c:pt>
                <c:pt idx="1">
                  <c:v>0.95287958115183247</c:v>
                </c:pt>
                <c:pt idx="2">
                  <c:v>0.96022727272727271</c:v>
                </c:pt>
                <c:pt idx="3">
                  <c:v>0.94705882352941173</c:v>
                </c:pt>
                <c:pt idx="4">
                  <c:v>0.96575342465753422</c:v>
                </c:pt>
                <c:pt idx="5">
                  <c:v>0.96575342465753422</c:v>
                </c:pt>
                <c:pt idx="6">
                  <c:v>0.96575342465753422</c:v>
                </c:pt>
                <c:pt idx="7">
                  <c:v>0.96575342465753422</c:v>
                </c:pt>
                <c:pt idx="8">
                  <c:v>0.96575342465753422</c:v>
                </c:pt>
                <c:pt idx="9">
                  <c:v>0.96575342465753422</c:v>
                </c:pt>
                <c:pt idx="10">
                  <c:v>0.96575342465753422</c:v>
                </c:pt>
                <c:pt idx="11">
                  <c:v>0.96575342465753422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2D-4ED9-9EF7-CFECE3B11892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SUMMARY!$C$3:$C$14</c:f>
              <c:numCache>
                <c:formatCode>0.00%</c:formatCode>
                <c:ptCount val="12"/>
                <c:pt idx="0">
                  <c:v>0.78609625668449201</c:v>
                </c:pt>
                <c:pt idx="1">
                  <c:v>0.68983957219251335</c:v>
                </c:pt>
                <c:pt idx="2">
                  <c:v>0.5625</c:v>
                </c:pt>
                <c:pt idx="3">
                  <c:v>0.42857142857142855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2D-4ED9-9EF7-CFECE3B11892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ATTENDANCE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0.83422459893048129</c:v>
                </c:pt>
                <c:pt idx="1">
                  <c:v>0.82352941176470584</c:v>
                </c:pt>
                <c:pt idx="2">
                  <c:v>0.86931818181818188</c:v>
                </c:pt>
                <c:pt idx="3">
                  <c:v>0.81176470588235294</c:v>
                </c:pt>
                <c:pt idx="4">
                  <c:v>0.82876712328767121</c:v>
                </c:pt>
                <c:pt idx="5">
                  <c:v>0.82876712328767121</c:v>
                </c:pt>
                <c:pt idx="6">
                  <c:v>0.82876712328767121</c:v>
                </c:pt>
                <c:pt idx="7">
                  <c:v>0.82876712328767121</c:v>
                </c:pt>
                <c:pt idx="8">
                  <c:v>0.82876712328767121</c:v>
                </c:pt>
                <c:pt idx="9">
                  <c:v>0.82876712328767121</c:v>
                </c:pt>
                <c:pt idx="10">
                  <c:v>0.82876712328767121</c:v>
                </c:pt>
                <c:pt idx="11">
                  <c:v>0.82876712328767121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2D-4ED9-9EF7-CFECE3B11892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KC</c:v>
                </c:pt>
              </c:strCache>
            </c:strRef>
          </c:tx>
          <c:spPr>
            <a:ln w="50800" cap="rnd">
              <a:solidFill>
                <a:srgbClr val="FFC0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0.60540540540540544</c:v>
                </c:pt>
                <c:pt idx="1">
                  <c:v>0.87634408602150538</c:v>
                </c:pt>
                <c:pt idx="2">
                  <c:v>0.96470588235294119</c:v>
                </c:pt>
                <c:pt idx="3">
                  <c:v>0.99382716049382713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0.53846153846153844</c:v>
                </c:pt>
                <c:pt idx="7">
                  <c:v>0.53846153846153844</c:v>
                </c:pt>
                <c:pt idx="8">
                  <c:v>0.53846153846153844</c:v>
                </c:pt>
                <c:pt idx="9">
                  <c:v>0.53846153846153844</c:v>
                </c:pt>
                <c:pt idx="10">
                  <c:v>0.53846153846153844</c:v>
                </c:pt>
                <c:pt idx="11">
                  <c:v>0.53846153846153844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2D-4ED9-9EF7-CFECE3B11892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QUALITY (OVERALL)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0.96791443850267378</c:v>
                </c:pt>
                <c:pt idx="1">
                  <c:v>0.9732620320855615</c:v>
                </c:pt>
                <c:pt idx="2">
                  <c:v>0.99404761904761907</c:v>
                </c:pt>
                <c:pt idx="3">
                  <c:v>0.99367088607594933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2D-4ED9-9EF7-CFECE3B11892}"/>
            </c:ext>
          </c:extLst>
        </c:ser>
        <c:ser>
          <c:idx val="8"/>
          <c:order val="5"/>
          <c:tx>
            <c:strRef>
              <c:f>SUMMARY!$K$2</c:f>
              <c:strCache>
                <c:ptCount val="1"/>
                <c:pt idx="0">
                  <c:v>QUALITY - WEB MAINTENANCE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SUMMARY!$K$3:$K$14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02D-4ED9-9EF7-CFECE3B11892}"/>
            </c:ext>
          </c:extLst>
        </c:ser>
        <c:ser>
          <c:idx val="9"/>
          <c:order val="6"/>
          <c:tx>
            <c:strRef>
              <c:f>SUMMARY!$F$2</c:f>
              <c:strCache>
                <c:ptCount val="1"/>
                <c:pt idx="0">
                  <c:v>CHURN</c:v>
                </c:pt>
              </c:strCache>
            </c:strRef>
          </c:tx>
          <c:spPr>
            <a:ln w="63500" cap="rnd">
              <a:solidFill>
                <a:srgbClr val="6600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SUMMARY!$F$3:$F$14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0.85185185185185186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02D-4ED9-9EF7-CFECE3B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7920"/>
        <c:axId val="1589240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SUMMARY!$H$2</c15:sqref>
                        </c15:formulaRef>
                      </c:ext>
                    </c:extLst>
                    <c:strCache>
                      <c:ptCount val="1"/>
                      <c:pt idx="0">
                        <c:v>QUALITY - DESIGNERS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SUMMARY!$H$3:$H$14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0.98692810457516345</c:v>
                      </c:pt>
                      <c:pt idx="1">
                        <c:v>0.98026315789473684</c:v>
                      </c:pt>
                      <c:pt idx="2">
                        <c:v>1</c:v>
                      </c:pt>
                      <c:pt idx="3">
                        <c:v>0.99230769230769234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2D-4ED9-9EF7-CFECE3B118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</c15:sqref>
                        </c15:formulaRef>
                      </c:ext>
                    </c:extLst>
                    <c:strCache>
                      <c:ptCount val="1"/>
                      <c:pt idx="0">
                        <c:v>QUALITY - PR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SUMMARY!$I$3:$I$14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0.94736842105263153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2D-4ED9-9EF7-CFECE3B118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</c15:sqref>
                        </c15:formulaRef>
                      </c:ext>
                    </c:extLst>
                    <c:strCache>
                      <c:ptCount val="1"/>
                      <c:pt idx="0">
                        <c:v>QUALITY - VOICE QAs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SUMMARY!$J$3:$J$14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2D-4ED9-9EF7-CFECE3B11892}"/>
                  </c:ext>
                </c:extLst>
              </c15:ser>
            </c15:filteredLineSeries>
          </c:ext>
        </c:extLst>
      </c:lineChart>
      <c:catAx>
        <c:axId val="1360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4096"/>
        <c:crosses val="autoZero"/>
        <c:auto val="1"/>
        <c:lblAlgn val="ctr"/>
        <c:lblOffset val="100"/>
        <c:noMultiLvlLbl val="0"/>
      </c:catAx>
      <c:valAx>
        <c:axId val="1589240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792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harepoint - Jewelson Capuno'!A1"/><Relationship Id="rId13" Type="http://schemas.openxmlformats.org/officeDocument/2006/relationships/hyperlink" Target="#'PR CALIBRATION RAW'!A1"/><Relationship Id="rId18" Type="http://schemas.openxmlformats.org/officeDocument/2006/relationships/hyperlink" Target="#'COACHING RAW'!A1"/><Relationship Id="rId3" Type="http://schemas.openxmlformats.org/officeDocument/2006/relationships/hyperlink" Target="#SUPERVISORS!A1"/><Relationship Id="rId21" Type="http://schemas.openxmlformats.org/officeDocument/2006/relationships/hyperlink" Target="#'BONUS RAW'!A1"/><Relationship Id="rId7" Type="http://schemas.openxmlformats.org/officeDocument/2006/relationships/hyperlink" Target="#'Logistics Executives'!A1"/><Relationship Id="rId12" Type="http://schemas.openxmlformats.org/officeDocument/2006/relationships/hyperlink" Target="#'TL CALIBRATION RAW'!A1"/><Relationship Id="rId17" Type="http://schemas.openxmlformats.org/officeDocument/2006/relationships/hyperlink" Target="#'CE RAW'!A1"/><Relationship Id="rId2" Type="http://schemas.openxmlformats.org/officeDocument/2006/relationships/hyperlink" Target="#RESOURCES!A1"/><Relationship Id="rId16" Type="http://schemas.openxmlformats.org/officeDocument/2006/relationships/hyperlink" Target="#'QA RAW'!A1"/><Relationship Id="rId20" Type="http://schemas.openxmlformats.org/officeDocument/2006/relationships/hyperlink" Target="#'DISPUTES RAW (VQA)'!A1"/><Relationship Id="rId1" Type="http://schemas.openxmlformats.org/officeDocument/2006/relationships/image" Target="../media/image1.png"/><Relationship Id="rId6" Type="http://schemas.openxmlformats.org/officeDocument/2006/relationships/hyperlink" Target="#'RDA - Larry Somera'!A1"/><Relationship Id="rId11" Type="http://schemas.openxmlformats.org/officeDocument/2006/relationships/hyperlink" Target="#'ATTRITION RAW'!A1"/><Relationship Id="rId5" Type="http://schemas.openxmlformats.org/officeDocument/2006/relationships/hyperlink" Target="#'QA CE Coach - Santy Lazaro'!A1"/><Relationship Id="rId15" Type="http://schemas.openxmlformats.org/officeDocument/2006/relationships/hyperlink" Target="#'ATTENDANCE RAW'!A1"/><Relationship Id="rId23" Type="http://schemas.openxmlformats.org/officeDocument/2006/relationships/hyperlink" Target="#'CHURN RAW'!A1"/><Relationship Id="rId10" Type="http://schemas.openxmlformats.org/officeDocument/2006/relationships/hyperlink" Target="#'for coaching'!A1"/><Relationship Id="rId19" Type="http://schemas.openxmlformats.org/officeDocument/2006/relationships/hyperlink" Target="#'KC RAW'!A1"/><Relationship Id="rId4" Type="http://schemas.openxmlformats.org/officeDocument/2006/relationships/hyperlink" Target="#MANAGERS!A1"/><Relationship Id="rId9" Type="http://schemas.openxmlformats.org/officeDocument/2006/relationships/hyperlink" Target="#KPI!A1"/><Relationship Id="rId14" Type="http://schemas.openxmlformats.org/officeDocument/2006/relationships/hyperlink" Target="#'PRODUCTIVITY RAW'!A1"/><Relationship Id="rId22" Type="http://schemas.openxmlformats.org/officeDocument/2006/relationships/hyperlink" Target="#'FCR RAW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140075</xdr:colOff>
      <xdr:row>16</xdr:row>
      <xdr:rowOff>0</xdr:rowOff>
    </xdr:from>
    <xdr:to>
      <xdr:col>16</xdr:col>
      <xdr:colOff>44823</xdr:colOff>
      <xdr:row>38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212167-D941-4F01-A37E-F8506983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549088</xdr:colOff>
      <xdr:row>17</xdr:row>
      <xdr:rowOff>22412</xdr:rowOff>
    </xdr:from>
    <xdr:to>
      <xdr:col>1</xdr:col>
      <xdr:colOff>968193</xdr:colOff>
      <xdr:row>18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79714783-7D58-40F7-84E0-573B85BF28ED}"/>
            </a:ext>
          </a:extLst>
        </xdr:cNvPr>
        <xdr:cNvSpPr/>
      </xdr:nvSpPr>
      <xdr:spPr>
        <a:xfrm rot="10800000">
          <a:off x="2263588" y="3260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67236</xdr:colOff>
      <xdr:row>0</xdr:row>
      <xdr:rowOff>134470</xdr:rowOff>
    </xdr:from>
    <xdr:to>
      <xdr:col>17</xdr:col>
      <xdr:colOff>486341</xdr:colOff>
      <xdr:row>1</xdr:row>
      <xdr:rowOff>115423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BFD88B6C-F1C0-4AF3-8084-E48A6CE0793C}"/>
            </a:ext>
          </a:extLst>
        </xdr:cNvPr>
        <xdr:cNvSpPr/>
      </xdr:nvSpPr>
      <xdr:spPr>
        <a:xfrm rot="10800000">
          <a:off x="16707971" y="13447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0</xdr:row>
      <xdr:rowOff>44824</xdr:rowOff>
    </xdr:from>
    <xdr:to>
      <xdr:col>3</xdr:col>
      <xdr:colOff>553575</xdr:colOff>
      <xdr:row>1</xdr:row>
      <xdr:rowOff>25777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FA38E2FF-3B49-4784-B639-3483C31287DA}"/>
            </a:ext>
          </a:extLst>
        </xdr:cNvPr>
        <xdr:cNvSpPr/>
      </xdr:nvSpPr>
      <xdr:spPr>
        <a:xfrm rot="10800000">
          <a:off x="4459941" y="4482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26</xdr:row>
      <xdr:rowOff>78441</xdr:rowOff>
    </xdr:from>
    <xdr:to>
      <xdr:col>0</xdr:col>
      <xdr:colOff>676840</xdr:colOff>
      <xdr:row>27</xdr:row>
      <xdr:rowOff>59394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A4D88A5F-D170-49CC-90E2-09D19FFD2DBD}"/>
            </a:ext>
          </a:extLst>
        </xdr:cNvPr>
        <xdr:cNvSpPr/>
      </xdr:nvSpPr>
      <xdr:spPr>
        <a:xfrm rot="10800000">
          <a:off x="257735" y="503144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112060</xdr:colOff>
      <xdr:row>0</xdr:row>
      <xdr:rowOff>134469</xdr:rowOff>
    </xdr:from>
    <xdr:to>
      <xdr:col>8</xdr:col>
      <xdr:colOff>531165</xdr:colOff>
      <xdr:row>1</xdr:row>
      <xdr:rowOff>115422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D7038555-BC39-48EA-BC21-B639268D3E26}"/>
            </a:ext>
          </a:extLst>
        </xdr:cNvPr>
        <xdr:cNvSpPr/>
      </xdr:nvSpPr>
      <xdr:spPr>
        <a:xfrm rot="10800000">
          <a:off x="8617325" y="134469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0</xdr:row>
      <xdr:rowOff>22412</xdr:rowOff>
    </xdr:from>
    <xdr:to>
      <xdr:col>1</xdr:col>
      <xdr:colOff>587193</xdr:colOff>
      <xdr:row>0</xdr:row>
      <xdr:rowOff>193865</xdr:rowOff>
    </xdr:to>
    <xdr:sp macro="" textlink="">
      <xdr:nvSpPr>
        <xdr:cNvPr id="4" name="Arrow: Striped Right 3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F053329F-A0E0-4B34-A701-3063DD5C5D4E}"/>
            </a:ext>
          </a:extLst>
        </xdr:cNvPr>
        <xdr:cNvSpPr/>
      </xdr:nvSpPr>
      <xdr:spPr>
        <a:xfrm rot="10800000">
          <a:off x="571500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0</xdr:row>
      <xdr:rowOff>11206</xdr:rowOff>
    </xdr:from>
    <xdr:to>
      <xdr:col>4</xdr:col>
      <xdr:colOff>636819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44D788CA-7100-4DFB-9B9B-2AFC9E102FDA}"/>
            </a:ext>
          </a:extLst>
        </xdr:cNvPr>
        <xdr:cNvSpPr/>
      </xdr:nvSpPr>
      <xdr:spPr>
        <a:xfrm rot="10800000">
          <a:off x="7423096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123265</xdr:colOff>
      <xdr:row>0</xdr:row>
      <xdr:rowOff>33617</xdr:rowOff>
    </xdr:from>
    <xdr:to>
      <xdr:col>10</xdr:col>
      <xdr:colOff>542370</xdr:colOff>
      <xdr:row>0</xdr:row>
      <xdr:rowOff>205070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B4D64733-4643-4A6C-A70D-86B52F79F4F3}"/>
            </a:ext>
          </a:extLst>
        </xdr:cNvPr>
        <xdr:cNvSpPr/>
      </xdr:nvSpPr>
      <xdr:spPr>
        <a:xfrm rot="10800000">
          <a:off x="13312589" y="33617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112060</xdr:colOff>
      <xdr:row>0</xdr:row>
      <xdr:rowOff>11206</xdr:rowOff>
    </xdr:from>
    <xdr:to>
      <xdr:col>17</xdr:col>
      <xdr:colOff>531165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2899BB92-8D04-4DD5-9ADA-99F391790875}"/>
            </a:ext>
          </a:extLst>
        </xdr:cNvPr>
        <xdr:cNvSpPr/>
      </xdr:nvSpPr>
      <xdr:spPr>
        <a:xfrm rot="10800000">
          <a:off x="8169089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627530</xdr:colOff>
      <xdr:row>0</xdr:row>
      <xdr:rowOff>100853</xdr:rowOff>
    </xdr:from>
    <xdr:to>
      <xdr:col>11</xdr:col>
      <xdr:colOff>1046635</xdr:colOff>
      <xdr:row>1</xdr:row>
      <xdr:rowOff>70600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46AD1BA3-B4F0-427D-BFF4-C38D94907D01}"/>
            </a:ext>
          </a:extLst>
        </xdr:cNvPr>
        <xdr:cNvSpPr/>
      </xdr:nvSpPr>
      <xdr:spPr>
        <a:xfrm rot="10800000">
          <a:off x="8068236" y="100853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95249</xdr:rowOff>
    </xdr:from>
    <xdr:to>
      <xdr:col>19</xdr:col>
      <xdr:colOff>390525</xdr:colOff>
      <xdr:row>27</xdr:row>
      <xdr:rowOff>171450</xdr:rowOff>
    </xdr:to>
    <xdr:pic>
      <xdr:nvPicPr>
        <xdr:cNvPr id="30" name="6B7FCE5C-768E-4882-BCA9-72BF0D8BE0E0" descr="6E2B906E-DD7F-4BA5-8488-7BF5BD172C3C@personiv">
          <a:extLst>
            <a:ext uri="{FF2B5EF4-FFF2-40B4-BE49-F238E27FC236}">
              <a16:creationId xmlns:a16="http://schemas.microsoft.com/office/drawing/2014/main" xmlns="" id="{BBBB605E-EB16-4C84-B2AE-7A0B0E0A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47749"/>
          <a:ext cx="11010900" cy="4267201"/>
        </a:xfrm>
        <a:prstGeom prst="rect">
          <a:avLst/>
        </a:prstGeom>
        <a:noFill/>
        <a:ln>
          <a:noFill/>
        </a:ln>
        <a:effectLst>
          <a:glow rad="1905000">
            <a:schemeClr val="accent1"/>
          </a:glow>
          <a:outerShdw blurRad="50800" dist="50800" dir="5400000" sx="200000" sy="2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3</xdr:col>
      <xdr:colOff>552450</xdr:colOff>
      <xdr:row>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2" tooltip="RESOURCES"/>
          <a:extLst>
            <a:ext uri="{FF2B5EF4-FFF2-40B4-BE49-F238E27FC236}">
              <a16:creationId xmlns:a16="http://schemas.microsoft.com/office/drawing/2014/main" xmlns="" id="{7CA54762-9E39-4813-A2DD-EF38D1AE1017}"/>
            </a:ext>
          </a:extLst>
        </xdr:cNvPr>
        <xdr:cNvSpPr/>
      </xdr:nvSpPr>
      <xdr:spPr>
        <a:xfrm>
          <a:off x="609600" y="1333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RESOURCES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552450</xdr:colOff>
      <xdr:row>11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3" tooltip="SUPERVISORS"/>
          <a:extLst>
            <a:ext uri="{FF2B5EF4-FFF2-40B4-BE49-F238E27FC236}">
              <a16:creationId xmlns:a16="http://schemas.microsoft.com/office/drawing/2014/main" xmlns="" id="{543121B8-A19E-41E2-95E7-65C92BD4416F}"/>
            </a:ext>
          </a:extLst>
        </xdr:cNvPr>
        <xdr:cNvSpPr/>
      </xdr:nvSpPr>
      <xdr:spPr>
        <a:xfrm>
          <a:off x="609600" y="2286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SUPERVISORS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3</xdr:col>
      <xdr:colOff>552450</xdr:colOff>
      <xdr:row>16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4" tooltip="MANAGERS"/>
          <a:extLst>
            <a:ext uri="{FF2B5EF4-FFF2-40B4-BE49-F238E27FC236}">
              <a16:creationId xmlns:a16="http://schemas.microsoft.com/office/drawing/2014/main" xmlns="" id="{2488B8A2-9B43-460E-8AF8-BE427B655A40}"/>
            </a:ext>
          </a:extLst>
        </xdr:cNvPr>
        <xdr:cNvSpPr/>
      </xdr:nvSpPr>
      <xdr:spPr>
        <a:xfrm>
          <a:off x="609600" y="3238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MANAGERS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552450</xdr:colOff>
      <xdr:row>21</xdr:row>
      <xdr:rowOff>0</xdr:rowOff>
    </xdr:to>
    <xdr:sp macro="" textlink="">
      <xdr:nvSpPr>
        <xdr:cNvPr id="15" name="Rectangle: Rounded Corners 14">
          <a:hlinkClick xmlns:r="http://schemas.openxmlformats.org/officeDocument/2006/relationships" r:id="rId5" tooltip="QA CE COACH"/>
          <a:extLst>
            <a:ext uri="{FF2B5EF4-FFF2-40B4-BE49-F238E27FC236}">
              <a16:creationId xmlns:a16="http://schemas.microsoft.com/office/drawing/2014/main" xmlns="" id="{44DC67C1-60C1-47FA-B364-44E8B18DCAC2}"/>
            </a:ext>
          </a:extLst>
        </xdr:cNvPr>
        <xdr:cNvSpPr/>
      </xdr:nvSpPr>
      <xdr:spPr>
        <a:xfrm>
          <a:off x="6096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CE COACH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3</xdr:col>
      <xdr:colOff>552450</xdr:colOff>
      <xdr:row>26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6" tooltip="RDA"/>
          <a:extLst>
            <a:ext uri="{FF2B5EF4-FFF2-40B4-BE49-F238E27FC236}">
              <a16:creationId xmlns:a16="http://schemas.microsoft.com/office/drawing/2014/main" xmlns="" id="{98FABE73-69ED-4AFA-9EB9-32CB321B0591}"/>
            </a:ext>
          </a:extLst>
        </xdr:cNvPr>
        <xdr:cNvSpPr/>
      </xdr:nvSpPr>
      <xdr:spPr>
        <a:xfrm>
          <a:off x="6096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RDA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3</xdr:col>
      <xdr:colOff>552450</xdr:colOff>
      <xdr:row>31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7" tooltip="LOGISTICS"/>
          <a:extLst>
            <a:ext uri="{FF2B5EF4-FFF2-40B4-BE49-F238E27FC236}">
              <a16:creationId xmlns:a16="http://schemas.microsoft.com/office/drawing/2014/main" xmlns="" id="{57BA8C0E-038B-4B02-8177-DDDB3BC300C5}"/>
            </a:ext>
          </a:extLst>
        </xdr:cNvPr>
        <xdr:cNvSpPr/>
      </xdr:nvSpPr>
      <xdr:spPr>
        <a:xfrm>
          <a:off x="6096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LOGISTICS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552450</xdr:colOff>
      <xdr:row>6</xdr:row>
      <xdr:rowOff>0</xdr:rowOff>
    </xdr:to>
    <xdr:sp macro="" textlink="">
      <xdr:nvSpPr>
        <xdr:cNvPr id="18" name="Rectangle: Rounded Corners 17">
          <a:hlinkClick xmlns:r="http://schemas.openxmlformats.org/officeDocument/2006/relationships" r:id="rId8" tooltip="SHAREPOINT"/>
          <a:extLst>
            <a:ext uri="{FF2B5EF4-FFF2-40B4-BE49-F238E27FC236}">
              <a16:creationId xmlns:a16="http://schemas.microsoft.com/office/drawing/2014/main" xmlns="" id="{B8E99694-DEDF-49AC-AF93-388E28F23441}"/>
            </a:ext>
          </a:extLst>
        </xdr:cNvPr>
        <xdr:cNvSpPr/>
      </xdr:nvSpPr>
      <xdr:spPr>
        <a:xfrm>
          <a:off x="30480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SHAREPOINT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552450</xdr:colOff>
      <xdr:row>11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9" tooltip="KPI"/>
          <a:extLst>
            <a:ext uri="{FF2B5EF4-FFF2-40B4-BE49-F238E27FC236}">
              <a16:creationId xmlns:a16="http://schemas.microsoft.com/office/drawing/2014/main" xmlns="" id="{BC98A354-D97F-427A-A404-22999771D4D9}"/>
            </a:ext>
          </a:extLst>
        </xdr:cNvPr>
        <xdr:cNvSpPr/>
      </xdr:nvSpPr>
      <xdr:spPr>
        <a:xfrm>
          <a:off x="30480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KPI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552450</xdr:colOff>
      <xdr:row>16</xdr:row>
      <xdr:rowOff>0</xdr:rowOff>
    </xdr:to>
    <xdr:sp macro="" textlink="">
      <xdr:nvSpPr>
        <xdr:cNvPr id="20" name="Rectangle: Rounded Corners 19">
          <a:hlinkClick xmlns:r="http://schemas.openxmlformats.org/officeDocument/2006/relationships" r:id="rId10" tooltip="FOR COACHING"/>
          <a:extLst>
            <a:ext uri="{FF2B5EF4-FFF2-40B4-BE49-F238E27FC236}">
              <a16:creationId xmlns:a16="http://schemas.microsoft.com/office/drawing/2014/main" xmlns="" id="{426233C5-99BD-4E70-A06F-3F84192598D3}"/>
            </a:ext>
          </a:extLst>
        </xdr:cNvPr>
        <xdr:cNvSpPr/>
      </xdr:nvSpPr>
      <xdr:spPr>
        <a:xfrm>
          <a:off x="30480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FOR COACHING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7</xdr:col>
      <xdr:colOff>552450</xdr:colOff>
      <xdr:row>21</xdr:row>
      <xdr:rowOff>0</xdr:rowOff>
    </xdr:to>
    <xdr:sp macro="" textlink="">
      <xdr:nvSpPr>
        <xdr:cNvPr id="21" name="Rectangle: Rounded Corners 20">
          <a:hlinkClick xmlns:r="http://schemas.openxmlformats.org/officeDocument/2006/relationships" r:id="rId11" tooltip="ATTRITION RAW"/>
          <a:extLst>
            <a:ext uri="{FF2B5EF4-FFF2-40B4-BE49-F238E27FC236}">
              <a16:creationId xmlns:a16="http://schemas.microsoft.com/office/drawing/2014/main" xmlns="" id="{085C08D2-96CD-4A35-A724-BBFA81113763}"/>
            </a:ext>
          </a:extLst>
        </xdr:cNvPr>
        <xdr:cNvSpPr/>
      </xdr:nvSpPr>
      <xdr:spPr>
        <a:xfrm>
          <a:off x="30480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ATTRITION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7</xdr:col>
      <xdr:colOff>552450</xdr:colOff>
      <xdr:row>26</xdr:row>
      <xdr:rowOff>0</xdr:rowOff>
    </xdr:to>
    <xdr:sp macro="" textlink="">
      <xdr:nvSpPr>
        <xdr:cNvPr id="22" name="Rectangle: Rounded Corners 21">
          <a:hlinkClick xmlns:r="http://schemas.openxmlformats.org/officeDocument/2006/relationships" r:id="rId12" tooltip="TL CALIBRATION RAW"/>
          <a:extLst>
            <a:ext uri="{FF2B5EF4-FFF2-40B4-BE49-F238E27FC236}">
              <a16:creationId xmlns:a16="http://schemas.microsoft.com/office/drawing/2014/main" xmlns="" id="{1ACE7D51-C2E0-492F-9FF6-CB4FC28FFEC6}"/>
            </a:ext>
          </a:extLst>
        </xdr:cNvPr>
        <xdr:cNvSpPr/>
      </xdr:nvSpPr>
      <xdr:spPr>
        <a:xfrm>
          <a:off x="30480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TL CALIBRATION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7</xdr:col>
      <xdr:colOff>552450</xdr:colOff>
      <xdr:row>31</xdr:row>
      <xdr:rowOff>0</xdr:rowOff>
    </xdr:to>
    <xdr:sp macro="" textlink="">
      <xdr:nvSpPr>
        <xdr:cNvPr id="23" name="Rectangle: Rounded Corners 22">
          <a:hlinkClick xmlns:r="http://schemas.openxmlformats.org/officeDocument/2006/relationships" r:id="rId13" tooltip="PR CALIBRATION RAW"/>
          <a:extLst>
            <a:ext uri="{FF2B5EF4-FFF2-40B4-BE49-F238E27FC236}">
              <a16:creationId xmlns:a16="http://schemas.microsoft.com/office/drawing/2014/main" xmlns="" id="{DC34F9D8-67DD-4665-84C3-063A222138C1}"/>
            </a:ext>
          </a:extLst>
        </xdr:cNvPr>
        <xdr:cNvSpPr/>
      </xdr:nvSpPr>
      <xdr:spPr>
        <a:xfrm>
          <a:off x="30480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 CALIBRATION RAW</a:t>
          </a:r>
          <a:r>
            <a:rPr lang="en-PH" sz="1100" b="1" u="sng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</a:rPr>
            <a:t> 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11</xdr:col>
      <xdr:colOff>552450</xdr:colOff>
      <xdr:row>6</xdr:row>
      <xdr:rowOff>0</xdr:rowOff>
    </xdr:to>
    <xdr:sp macro="" textlink="">
      <xdr:nvSpPr>
        <xdr:cNvPr id="24" name="Rectangle: Rounded Corners 23">
          <a:hlinkClick xmlns:r="http://schemas.openxmlformats.org/officeDocument/2006/relationships" r:id="rId14" tooltip="PRODUCTIVITY RAW"/>
          <a:extLst>
            <a:ext uri="{FF2B5EF4-FFF2-40B4-BE49-F238E27FC236}">
              <a16:creationId xmlns:a16="http://schemas.microsoft.com/office/drawing/2014/main" xmlns="" id="{62A498D5-5C1A-48DF-AC84-0A23C878E10D}"/>
            </a:ext>
          </a:extLst>
        </xdr:cNvPr>
        <xdr:cNvSpPr/>
      </xdr:nvSpPr>
      <xdr:spPr>
        <a:xfrm>
          <a:off x="54864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PRODUCTIVITY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552450</xdr:colOff>
      <xdr:row>11</xdr:row>
      <xdr:rowOff>0</xdr:rowOff>
    </xdr:to>
    <xdr:sp macro="" textlink="">
      <xdr:nvSpPr>
        <xdr:cNvPr id="25" name="Rectangle: Rounded Corners 24">
          <a:hlinkClick xmlns:r="http://schemas.openxmlformats.org/officeDocument/2006/relationships" r:id="rId15" tooltip="ATTENDANCE RAW"/>
          <a:extLst>
            <a:ext uri="{FF2B5EF4-FFF2-40B4-BE49-F238E27FC236}">
              <a16:creationId xmlns:a16="http://schemas.microsoft.com/office/drawing/2014/main" xmlns="" id="{254D11CF-4746-4912-9EEF-704750E55E90}"/>
            </a:ext>
          </a:extLst>
        </xdr:cNvPr>
        <xdr:cNvSpPr/>
      </xdr:nvSpPr>
      <xdr:spPr>
        <a:xfrm>
          <a:off x="54864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ATTENDANCE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552450</xdr:colOff>
      <xdr:row>16</xdr:row>
      <xdr:rowOff>0</xdr:rowOff>
    </xdr:to>
    <xdr:sp macro="" textlink="">
      <xdr:nvSpPr>
        <xdr:cNvPr id="26" name="Rectangle: Rounded Corners 25">
          <a:hlinkClick xmlns:r="http://schemas.openxmlformats.org/officeDocument/2006/relationships" r:id="rId16" tooltip="QA RAW"/>
          <a:extLst>
            <a:ext uri="{FF2B5EF4-FFF2-40B4-BE49-F238E27FC236}">
              <a16:creationId xmlns:a16="http://schemas.microsoft.com/office/drawing/2014/main" xmlns="" id="{9C2FA6F0-EC93-45E4-9E67-792799A7BE4D}"/>
            </a:ext>
          </a:extLst>
        </xdr:cNvPr>
        <xdr:cNvSpPr/>
      </xdr:nvSpPr>
      <xdr:spPr>
        <a:xfrm>
          <a:off x="54864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552450</xdr:colOff>
      <xdr:row>21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7" tooltip="CE RAW"/>
          <a:extLst>
            <a:ext uri="{FF2B5EF4-FFF2-40B4-BE49-F238E27FC236}">
              <a16:creationId xmlns:a16="http://schemas.microsoft.com/office/drawing/2014/main" xmlns="" id="{6EED7953-0277-4628-9836-72F6759E844B}"/>
            </a:ext>
          </a:extLst>
        </xdr:cNvPr>
        <xdr:cNvSpPr/>
      </xdr:nvSpPr>
      <xdr:spPr>
        <a:xfrm>
          <a:off x="54864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552450</xdr:colOff>
      <xdr:row>26</xdr:row>
      <xdr:rowOff>0</xdr:rowOff>
    </xdr:to>
    <xdr:sp macro="" textlink="">
      <xdr:nvSpPr>
        <xdr:cNvPr id="28" name="Rectangle: Rounded Corners 27">
          <a:hlinkClick xmlns:r="http://schemas.openxmlformats.org/officeDocument/2006/relationships" r:id="rId18" tooltip="COACHING RAW"/>
          <a:extLst>
            <a:ext uri="{FF2B5EF4-FFF2-40B4-BE49-F238E27FC236}">
              <a16:creationId xmlns:a16="http://schemas.microsoft.com/office/drawing/2014/main" xmlns="" id="{6F48CADE-C36A-47DC-BD40-F4297EB3E829}"/>
            </a:ext>
          </a:extLst>
        </xdr:cNvPr>
        <xdr:cNvSpPr/>
      </xdr:nvSpPr>
      <xdr:spPr>
        <a:xfrm>
          <a:off x="54864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COACHING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552450</xdr:colOff>
      <xdr:row>31</xdr:row>
      <xdr:rowOff>0</xdr:rowOff>
    </xdr:to>
    <xdr:sp macro="" textlink="">
      <xdr:nvSpPr>
        <xdr:cNvPr id="29" name="Rectangle: Rounded Corners 28">
          <a:hlinkClick xmlns:r="http://schemas.openxmlformats.org/officeDocument/2006/relationships" r:id="rId19" tooltip="KC RAW"/>
          <a:extLst>
            <a:ext uri="{FF2B5EF4-FFF2-40B4-BE49-F238E27FC236}">
              <a16:creationId xmlns:a16="http://schemas.microsoft.com/office/drawing/2014/main" xmlns="" id="{88D58833-A874-4781-9851-E95FDBF5288D}"/>
            </a:ext>
          </a:extLst>
        </xdr:cNvPr>
        <xdr:cNvSpPr/>
      </xdr:nvSpPr>
      <xdr:spPr>
        <a:xfrm>
          <a:off x="54864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KC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552450</xdr:colOff>
      <xdr:row>10</xdr:row>
      <xdr:rowOff>0</xdr:rowOff>
    </xdr:to>
    <xdr:sp macro="" textlink="">
      <xdr:nvSpPr>
        <xdr:cNvPr id="35" name="Rectangle: Rounded Corners 34">
          <a:hlinkClick xmlns:r="http://schemas.openxmlformats.org/officeDocument/2006/relationships" r:id="rId20" tooltip="DISPUTES RAW (VQA)"/>
          <a:extLst>
            <a:ext uri="{FF2B5EF4-FFF2-40B4-BE49-F238E27FC236}">
              <a16:creationId xmlns:a16="http://schemas.microsoft.com/office/drawing/2014/main" xmlns="" id="{05DF4705-6BC3-4C05-BCE8-A8ED55C69111}"/>
            </a:ext>
          </a:extLst>
        </xdr:cNvPr>
        <xdr:cNvSpPr/>
      </xdr:nvSpPr>
      <xdr:spPr>
        <a:xfrm>
          <a:off x="7924800" y="1333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DISPUTES RAW (VQA)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15</xdr:col>
      <xdr:colOff>552450</xdr:colOff>
      <xdr:row>15</xdr:row>
      <xdr:rowOff>0</xdr:rowOff>
    </xdr:to>
    <xdr:sp macro="" textlink="">
      <xdr:nvSpPr>
        <xdr:cNvPr id="37" name="Rectangle: Rounded Corners 36">
          <a:hlinkClick xmlns:r="http://schemas.openxmlformats.org/officeDocument/2006/relationships" r:id="rId21" tooltip="BONUS RAW"/>
          <a:extLst>
            <a:ext uri="{FF2B5EF4-FFF2-40B4-BE49-F238E27FC236}">
              <a16:creationId xmlns:a16="http://schemas.microsoft.com/office/drawing/2014/main" xmlns="" id="{D7CB162A-9F4B-4192-8616-8BA9BEA8668F}"/>
            </a:ext>
          </a:extLst>
        </xdr:cNvPr>
        <xdr:cNvSpPr/>
      </xdr:nvSpPr>
      <xdr:spPr>
        <a:xfrm>
          <a:off x="7924800" y="2286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BONUS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552450</xdr:colOff>
      <xdr:row>20</xdr:row>
      <xdr:rowOff>0</xdr:rowOff>
    </xdr:to>
    <xdr:sp macro="" textlink="">
      <xdr:nvSpPr>
        <xdr:cNvPr id="38" name="Rectangle: Rounded Corners 37">
          <a:hlinkClick xmlns:r="http://schemas.openxmlformats.org/officeDocument/2006/relationships" r:id="rId22" tooltip="FCR RAW"/>
          <a:extLst>
            <a:ext uri="{FF2B5EF4-FFF2-40B4-BE49-F238E27FC236}">
              <a16:creationId xmlns:a16="http://schemas.microsoft.com/office/drawing/2014/main" xmlns="" id="{741C3ABE-1D9B-4A05-AD32-099008A5D673}"/>
            </a:ext>
          </a:extLst>
        </xdr:cNvPr>
        <xdr:cNvSpPr/>
      </xdr:nvSpPr>
      <xdr:spPr>
        <a:xfrm>
          <a:off x="7924800" y="3238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FCR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552450</xdr:colOff>
      <xdr:row>25</xdr:row>
      <xdr:rowOff>0</xdr:rowOff>
    </xdr:to>
    <xdr:sp macro="" textlink="">
      <xdr:nvSpPr>
        <xdr:cNvPr id="39" name="Rectangle: Rounded Corners 38">
          <a:hlinkClick xmlns:r="http://schemas.openxmlformats.org/officeDocument/2006/relationships" r:id="rId23" tooltip="CHURN RAW"/>
          <a:extLst>
            <a:ext uri="{FF2B5EF4-FFF2-40B4-BE49-F238E27FC236}">
              <a16:creationId xmlns:a16="http://schemas.microsoft.com/office/drawing/2014/main" xmlns="" id="{4ED7426D-10B6-4ECF-ABF3-AA9AB0EDAFAD}"/>
            </a:ext>
          </a:extLst>
        </xdr:cNvPr>
        <xdr:cNvSpPr/>
      </xdr:nvSpPr>
      <xdr:spPr>
        <a:xfrm>
          <a:off x="7924800" y="4191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CHURN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347383</xdr:colOff>
      <xdr:row>1</xdr:row>
      <xdr:rowOff>67235</xdr:rowOff>
    </xdr:from>
    <xdr:to>
      <xdr:col>9</xdr:col>
      <xdr:colOff>766488</xdr:colOff>
      <xdr:row>2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AA5DBB90-3C42-4602-8480-FAD271F72151}"/>
            </a:ext>
          </a:extLst>
        </xdr:cNvPr>
        <xdr:cNvSpPr/>
      </xdr:nvSpPr>
      <xdr:spPr>
        <a:xfrm rot="10800000">
          <a:off x="11710148" y="2577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7</xdr:row>
      <xdr:rowOff>22412</xdr:rowOff>
    </xdr:from>
    <xdr:to>
      <xdr:col>1</xdr:col>
      <xdr:colOff>721664</xdr:colOff>
      <xdr:row>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AF4CA21E-EC3B-408C-A620-3E51FC4DC2D2}"/>
            </a:ext>
          </a:extLst>
        </xdr:cNvPr>
        <xdr:cNvSpPr/>
      </xdr:nvSpPr>
      <xdr:spPr>
        <a:xfrm rot="10800000">
          <a:off x="739588" y="1355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0</xdr:row>
      <xdr:rowOff>22412</xdr:rowOff>
    </xdr:from>
    <xdr:to>
      <xdr:col>10</xdr:col>
      <xdr:colOff>553575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CDFBA3DC-6662-4FDF-BC86-2280AE9CEBC7}"/>
            </a:ext>
          </a:extLst>
        </xdr:cNvPr>
        <xdr:cNvSpPr/>
      </xdr:nvSpPr>
      <xdr:spPr>
        <a:xfrm rot="10800000">
          <a:off x="17425146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89647</xdr:colOff>
      <xdr:row>0</xdr:row>
      <xdr:rowOff>67235</xdr:rowOff>
    </xdr:from>
    <xdr:to>
      <xdr:col>11</xdr:col>
      <xdr:colOff>508752</xdr:colOff>
      <xdr:row>1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4CBE2550-8A97-4A1D-AF18-D70A85FA2FE3}"/>
            </a:ext>
          </a:extLst>
        </xdr:cNvPr>
        <xdr:cNvSpPr/>
      </xdr:nvSpPr>
      <xdr:spPr>
        <a:xfrm rot="10800000">
          <a:off x="6667500" y="672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3</xdr:row>
      <xdr:rowOff>11206</xdr:rowOff>
    </xdr:from>
    <xdr:to>
      <xdr:col>0</xdr:col>
      <xdr:colOff>553575</xdr:colOff>
      <xdr:row>3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BF4BD7A3-F6E3-47F5-9A43-5B93706A6387}"/>
            </a:ext>
          </a:extLst>
        </xdr:cNvPr>
        <xdr:cNvSpPr/>
      </xdr:nvSpPr>
      <xdr:spPr>
        <a:xfrm rot="10800000">
          <a:off x="134470" y="5827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1</xdr:row>
      <xdr:rowOff>22412</xdr:rowOff>
    </xdr:from>
    <xdr:to>
      <xdr:col>2</xdr:col>
      <xdr:colOff>788899</xdr:colOff>
      <xdr:row>1</xdr:row>
      <xdr:rowOff>193865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7613573C-8CC6-45E1-9D37-C583C4D681E0}"/>
            </a:ext>
          </a:extLst>
        </xdr:cNvPr>
        <xdr:cNvSpPr/>
      </xdr:nvSpPr>
      <xdr:spPr>
        <a:xfrm rot="10800000">
          <a:off x="1019735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324971</xdr:colOff>
      <xdr:row>1</xdr:row>
      <xdr:rowOff>22412</xdr:rowOff>
    </xdr:from>
    <xdr:to>
      <xdr:col>1</xdr:col>
      <xdr:colOff>744076</xdr:colOff>
      <xdr:row>1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D3D81F3F-B89C-4877-B6AF-EAFC1661B0C3}"/>
            </a:ext>
          </a:extLst>
        </xdr:cNvPr>
        <xdr:cNvSpPr/>
      </xdr:nvSpPr>
      <xdr:spPr>
        <a:xfrm rot="10800000">
          <a:off x="324971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22411</xdr:rowOff>
    </xdr:from>
    <xdr:to>
      <xdr:col>0</xdr:col>
      <xdr:colOff>531164</xdr:colOff>
      <xdr:row>1</xdr:row>
      <xdr:rowOff>3364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A92C5234-25C0-42BB-BD85-09FC7F9756A5}"/>
            </a:ext>
          </a:extLst>
        </xdr:cNvPr>
        <xdr:cNvSpPr/>
      </xdr:nvSpPr>
      <xdr:spPr>
        <a:xfrm rot="10800000">
          <a:off x="112059" y="2241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212912</xdr:colOff>
      <xdr:row>0</xdr:row>
      <xdr:rowOff>123265</xdr:rowOff>
    </xdr:from>
    <xdr:to>
      <xdr:col>12</xdr:col>
      <xdr:colOff>632017</xdr:colOff>
      <xdr:row>0</xdr:row>
      <xdr:rowOff>294718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8C91487A-519B-4476-BD68-8894116A76A1}"/>
            </a:ext>
          </a:extLst>
        </xdr:cNvPr>
        <xdr:cNvSpPr/>
      </xdr:nvSpPr>
      <xdr:spPr>
        <a:xfrm rot="10800000">
          <a:off x="15150353" y="12326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9</xdr:col>
      <xdr:colOff>552455</xdr:colOff>
      <xdr:row>0</xdr:row>
      <xdr:rowOff>247653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B7C50C1A-6ECD-4E54-B36D-29EB626D72E7}"/>
            </a:ext>
          </a:extLst>
        </xdr:cNvPr>
        <xdr:cNvSpPr/>
      </xdr:nvSpPr>
      <xdr:spPr>
        <a:xfrm rot="10800000">
          <a:off x="9324975" y="7620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212909</xdr:colOff>
      <xdr:row>0</xdr:row>
      <xdr:rowOff>67234</xdr:rowOff>
    </xdr:from>
    <xdr:to>
      <xdr:col>10</xdr:col>
      <xdr:colOff>632014</xdr:colOff>
      <xdr:row>1</xdr:row>
      <xdr:rowOff>25775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12585A70-9A63-4AF4-A45B-B13ABD132BB6}"/>
            </a:ext>
          </a:extLst>
        </xdr:cNvPr>
        <xdr:cNvSpPr/>
      </xdr:nvSpPr>
      <xdr:spPr>
        <a:xfrm rot="10800000">
          <a:off x="12875556" y="6723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313765</xdr:colOff>
      <xdr:row>0</xdr:row>
      <xdr:rowOff>22412</xdr:rowOff>
    </xdr:from>
    <xdr:to>
      <xdr:col>1</xdr:col>
      <xdr:colOff>732870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xmlns="" id="{C9FF6273-3E0B-42A0-9CD9-FFFC2F02967B}"/>
            </a:ext>
          </a:extLst>
        </xdr:cNvPr>
        <xdr:cNvSpPr/>
      </xdr:nvSpPr>
      <xdr:spPr>
        <a:xfrm rot="10800000">
          <a:off x="605118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32"/>
  <sheetViews>
    <sheetView showGridLines="0" zoomScale="85" zoomScaleNormal="85" workbookViewId="0">
      <selection activeCell="B9" sqref="B9"/>
    </sheetView>
  </sheetViews>
  <sheetFormatPr defaultRowHeight="15"/>
  <cols>
    <col min="1" max="1" width="28.28515625" bestFit="1" customWidth="1"/>
    <col min="2" max="2" width="15.5703125" customWidth="1"/>
    <col min="3" max="3" width="17.7109375" customWidth="1"/>
    <col min="4" max="4" width="18.42578125" customWidth="1"/>
    <col min="5" max="5" width="13.85546875" bestFit="1" customWidth="1"/>
    <col min="6" max="6" width="13.85546875" customWidth="1"/>
    <col min="7" max="7" width="13.85546875" bestFit="1" customWidth="1"/>
    <col min="8" max="8" width="18.85546875" customWidth="1"/>
    <col min="9" max="9" width="13.28515625" customWidth="1"/>
    <col min="10" max="10" width="20.42578125" customWidth="1"/>
    <col min="11" max="11" width="16.5703125" hidden="1" customWidth="1"/>
    <col min="12" max="12" width="20.42578125" bestFit="1" customWidth="1"/>
    <col min="16" max="16" width="13.85546875" bestFit="1" customWidth="1"/>
    <col min="25" max="25" width="22.42578125" bestFit="1" customWidth="1"/>
    <col min="41" max="41" width="13.7109375" bestFit="1" customWidth="1"/>
    <col min="42" max="42" width="20.42578125" customWidth="1"/>
    <col min="43" max="43" width="35.28515625" bestFit="1" customWidth="1"/>
  </cols>
  <sheetData>
    <row r="1" spans="1:43" s="2" customFormat="1" ht="19.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N1" s="16"/>
      <c r="O1" s="16"/>
    </row>
    <row r="2" spans="1:43" s="2" customFormat="1" ht="30">
      <c r="A2" s="439" t="s">
        <v>1</v>
      </c>
      <c r="B2" s="440" t="s">
        <v>2</v>
      </c>
      <c r="C2" s="440" t="s">
        <v>3</v>
      </c>
      <c r="D2" s="440" t="s">
        <v>4</v>
      </c>
      <c r="E2" s="440" t="s">
        <v>5</v>
      </c>
      <c r="F2" s="440" t="s">
        <v>6</v>
      </c>
      <c r="G2" s="440" t="s">
        <v>7</v>
      </c>
      <c r="H2" s="457" t="s">
        <v>8</v>
      </c>
      <c r="I2" s="457" t="s">
        <v>9</v>
      </c>
      <c r="J2" s="457" t="s">
        <v>10</v>
      </c>
      <c r="K2" s="440" t="s">
        <v>11</v>
      </c>
      <c r="N2" s="16"/>
      <c r="O2" s="16"/>
      <c r="AQ2" s="2" t="s">
        <v>12</v>
      </c>
    </row>
    <row r="3" spans="1:43" s="2" customFormat="1">
      <c r="A3" s="665" t="s">
        <v>13</v>
      </c>
      <c r="B3" s="231">
        <v>0.99465240641711228</v>
      </c>
      <c r="C3" s="231">
        <v>0.78609625668449201</v>
      </c>
      <c r="D3" s="231">
        <v>0.83422459893048129</v>
      </c>
      <c r="E3" s="231">
        <v>0.60540540540540544</v>
      </c>
      <c r="F3" s="231" t="s">
        <v>14</v>
      </c>
      <c r="G3" s="231">
        <v>0.96791443850267378</v>
      </c>
      <c r="H3" s="231">
        <v>0.98692810457516345</v>
      </c>
      <c r="I3" s="231">
        <v>1</v>
      </c>
      <c r="J3" s="231">
        <v>1</v>
      </c>
      <c r="K3" s="231">
        <v>0.33333333333333337</v>
      </c>
      <c r="N3" s="16"/>
      <c r="O3" s="16"/>
      <c r="AQ3" s="2" t="s">
        <v>15</v>
      </c>
    </row>
    <row r="4" spans="1:43" s="2" customFormat="1">
      <c r="A4" s="372" t="s">
        <v>16</v>
      </c>
      <c r="B4" s="441">
        <v>0.95287958115183247</v>
      </c>
      <c r="C4" s="441">
        <v>0.68983957219251335</v>
      </c>
      <c r="D4" s="441">
        <v>0.82352941176470584</v>
      </c>
      <c r="E4" s="441">
        <v>0.87634408602150538</v>
      </c>
      <c r="F4" s="441" t="s">
        <v>14</v>
      </c>
      <c r="G4" s="441">
        <v>0.9732620320855615</v>
      </c>
      <c r="H4" s="441">
        <v>0.98026315789473684</v>
      </c>
      <c r="I4" s="441">
        <v>0.94736842105263153</v>
      </c>
      <c r="J4" s="441">
        <v>1</v>
      </c>
      <c r="K4" s="441">
        <v>0.83333333333333337</v>
      </c>
      <c r="N4" s="16"/>
      <c r="O4" s="16"/>
      <c r="AQ4" s="2" t="s">
        <v>17</v>
      </c>
    </row>
    <row r="5" spans="1:43" s="2" customFormat="1">
      <c r="A5" s="665" t="s">
        <v>18</v>
      </c>
      <c r="B5" s="231">
        <v>0.96022727272727271</v>
      </c>
      <c r="C5" s="231">
        <v>0.5625</v>
      </c>
      <c r="D5" s="231">
        <v>0.86931818181818188</v>
      </c>
      <c r="E5" s="231">
        <v>0.96470588235294119</v>
      </c>
      <c r="F5" s="231" t="s">
        <v>14</v>
      </c>
      <c r="G5" s="231">
        <v>0.99404761904761907</v>
      </c>
      <c r="H5" s="231">
        <v>1</v>
      </c>
      <c r="I5" s="231">
        <v>1</v>
      </c>
      <c r="J5" s="231">
        <v>0.9</v>
      </c>
      <c r="K5" s="231" t="s">
        <v>14</v>
      </c>
      <c r="N5" s="16"/>
      <c r="O5" s="16"/>
      <c r="AQ5" s="2" t="s">
        <v>19</v>
      </c>
    </row>
    <row r="6" spans="1:43" s="2" customFormat="1">
      <c r="A6" s="372" t="s">
        <v>20</v>
      </c>
      <c r="B6" s="441">
        <v>0.94705882352941173</v>
      </c>
      <c r="C6" s="441">
        <v>0.42857142857142855</v>
      </c>
      <c r="D6" s="441">
        <v>0.81176470588235294</v>
      </c>
      <c r="E6" s="441">
        <v>0.99382716049382713</v>
      </c>
      <c r="F6" s="441" t="s">
        <v>14</v>
      </c>
      <c r="G6" s="441">
        <v>0.99367088607594933</v>
      </c>
      <c r="H6" s="441">
        <v>0.99230769230769234</v>
      </c>
      <c r="I6" s="441">
        <v>1</v>
      </c>
      <c r="J6" s="441">
        <v>1</v>
      </c>
      <c r="K6" s="441" t="s">
        <v>14</v>
      </c>
      <c r="N6" s="16"/>
      <c r="O6" s="16"/>
      <c r="AQ6" s="2" t="s">
        <v>21</v>
      </c>
    </row>
    <row r="7" spans="1:43" s="2" customFormat="1">
      <c r="A7" s="665" t="s">
        <v>22</v>
      </c>
      <c r="B7" s="441">
        <f>$E$18</f>
        <v>0.96575342465753422</v>
      </c>
      <c r="C7" s="441">
        <f t="shared" ref="C7:E14" si="0">IFERROR(VLOOKUP(C$2,$A$20:$E$33,5,FALSE),"-")</f>
        <v>0.52777777777777779</v>
      </c>
      <c r="D7" s="441">
        <f t="shared" si="0"/>
        <v>0.82876712328767121</v>
      </c>
      <c r="E7" s="441">
        <f t="shared" si="0"/>
        <v>0.53846153846153844</v>
      </c>
      <c r="F7" s="441">
        <f t="shared" ref="F7:F14" si="1">IFERROR(VLOOKUP(F$2,$A$20:$E$33,5,FALSE),"-")</f>
        <v>0.85185185185185186</v>
      </c>
      <c r="G7" s="441">
        <f t="shared" ref="G7:K14" si="2">IFERROR(VLOOKUP(G$2,$A$20:$E$33,5,FALSE),"-")</f>
        <v>1</v>
      </c>
      <c r="H7" s="441">
        <f t="shared" si="2"/>
        <v>1</v>
      </c>
      <c r="I7" s="441">
        <f t="shared" si="2"/>
        <v>1</v>
      </c>
      <c r="J7" s="441">
        <f t="shared" si="2"/>
        <v>1</v>
      </c>
      <c r="K7" s="441" t="str">
        <f t="shared" si="2"/>
        <v>-</v>
      </c>
      <c r="N7" s="16"/>
      <c r="O7" s="16"/>
      <c r="AQ7" s="2" t="s">
        <v>23</v>
      </c>
    </row>
    <row r="8" spans="1:43" s="2" customFormat="1">
      <c r="A8" s="372" t="s">
        <v>24</v>
      </c>
      <c r="B8" s="441">
        <f t="shared" ref="B8:B14" si="3">$E$18</f>
        <v>0.96575342465753422</v>
      </c>
      <c r="C8" s="441">
        <f t="shared" si="0"/>
        <v>0.52777777777777779</v>
      </c>
      <c r="D8" s="441">
        <f t="shared" si="0"/>
        <v>0.82876712328767121</v>
      </c>
      <c r="E8" s="441">
        <f t="shared" si="0"/>
        <v>0.53846153846153844</v>
      </c>
      <c r="F8" s="441">
        <f t="shared" si="1"/>
        <v>0.85185185185185186</v>
      </c>
      <c r="G8" s="441">
        <f t="shared" si="2"/>
        <v>1</v>
      </c>
      <c r="H8" s="441">
        <f t="shared" si="2"/>
        <v>1</v>
      </c>
      <c r="I8" s="441">
        <f t="shared" si="2"/>
        <v>1</v>
      </c>
      <c r="J8" s="441">
        <f t="shared" si="2"/>
        <v>1</v>
      </c>
      <c r="K8" s="441" t="str">
        <f t="shared" si="2"/>
        <v>-</v>
      </c>
      <c r="N8" s="16"/>
      <c r="O8" s="16"/>
      <c r="AQ8" s="2" t="s">
        <v>25</v>
      </c>
    </row>
    <row r="9" spans="1:43" s="2" customFormat="1">
      <c r="A9" s="665" t="s">
        <v>26</v>
      </c>
      <c r="B9" s="231">
        <f t="shared" si="3"/>
        <v>0.96575342465753422</v>
      </c>
      <c r="C9" s="231">
        <f t="shared" si="0"/>
        <v>0.52777777777777779</v>
      </c>
      <c r="D9" s="231">
        <f t="shared" si="0"/>
        <v>0.82876712328767121</v>
      </c>
      <c r="E9" s="231">
        <f t="shared" si="0"/>
        <v>0.53846153846153844</v>
      </c>
      <c r="F9" s="231">
        <f t="shared" si="1"/>
        <v>0.85185185185185186</v>
      </c>
      <c r="G9" s="231">
        <f t="shared" si="2"/>
        <v>1</v>
      </c>
      <c r="H9" s="231">
        <f t="shared" si="2"/>
        <v>1</v>
      </c>
      <c r="I9" s="231">
        <f t="shared" si="2"/>
        <v>1</v>
      </c>
      <c r="J9" s="231">
        <f t="shared" si="2"/>
        <v>1</v>
      </c>
      <c r="K9" s="231" t="str">
        <f t="shared" si="2"/>
        <v>-</v>
      </c>
      <c r="N9" s="16"/>
      <c r="O9" s="16"/>
      <c r="AQ9" s="2" t="s">
        <v>27</v>
      </c>
    </row>
    <row r="10" spans="1:43" s="2" customFormat="1">
      <c r="A10" s="372" t="s">
        <v>28</v>
      </c>
      <c r="B10" s="441">
        <f t="shared" si="3"/>
        <v>0.96575342465753422</v>
      </c>
      <c r="C10" s="441">
        <f t="shared" si="0"/>
        <v>0.52777777777777779</v>
      </c>
      <c r="D10" s="441">
        <f t="shared" si="0"/>
        <v>0.82876712328767121</v>
      </c>
      <c r="E10" s="441">
        <f t="shared" si="0"/>
        <v>0.53846153846153844</v>
      </c>
      <c r="F10" s="441">
        <f t="shared" si="1"/>
        <v>0.85185185185185186</v>
      </c>
      <c r="G10" s="441">
        <f t="shared" si="2"/>
        <v>1</v>
      </c>
      <c r="H10" s="441">
        <f t="shared" si="2"/>
        <v>1</v>
      </c>
      <c r="I10" s="441">
        <f t="shared" si="2"/>
        <v>1</v>
      </c>
      <c r="J10" s="441">
        <f t="shared" si="2"/>
        <v>1</v>
      </c>
      <c r="K10" s="441" t="str">
        <f t="shared" si="2"/>
        <v>-</v>
      </c>
      <c r="N10" s="16"/>
      <c r="O10" s="16"/>
    </row>
    <row r="11" spans="1:43" s="2" customFormat="1">
      <c r="A11" s="665" t="s">
        <v>29</v>
      </c>
      <c r="B11" s="231">
        <f t="shared" si="3"/>
        <v>0.96575342465753422</v>
      </c>
      <c r="C11" s="231">
        <f t="shared" si="0"/>
        <v>0.52777777777777779</v>
      </c>
      <c r="D11" s="231">
        <f t="shared" si="0"/>
        <v>0.82876712328767121</v>
      </c>
      <c r="E11" s="231">
        <f t="shared" si="0"/>
        <v>0.53846153846153844</v>
      </c>
      <c r="F11" s="231">
        <f t="shared" si="1"/>
        <v>0.85185185185185186</v>
      </c>
      <c r="G11" s="231">
        <f t="shared" si="2"/>
        <v>1</v>
      </c>
      <c r="H11" s="231">
        <f t="shared" si="2"/>
        <v>1</v>
      </c>
      <c r="I11" s="231">
        <f t="shared" si="2"/>
        <v>1</v>
      </c>
      <c r="J11" s="231">
        <f t="shared" si="2"/>
        <v>1</v>
      </c>
      <c r="K11" s="231" t="str">
        <f t="shared" si="2"/>
        <v>-</v>
      </c>
      <c r="N11" s="16"/>
      <c r="O11" s="16"/>
    </row>
    <row r="12" spans="1:43" s="2" customFormat="1">
      <c r="A12" s="372" t="s">
        <v>30</v>
      </c>
      <c r="B12" s="441">
        <f t="shared" si="3"/>
        <v>0.96575342465753422</v>
      </c>
      <c r="C12" s="441">
        <f t="shared" si="0"/>
        <v>0.52777777777777779</v>
      </c>
      <c r="D12" s="441">
        <f t="shared" si="0"/>
        <v>0.82876712328767121</v>
      </c>
      <c r="E12" s="441">
        <f t="shared" si="0"/>
        <v>0.53846153846153844</v>
      </c>
      <c r="F12" s="441">
        <f t="shared" si="1"/>
        <v>0.85185185185185186</v>
      </c>
      <c r="G12" s="441">
        <f t="shared" si="2"/>
        <v>1</v>
      </c>
      <c r="H12" s="441">
        <f t="shared" si="2"/>
        <v>1</v>
      </c>
      <c r="I12" s="441">
        <f t="shared" si="2"/>
        <v>1</v>
      </c>
      <c r="J12" s="441">
        <f t="shared" si="2"/>
        <v>1</v>
      </c>
      <c r="K12" s="441" t="str">
        <f t="shared" si="2"/>
        <v>-</v>
      </c>
      <c r="N12" s="16"/>
      <c r="O12" s="16"/>
    </row>
    <row r="13" spans="1:43" s="2" customFormat="1">
      <c r="A13" s="665" t="s">
        <v>31</v>
      </c>
      <c r="B13" s="231">
        <f t="shared" si="3"/>
        <v>0.96575342465753422</v>
      </c>
      <c r="C13" s="231">
        <f t="shared" si="0"/>
        <v>0.52777777777777779</v>
      </c>
      <c r="D13" s="231">
        <f t="shared" si="0"/>
        <v>0.82876712328767121</v>
      </c>
      <c r="E13" s="231">
        <f t="shared" si="0"/>
        <v>0.53846153846153844</v>
      </c>
      <c r="F13" s="231">
        <f t="shared" si="1"/>
        <v>0.85185185185185186</v>
      </c>
      <c r="G13" s="231">
        <f t="shared" si="2"/>
        <v>1</v>
      </c>
      <c r="H13" s="231">
        <f t="shared" si="2"/>
        <v>1</v>
      </c>
      <c r="I13" s="231">
        <f t="shared" si="2"/>
        <v>1</v>
      </c>
      <c r="J13" s="231">
        <f t="shared" si="2"/>
        <v>1</v>
      </c>
      <c r="K13" s="231" t="str">
        <f t="shared" si="2"/>
        <v>-</v>
      </c>
      <c r="N13" s="16"/>
      <c r="O13" s="16"/>
    </row>
    <row r="14" spans="1:43" s="2" customFormat="1">
      <c r="A14" s="372" t="s">
        <v>32</v>
      </c>
      <c r="B14" s="441">
        <f t="shared" si="3"/>
        <v>0.96575342465753422</v>
      </c>
      <c r="C14" s="441">
        <f t="shared" si="0"/>
        <v>0.52777777777777779</v>
      </c>
      <c r="D14" s="441">
        <f t="shared" si="0"/>
        <v>0.82876712328767121</v>
      </c>
      <c r="E14" s="441">
        <f t="shared" si="0"/>
        <v>0.53846153846153844</v>
      </c>
      <c r="F14" s="441">
        <f t="shared" si="1"/>
        <v>0.85185185185185186</v>
      </c>
      <c r="G14" s="441">
        <f t="shared" si="2"/>
        <v>1</v>
      </c>
      <c r="H14" s="441">
        <f t="shared" si="2"/>
        <v>1</v>
      </c>
      <c r="I14" s="441">
        <f t="shared" si="2"/>
        <v>1</v>
      </c>
      <c r="J14" s="441">
        <f t="shared" si="2"/>
        <v>1</v>
      </c>
      <c r="K14" s="441" t="str">
        <f t="shared" si="2"/>
        <v>-</v>
      </c>
      <c r="N14" s="16"/>
      <c r="O14" s="16"/>
    </row>
    <row r="15" spans="1:43" s="2" customFormat="1">
      <c r="N15" s="16"/>
      <c r="O15" s="16"/>
    </row>
    <row r="16" spans="1:43" s="2" customFormat="1">
      <c r="L16"/>
      <c r="M16"/>
      <c r="N16"/>
      <c r="O16"/>
      <c r="P16"/>
    </row>
    <row r="17" spans="1:16" s="2" customFormat="1">
      <c r="A17" s="442" t="s">
        <v>33</v>
      </c>
      <c r="B17" s="442" t="s">
        <v>34</v>
      </c>
      <c r="C17" s="442" t="s">
        <v>35</v>
      </c>
      <c r="D17" s="443" t="s">
        <v>36</v>
      </c>
      <c r="E17" s="443" t="s">
        <v>0</v>
      </c>
      <c r="F17"/>
      <c r="L17"/>
      <c r="M17"/>
      <c r="N17"/>
      <c r="O17"/>
      <c r="P17"/>
    </row>
    <row r="18" spans="1:16" s="2" customFormat="1">
      <c r="A18" s="444">
        <f>IFERROR(AVERAGE(RESOURCES!$AG:$AG),"-")</f>
        <v>0.89979105073847121</v>
      </c>
      <c r="B18" s="406">
        <v>0.8</v>
      </c>
      <c r="C18" s="445">
        <f>COUNTIF(RESOURCES!$AG:$AG,"&gt;=80%")</f>
        <v>141</v>
      </c>
      <c r="D18" s="445">
        <f>COUNTIF(RESOURCES!$AG:$AG,"&lt;80%")</f>
        <v>5</v>
      </c>
      <c r="E18" s="446">
        <f>1-((D18)/SUM(C18:D18))</f>
        <v>0.96575342465753422</v>
      </c>
      <c r="F18"/>
      <c r="L18"/>
      <c r="M18"/>
      <c r="N18"/>
      <c r="O18"/>
      <c r="P18"/>
    </row>
    <row r="19" spans="1:16" s="2" customFormat="1">
      <c r="F19"/>
      <c r="L19"/>
      <c r="M19"/>
      <c r="N19"/>
      <c r="O19"/>
      <c r="P19"/>
    </row>
    <row r="20" spans="1:16" s="2" customFormat="1">
      <c r="A20" s="447" t="s">
        <v>37</v>
      </c>
      <c r="B20" s="447" t="s">
        <v>34</v>
      </c>
      <c r="C20" s="447" t="s">
        <v>35</v>
      </c>
      <c r="D20" s="329" t="s">
        <v>36</v>
      </c>
      <c r="E20" s="329" t="s">
        <v>0</v>
      </c>
      <c r="F20"/>
      <c r="L20"/>
      <c r="M20"/>
      <c r="N20"/>
      <c r="O20"/>
      <c r="P20"/>
    </row>
    <row r="21" spans="1:16" s="2" customFormat="1">
      <c r="A21" s="448" t="s">
        <v>3</v>
      </c>
      <c r="B21" s="449">
        <v>1</v>
      </c>
      <c r="C21" s="450">
        <f>COUNTIF(RESOURCES!$W:$W,"=100%")</f>
        <v>76</v>
      </c>
      <c r="D21" s="450">
        <f>COUNTIF(RESOURCES!$W:$W,"&lt;100%")</f>
        <v>68</v>
      </c>
      <c r="E21" s="449">
        <f>IFERROR(C21/SUM(C21:D21),"-")</f>
        <v>0.52777777777777779</v>
      </c>
      <c r="F21"/>
      <c r="L21"/>
      <c r="M21"/>
      <c r="N21"/>
      <c r="O21"/>
      <c r="P21"/>
    </row>
    <row r="22" spans="1:16" s="2" customFormat="1">
      <c r="A22" s="448" t="s">
        <v>4</v>
      </c>
      <c r="B22" s="449">
        <v>0.95</v>
      </c>
      <c r="C22" s="450">
        <f>COUNTIF(RESOURCES!$AB:$AB,"&gt;=95%")</f>
        <v>121</v>
      </c>
      <c r="D22" s="450">
        <f>COUNTIF(RESOURCES!$AB:$AB,"&lt;95%")</f>
        <v>25</v>
      </c>
      <c r="E22" s="449">
        <f t="shared" ref="E22:E28" si="4">IFERROR(C22/SUM(C22:D22),"-")</f>
        <v>0.82876712328767121</v>
      </c>
      <c r="F22"/>
      <c r="L22"/>
      <c r="M22"/>
      <c r="N22"/>
      <c r="O22"/>
      <c r="P22"/>
    </row>
    <row r="23" spans="1:16" s="2" customFormat="1">
      <c r="A23" s="448" t="s">
        <v>5</v>
      </c>
      <c r="B23" s="449">
        <v>0.8</v>
      </c>
      <c r="C23" s="450">
        <f>COUNTIF(RESOURCES!$AC:$AC,"&gt;=80%")</f>
        <v>77</v>
      </c>
      <c r="D23" s="450">
        <f>COUNTIF(RESOURCES!$AC:$AC,"&lt;80%")</f>
        <v>66</v>
      </c>
      <c r="E23" s="449">
        <f t="shared" si="4"/>
        <v>0.53846153846153844</v>
      </c>
      <c r="F23"/>
      <c r="L23"/>
      <c r="M23"/>
      <c r="N23"/>
      <c r="O23"/>
      <c r="P23"/>
    </row>
    <row r="24" spans="1:16" s="2" customFormat="1">
      <c r="A24" s="448" t="s">
        <v>6</v>
      </c>
      <c r="B24" s="449">
        <v>0.2</v>
      </c>
      <c r="C24" s="450">
        <f>COUNTIF(RESOURCES!$AM:$AM,"&lt;=20%")</f>
        <v>92</v>
      </c>
      <c r="D24" s="450">
        <f>COUNTIF(RESOURCES!$AM:$AM,"&gt;20%")</f>
        <v>16</v>
      </c>
      <c r="E24" s="449">
        <f t="shared" si="4"/>
        <v>0.85185185185185186</v>
      </c>
      <c r="F24"/>
      <c r="L24"/>
      <c r="M24"/>
      <c r="N24"/>
      <c r="O24"/>
      <c r="P24"/>
    </row>
    <row r="25" spans="1:16" s="2" customFormat="1">
      <c r="A25" s="448" t="s">
        <v>7</v>
      </c>
      <c r="B25" s="449" t="s">
        <v>14</v>
      </c>
      <c r="C25" s="450">
        <f>SUM(C26:C28)</f>
        <v>138</v>
      </c>
      <c r="D25" s="450">
        <f>SUM(D26:D28)</f>
        <v>0</v>
      </c>
      <c r="E25" s="449">
        <f t="shared" si="4"/>
        <v>1</v>
      </c>
      <c r="F25"/>
      <c r="L25"/>
      <c r="M25"/>
      <c r="N25"/>
      <c r="O25"/>
      <c r="P25"/>
    </row>
    <row r="26" spans="1:16" s="2" customFormat="1">
      <c r="A26" s="451" t="s">
        <v>8</v>
      </c>
      <c r="B26" s="452">
        <v>0.9</v>
      </c>
      <c r="C26" s="453">
        <f>COUNTIFS(RESOURCES!$AN:$AN,SUMMARY!$A26,RESOURCES!$Y:$Y,"&gt;="&amp;$B26)</f>
        <v>110</v>
      </c>
      <c r="D26" s="453">
        <f>COUNTIFS(RESOURCES!$AN:$AN,SUMMARY!$A26,RESOURCES!$Y:$Y,"&lt;"&amp;$B26)</f>
        <v>0</v>
      </c>
      <c r="E26" s="452">
        <f t="shared" si="4"/>
        <v>1</v>
      </c>
      <c r="F26"/>
      <c r="L26"/>
      <c r="M26"/>
      <c r="N26"/>
      <c r="O26"/>
      <c r="P26"/>
    </row>
    <row r="27" spans="1:16" s="2" customFormat="1">
      <c r="A27" s="451" t="s">
        <v>9</v>
      </c>
      <c r="B27" s="452">
        <v>0.9</v>
      </c>
      <c r="C27" s="453">
        <f>COUNTIFS(RESOURCES!$AN:$AN,SUMMARY!$A27,RESOURCES!$Y:$Y,"&gt;="&amp;$B27)</f>
        <v>16</v>
      </c>
      <c r="D27" s="453">
        <f>COUNTIFS(RESOURCES!$AN:$AN,SUMMARY!$A27,RESOURCES!$Y:$Y,"&lt;"&amp;$B27)</f>
        <v>0</v>
      </c>
      <c r="E27" s="452">
        <f t="shared" si="4"/>
        <v>1</v>
      </c>
      <c r="F27"/>
      <c r="N27" s="16"/>
      <c r="O27" s="16"/>
    </row>
    <row r="28" spans="1:16" s="2" customFormat="1">
      <c r="A28" s="451" t="s">
        <v>10</v>
      </c>
      <c r="B28" s="452">
        <v>0.95</v>
      </c>
      <c r="C28" s="453">
        <f>COUNTIFS(RESOURCES!$AN:$AN,SUMMARY!$A28,RESOURCES!$Y:$Y,"&gt;="&amp;$B28)</f>
        <v>12</v>
      </c>
      <c r="D28" s="453">
        <f>COUNTIFS(RESOURCES!$AN:$AN,SUMMARY!$A28,RESOURCES!$Y:$Y,"&lt;"&amp;$B28)</f>
        <v>0</v>
      </c>
      <c r="E28" s="452">
        <f t="shared" si="4"/>
        <v>1</v>
      </c>
      <c r="F28"/>
      <c r="N28" s="16"/>
      <c r="O28" s="16"/>
    </row>
    <row r="29" spans="1:16" s="2" customFormat="1">
      <c r="N29" s="16"/>
      <c r="O29" s="16"/>
    </row>
    <row r="30" spans="1:16" s="2" customFormat="1">
      <c r="N30" s="16"/>
      <c r="O30" s="16"/>
    </row>
    <row r="31" spans="1:16" s="2" customFormat="1">
      <c r="N31" s="16"/>
      <c r="O31" s="16"/>
    </row>
    <row r="32" spans="1:16" s="2" customFormat="1">
      <c r="N32" s="16"/>
      <c r="O32" s="16"/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22"/>
  <sheetViews>
    <sheetView zoomScale="85" zoomScaleNormal="85" workbookViewId="0"/>
  </sheetViews>
  <sheetFormatPr defaultRowHeight="15"/>
  <cols>
    <col min="1" max="1" width="4.42578125" style="2" bestFit="1" customWidth="1"/>
    <col min="2" max="2" width="19.140625" style="2" bestFit="1" customWidth="1"/>
    <col min="3" max="3" width="23" style="2" bestFit="1" customWidth="1"/>
    <col min="4" max="4" width="17.7109375" style="2" bestFit="1" customWidth="1"/>
    <col min="5" max="5" width="25.28515625" style="2" bestFit="1" customWidth="1"/>
    <col min="6" max="6" width="22.7109375" style="2" bestFit="1" customWidth="1"/>
    <col min="7" max="7" width="14.5703125" style="2" bestFit="1" customWidth="1"/>
    <col min="8" max="8" width="10.85546875" style="2" bestFit="1" customWidth="1"/>
    <col min="9" max="9" width="19.7109375" style="2" bestFit="1" customWidth="1"/>
    <col min="10" max="10" width="7.42578125" style="2" bestFit="1" customWidth="1"/>
    <col min="11" max="11" width="14.5703125" style="2" bestFit="1" customWidth="1"/>
    <col min="12" max="12" width="10.85546875" style="2" bestFit="1" customWidth="1"/>
    <col min="13" max="13" width="19.7109375" style="2" bestFit="1" customWidth="1"/>
    <col min="14" max="14" width="7.42578125" style="2" bestFit="1" customWidth="1"/>
    <col min="15" max="15" width="12.28515625" style="2" bestFit="1" customWidth="1"/>
    <col min="16" max="16" width="6" style="2" bestFit="1" customWidth="1"/>
    <col min="17" max="17" width="10.7109375" style="2" bestFit="1" customWidth="1"/>
    <col min="18" max="18" width="12.7109375" style="2" bestFit="1" customWidth="1"/>
    <col min="19" max="16384" width="9.140625" style="2"/>
  </cols>
  <sheetData>
    <row r="1" spans="1:18" ht="17.100000000000001" customHeight="1">
      <c r="K1" s="698" t="s">
        <v>65</v>
      </c>
      <c r="L1" s="699"/>
      <c r="M1" s="699"/>
      <c r="N1" s="700"/>
      <c r="O1" s="679" t="s">
        <v>66</v>
      </c>
      <c r="P1" s="681" t="s">
        <v>67</v>
      </c>
      <c r="Q1" s="681"/>
      <c r="R1" s="681"/>
    </row>
    <row r="2" spans="1:18" s="30" customFormat="1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55" t="s">
        <v>370</v>
      </c>
      <c r="H2" s="55" t="s">
        <v>371</v>
      </c>
      <c r="I2" s="55" t="s">
        <v>372</v>
      </c>
      <c r="J2" s="55" t="s">
        <v>63</v>
      </c>
      <c r="K2" s="13" t="s">
        <v>370</v>
      </c>
      <c r="L2" s="13" t="s">
        <v>371</v>
      </c>
      <c r="M2" s="13" t="s">
        <v>372</v>
      </c>
      <c r="N2" s="13" t="s">
        <v>63</v>
      </c>
      <c r="O2" s="680"/>
      <c r="P2" s="659" t="s">
        <v>75</v>
      </c>
      <c r="Q2" s="659" t="s">
        <v>76</v>
      </c>
      <c r="R2" s="659" t="s">
        <v>77</v>
      </c>
    </row>
    <row r="3" spans="1:18">
      <c r="A3" s="664">
        <v>1</v>
      </c>
      <c r="B3" s="664">
        <v>7010056</v>
      </c>
      <c r="C3" s="664" t="s">
        <v>373</v>
      </c>
      <c r="D3" s="664" t="s">
        <v>374</v>
      </c>
      <c r="E3" s="664" t="s">
        <v>214</v>
      </c>
      <c r="F3" s="664" t="s">
        <v>170</v>
      </c>
      <c r="G3" s="31">
        <v>0.5</v>
      </c>
      <c r="H3" s="31">
        <v>0.3</v>
      </c>
      <c r="I3" s="31">
        <v>0.15</v>
      </c>
      <c r="J3" s="31">
        <v>0.05</v>
      </c>
      <c r="K3" s="31">
        <f>IFERROR(AVERAGE(RESOURCES!$AG:$AG),"-")</f>
        <v>0.89979105073847121</v>
      </c>
      <c r="L3" s="31">
        <f>IFERROR(INDEX('ATTENDANCE RAW'!$Q:$Q,MATCH('Logistics Executives'!B3,'ATTENDANCE RAW'!$E:$E,0)),"-")</f>
        <v>1</v>
      </c>
      <c r="M3" s="31">
        <f>IF($C$8&gt;1,0%,100%)</f>
        <v>1</v>
      </c>
      <c r="N3" s="31" t="str">
        <f>IFERROR(VLOOKUP($B3,'BONUS RAW'!$D:$I,6,FALSE),"-")</f>
        <v>-</v>
      </c>
      <c r="O3" s="52">
        <f>IFERROR(IF(N3="-",SUMPRODUCT(G3:I3,K3:M3)/SUM(G3:I3),SUMPRODUCT(G3:J3,K3:N3)/SUM(G3:J3)),"-")</f>
        <v>0.94725844775709012</v>
      </c>
      <c r="P3" s="56">
        <f>IFERROR(_xlfn.RANK.EQ($O3,$O$3:$O$500),"-")</f>
        <v>1</v>
      </c>
      <c r="Q3" s="57">
        <f>IFERROR(SUMPRODUCT(G3:I3,K3:M3)/SUM(G3:I3),"-")</f>
        <v>0.94725844775709012</v>
      </c>
      <c r="R3" s="657">
        <f>IFERROR(SUMPRODUCT(G3:J3,K3:N3)/SUM(G3:J3),"-")</f>
        <v>0.89989552536923567</v>
      </c>
    </row>
    <row r="4" spans="1:18">
      <c r="A4" s="664">
        <f>A3+1</f>
        <v>2</v>
      </c>
      <c r="B4" s="664">
        <v>10071847</v>
      </c>
      <c r="C4" s="664" t="s">
        <v>375</v>
      </c>
      <c r="D4" s="664" t="s">
        <v>374</v>
      </c>
      <c r="E4" s="664" t="s">
        <v>137</v>
      </c>
      <c r="F4" s="664" t="s">
        <v>85</v>
      </c>
      <c r="G4" s="31">
        <v>0.5</v>
      </c>
      <c r="H4" s="31">
        <v>0.3</v>
      </c>
      <c r="I4" s="31">
        <v>0.15</v>
      </c>
      <c r="J4" s="31">
        <v>0.05</v>
      </c>
      <c r="K4" s="31">
        <f>IFERROR(AVERAGE(RESOURCES!$AG:$AG),"-")</f>
        <v>0.89979105073847121</v>
      </c>
      <c r="L4" s="31">
        <f>IFERROR(INDEX('ATTENDANCE RAW'!$Q:$Q,MATCH('Logistics Executives'!B4,'ATTENDANCE RAW'!$E:$E,0)),"-")</f>
        <v>1</v>
      </c>
      <c r="M4" s="31">
        <f>IF($C$8&gt;1,0%,100%)</f>
        <v>1</v>
      </c>
      <c r="N4" s="31" t="str">
        <f>IFERROR(VLOOKUP($B4,'BONUS RAW'!$D:$I,6,FALSE),"-")</f>
        <v>-</v>
      </c>
      <c r="O4" s="52">
        <f>IFERROR(IF(N4="-",SUMPRODUCT(G4:I4,K4:M4)/SUM(G4:I4),SUMPRODUCT(G4:J4,K4:N4)/SUM(G4:J4)),"-")</f>
        <v>0.94725844775709012</v>
      </c>
      <c r="P4" s="56">
        <f>IFERROR(_xlfn.RANK.EQ($O4,$O$3:$O$500),"-")</f>
        <v>1</v>
      </c>
      <c r="Q4" s="57">
        <f>IFERROR(SUMPRODUCT(G4:I4,K4:M4)/SUM(G4:I4),"-")</f>
        <v>0.94725844775709012</v>
      </c>
      <c r="R4" s="657">
        <f>IFERROR(SUMPRODUCT(G4:J4,K4:N4)/SUM(G4:J4),"-")</f>
        <v>0.89989552536923567</v>
      </c>
    </row>
    <row r="7" spans="1:18" ht="15.75" thickBot="1"/>
    <row r="8" spans="1:18" ht="15.75" thickBot="1">
      <c r="B8" s="623" t="s">
        <v>376</v>
      </c>
      <c r="C8" s="336">
        <v>0</v>
      </c>
    </row>
    <row r="17" spans="2:9" ht="30">
      <c r="B17" s="179" t="s">
        <v>356</v>
      </c>
      <c r="C17" s="179" t="s">
        <v>357</v>
      </c>
      <c r="D17" s="179" t="s">
        <v>358</v>
      </c>
      <c r="E17" s="179" t="s">
        <v>359</v>
      </c>
      <c r="F17" s="179" t="s">
        <v>360</v>
      </c>
      <c r="G17" s="179" t="s">
        <v>64</v>
      </c>
      <c r="H17" s="179" t="s">
        <v>361</v>
      </c>
      <c r="I17" s="179" t="s">
        <v>377</v>
      </c>
    </row>
    <row r="18" spans="2:9" ht="30">
      <c r="B18" s="22">
        <v>1</v>
      </c>
      <c r="C18" s="728" t="s">
        <v>378</v>
      </c>
      <c r="D18" s="669" t="s">
        <v>302</v>
      </c>
      <c r="E18" s="182" t="s">
        <v>379</v>
      </c>
      <c r="F18" s="335" t="s">
        <v>380</v>
      </c>
      <c r="G18" s="23">
        <v>0.5</v>
      </c>
      <c r="H18" s="23">
        <v>1</v>
      </c>
      <c r="I18" s="730">
        <f>SUMPRODUCT(H18:H21,G18:G21)/SUM(G18:G21)</f>
        <v>1</v>
      </c>
    </row>
    <row r="19" spans="2:9">
      <c r="B19" s="22">
        <v>2</v>
      </c>
      <c r="C19" s="729"/>
      <c r="D19" s="669" t="s">
        <v>314</v>
      </c>
      <c r="E19" s="337" t="s">
        <v>348</v>
      </c>
      <c r="F19" s="338">
        <v>0.95</v>
      </c>
      <c r="G19" s="328">
        <v>0.3</v>
      </c>
      <c r="H19" s="328">
        <v>1</v>
      </c>
      <c r="I19" s="730"/>
    </row>
    <row r="20" spans="2:9" ht="60">
      <c r="B20" s="22">
        <v>3</v>
      </c>
      <c r="C20" s="729"/>
      <c r="D20" s="182" t="s">
        <v>381</v>
      </c>
      <c r="E20" s="180" t="s">
        <v>382</v>
      </c>
      <c r="F20" s="183" t="s">
        <v>383</v>
      </c>
      <c r="G20" s="328">
        <v>0.15</v>
      </c>
      <c r="H20" s="328">
        <v>1</v>
      </c>
      <c r="I20" s="730"/>
    </row>
    <row r="21" spans="2:9" ht="195">
      <c r="B21" s="22">
        <v>4</v>
      </c>
      <c r="C21" s="339" t="s">
        <v>384</v>
      </c>
      <c r="D21" s="340" t="s">
        <v>385</v>
      </c>
      <c r="E21" s="341" t="s">
        <v>386</v>
      </c>
      <c r="F21" s="342" t="s">
        <v>387</v>
      </c>
      <c r="G21" s="343">
        <v>0.05</v>
      </c>
      <c r="H21" s="344">
        <v>1</v>
      </c>
      <c r="I21" s="731"/>
    </row>
    <row r="22" spans="2:9">
      <c r="B22" s="345"/>
      <c r="C22" s="346"/>
      <c r="D22" s="347"/>
      <c r="E22" s="347"/>
      <c r="F22" s="345"/>
      <c r="G22" s="348">
        <f>SUM(G18:G21)</f>
        <v>1</v>
      </c>
      <c r="H22" s="346"/>
      <c r="I22" s="346"/>
    </row>
  </sheetData>
  <mergeCells count="5">
    <mergeCell ref="C18:C20"/>
    <mergeCell ref="I18:I21"/>
    <mergeCell ref="K1:N1"/>
    <mergeCell ref="O1:O2"/>
    <mergeCell ref="P1:R1"/>
  </mergeCells>
  <conditionalFormatting sqref="P3:P4">
    <cfRule type="cellIs" dxfId="35" priority="1" operator="lessThanOrEqual">
      <formula>10</formula>
    </cfRule>
  </conditionalFormatting>
  <conditionalFormatting sqref="O3:O4">
    <cfRule type="cellIs" dxfId="34" priority="2" operator="lessThan">
      <formula>0.8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Q3:Q4" formulaRange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N8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7109375" style="2" bestFit="1" customWidth="1"/>
    <col min="2" max="2" width="27.5703125" style="2" bestFit="1" customWidth="1"/>
    <col min="3" max="3" width="14.140625" style="16" bestFit="1" customWidth="1"/>
    <col min="4" max="4" width="8.5703125" style="16" bestFit="1" customWidth="1"/>
    <col min="5" max="5" width="7.42578125" style="16" bestFit="1" customWidth="1"/>
    <col min="6" max="6" width="9.5703125" style="16" bestFit="1" customWidth="1"/>
    <col min="7" max="7" width="12.85546875" style="16" bestFit="1" customWidth="1"/>
    <col min="8" max="8" width="7.140625" style="16" bestFit="1" customWidth="1"/>
    <col min="9" max="9" width="15.7109375" style="16" bestFit="1" customWidth="1"/>
    <col min="10" max="11" width="7.140625" style="16" bestFit="1" customWidth="1"/>
    <col min="12" max="12" width="7.42578125" style="16" bestFit="1" customWidth="1"/>
    <col min="13" max="13" width="20" style="138" customWidth="1"/>
    <col min="14" max="14" width="10.42578125" style="138" customWidth="1"/>
    <col min="15" max="15" width="8.85546875" style="138" customWidth="1"/>
    <col min="16" max="16" width="10" style="138" customWidth="1"/>
    <col min="17" max="17" width="12.85546875" style="138" customWidth="1"/>
    <col min="18" max="18" width="10.7109375" style="134" customWidth="1"/>
    <col min="19" max="20" width="25.7109375" style="134" customWidth="1"/>
    <col min="21" max="21" width="20.5703125" style="51" customWidth="1"/>
    <col min="22" max="22" width="27.5703125" style="2" bestFit="1" customWidth="1"/>
    <col min="23" max="23" width="17" style="324" bestFit="1" customWidth="1"/>
    <col min="24" max="25" width="17" style="16" bestFit="1" customWidth="1"/>
    <col min="26" max="26" width="9.42578125" style="16" bestFit="1" customWidth="1"/>
    <col min="27" max="27" width="13" style="16" bestFit="1" customWidth="1"/>
    <col min="28" max="28" width="7.140625" style="16" bestFit="1" customWidth="1"/>
    <col min="29" max="29" width="15.7109375" style="16" bestFit="1" customWidth="1"/>
    <col min="30" max="31" width="17" style="16" bestFit="1" customWidth="1"/>
    <col min="32" max="32" width="7.42578125" style="16" bestFit="1" customWidth="1"/>
    <col min="33" max="33" width="20" style="138" bestFit="1" customWidth="1"/>
    <col min="34" max="34" width="10.42578125" style="138" bestFit="1" customWidth="1"/>
    <col min="35" max="35" width="8.85546875" style="138" bestFit="1" customWidth="1"/>
    <col min="36" max="36" width="17" style="138" bestFit="1" customWidth="1"/>
    <col min="37" max="37" width="12.85546875" style="138" bestFit="1" customWidth="1"/>
    <col min="38" max="38" width="10.7109375" style="138" bestFit="1" customWidth="1"/>
    <col min="39" max="39" width="25.7109375" style="138" bestFit="1" customWidth="1"/>
    <col min="40" max="40" width="25.7109375" style="134" customWidth="1"/>
    <col min="41" max="16384" width="9.140625" style="2"/>
  </cols>
  <sheetData>
    <row r="1" spans="1:40">
      <c r="A1" s="266" t="s">
        <v>388</v>
      </c>
      <c r="B1" s="378" t="s">
        <v>43</v>
      </c>
      <c r="C1" s="378" t="s">
        <v>3</v>
      </c>
      <c r="D1" s="378" t="s">
        <v>59</v>
      </c>
      <c r="E1" s="378" t="s">
        <v>6</v>
      </c>
      <c r="F1" s="378" t="s">
        <v>60</v>
      </c>
      <c r="G1" s="378" t="s">
        <v>4</v>
      </c>
      <c r="H1" s="378" t="s">
        <v>5</v>
      </c>
      <c r="I1" s="378" t="s">
        <v>74</v>
      </c>
      <c r="J1" s="378" t="s">
        <v>61</v>
      </c>
      <c r="K1" s="378" t="s">
        <v>62</v>
      </c>
      <c r="L1" s="378" t="s">
        <v>63</v>
      </c>
      <c r="M1" s="379" t="s">
        <v>253</v>
      </c>
      <c r="N1" s="379" t="s">
        <v>255</v>
      </c>
      <c r="O1" s="379" t="s">
        <v>256</v>
      </c>
      <c r="P1" s="379" t="s">
        <v>257</v>
      </c>
      <c r="Q1" s="379" t="s">
        <v>258</v>
      </c>
      <c r="R1" s="379" t="s">
        <v>259</v>
      </c>
      <c r="S1" s="379" t="s">
        <v>261</v>
      </c>
      <c r="T1" s="379" t="s">
        <v>254</v>
      </c>
      <c r="U1" s="202"/>
      <c r="V1" s="658" t="s">
        <v>43</v>
      </c>
      <c r="W1" s="383" t="s">
        <v>3</v>
      </c>
      <c r="X1" s="384" t="s">
        <v>59</v>
      </c>
      <c r="Y1" s="384" t="s">
        <v>6</v>
      </c>
      <c r="Z1" s="384" t="s">
        <v>60</v>
      </c>
      <c r="AA1" s="384" t="s">
        <v>4</v>
      </c>
      <c r="AB1" s="384" t="s">
        <v>5</v>
      </c>
      <c r="AC1" s="384" t="s">
        <v>74</v>
      </c>
      <c r="AD1" s="384" t="s">
        <v>61</v>
      </c>
      <c r="AE1" s="384" t="s">
        <v>62</v>
      </c>
      <c r="AF1" s="384" t="s">
        <v>63</v>
      </c>
      <c r="AG1" s="385" t="s">
        <v>253</v>
      </c>
      <c r="AH1" s="385" t="s">
        <v>255</v>
      </c>
      <c r="AI1" s="385" t="s">
        <v>256</v>
      </c>
      <c r="AJ1" s="385" t="s">
        <v>257</v>
      </c>
      <c r="AK1" s="385" t="s">
        <v>258</v>
      </c>
      <c r="AL1" s="385" t="s">
        <v>259</v>
      </c>
      <c r="AM1" s="385" t="s">
        <v>261</v>
      </c>
      <c r="AN1" s="386" t="s">
        <v>254</v>
      </c>
    </row>
    <row r="2" spans="1:40">
      <c r="A2" s="186" t="s">
        <v>83</v>
      </c>
      <c r="B2" s="664" t="s">
        <v>83</v>
      </c>
      <c r="C2" s="31">
        <v>0.25</v>
      </c>
      <c r="D2" s="31">
        <v>0.1</v>
      </c>
      <c r="E2" s="31">
        <v>0.25</v>
      </c>
      <c r="F2" s="31" t="s">
        <v>14</v>
      </c>
      <c r="G2" s="31">
        <v>0.15</v>
      </c>
      <c r="H2" s="31">
        <v>0.2</v>
      </c>
      <c r="I2" s="31" t="s">
        <v>14</v>
      </c>
      <c r="J2" s="31" t="s">
        <v>14</v>
      </c>
      <c r="K2" s="31" t="s">
        <v>14</v>
      </c>
      <c r="L2" s="31">
        <v>0.05</v>
      </c>
      <c r="M2" s="380" t="s">
        <v>14</v>
      </c>
      <c r="N2" s="380" t="s">
        <v>14</v>
      </c>
      <c r="O2" s="380" t="s">
        <v>14</v>
      </c>
      <c r="P2" s="380" t="s">
        <v>14</v>
      </c>
      <c r="Q2" s="380" t="s">
        <v>14</v>
      </c>
      <c r="R2" s="380" t="s">
        <v>14</v>
      </c>
      <c r="S2" s="380" t="s">
        <v>14</v>
      </c>
      <c r="T2" s="380" t="s">
        <v>14</v>
      </c>
      <c r="U2" s="242">
        <f>SUM(C2:T2)</f>
        <v>1</v>
      </c>
      <c r="V2" s="664" t="str">
        <f>B2</f>
        <v>Web Designer</v>
      </c>
      <c r="W2" s="586">
        <v>8</v>
      </c>
      <c r="X2" s="31">
        <v>0.9</v>
      </c>
      <c r="Y2" s="31" t="s">
        <v>389</v>
      </c>
      <c r="Z2" s="31" t="s">
        <v>14</v>
      </c>
      <c r="AA2" s="31">
        <v>0.95</v>
      </c>
      <c r="AB2" s="31">
        <v>0.8</v>
      </c>
      <c r="AC2" s="31" t="s">
        <v>14</v>
      </c>
      <c r="AD2" s="31" t="s">
        <v>14</v>
      </c>
      <c r="AE2" s="31" t="s">
        <v>14</v>
      </c>
      <c r="AF2" s="31" t="s">
        <v>390</v>
      </c>
      <c r="AG2" s="381" t="s">
        <v>14</v>
      </c>
      <c r="AH2" s="381" t="s">
        <v>14</v>
      </c>
      <c r="AI2" s="381" t="s">
        <v>14</v>
      </c>
      <c r="AJ2" s="381" t="s">
        <v>14</v>
      </c>
      <c r="AK2" s="381" t="s">
        <v>14</v>
      </c>
      <c r="AL2" s="381" t="s">
        <v>14</v>
      </c>
      <c r="AM2" s="381" t="s">
        <v>14</v>
      </c>
      <c r="AN2" s="380" t="s">
        <v>14</v>
      </c>
    </row>
    <row r="3" spans="1:40">
      <c r="A3" s="186" t="s">
        <v>87</v>
      </c>
      <c r="B3" s="664" t="s">
        <v>87</v>
      </c>
      <c r="C3" s="31">
        <v>0.34</v>
      </c>
      <c r="D3" s="31">
        <v>0.26</v>
      </c>
      <c r="E3" s="31" t="s">
        <v>14</v>
      </c>
      <c r="F3" s="31" t="s">
        <v>14</v>
      </c>
      <c r="G3" s="31">
        <v>0.15</v>
      </c>
      <c r="H3" s="31">
        <v>0.1</v>
      </c>
      <c r="I3" s="31">
        <v>0.1</v>
      </c>
      <c r="J3" s="31" t="s">
        <v>14</v>
      </c>
      <c r="K3" s="31" t="s">
        <v>14</v>
      </c>
      <c r="L3" s="31">
        <v>0.05</v>
      </c>
      <c r="M3" s="380" t="s">
        <v>14</v>
      </c>
      <c r="N3" s="380" t="s">
        <v>14</v>
      </c>
      <c r="O3" s="380" t="s">
        <v>14</v>
      </c>
      <c r="P3" s="380" t="s">
        <v>14</v>
      </c>
      <c r="Q3" s="380" t="s">
        <v>14</v>
      </c>
      <c r="R3" s="380" t="s">
        <v>14</v>
      </c>
      <c r="S3" s="380" t="s">
        <v>14</v>
      </c>
      <c r="T3" s="380" t="s">
        <v>14</v>
      </c>
      <c r="U3" s="242">
        <f t="shared" ref="U3:U9" si="0">SUM(C3:T3)</f>
        <v>1</v>
      </c>
      <c r="V3" s="664" t="str">
        <f t="shared" ref="V3:V9" si="1">B3</f>
        <v>Proofreader</v>
      </c>
      <c r="W3" s="585">
        <v>3</v>
      </c>
      <c r="X3" s="31">
        <v>0.9</v>
      </c>
      <c r="Y3" s="31" t="s">
        <v>14</v>
      </c>
      <c r="Z3" s="31" t="s">
        <v>14</v>
      </c>
      <c r="AA3" s="31">
        <v>0.95</v>
      </c>
      <c r="AB3" s="31">
        <v>0.8</v>
      </c>
      <c r="AC3" s="31">
        <v>0.8</v>
      </c>
      <c r="AD3" s="31" t="s">
        <v>14</v>
      </c>
      <c r="AE3" s="31" t="s">
        <v>14</v>
      </c>
      <c r="AF3" s="31" t="s">
        <v>390</v>
      </c>
      <c r="AG3" s="381" t="s">
        <v>14</v>
      </c>
      <c r="AH3" s="381" t="s">
        <v>14</v>
      </c>
      <c r="AI3" s="381" t="s">
        <v>14</v>
      </c>
      <c r="AJ3" s="381" t="s">
        <v>14</v>
      </c>
      <c r="AK3" s="381" t="s">
        <v>14</v>
      </c>
      <c r="AL3" s="381" t="s">
        <v>14</v>
      </c>
      <c r="AM3" s="381" t="s">
        <v>14</v>
      </c>
      <c r="AN3" s="380" t="s">
        <v>14</v>
      </c>
    </row>
    <row r="4" spans="1:40">
      <c r="A4" s="186" t="s">
        <v>391</v>
      </c>
      <c r="B4" s="664" t="s">
        <v>165</v>
      </c>
      <c r="C4" s="31">
        <v>0.3</v>
      </c>
      <c r="D4" s="31">
        <v>0.1</v>
      </c>
      <c r="E4" s="31">
        <v>0.2</v>
      </c>
      <c r="F4" s="31" t="s">
        <v>14</v>
      </c>
      <c r="G4" s="31">
        <v>0.15</v>
      </c>
      <c r="H4" s="31">
        <v>0.2</v>
      </c>
      <c r="I4" s="31" t="s">
        <v>14</v>
      </c>
      <c r="J4" s="31" t="s">
        <v>14</v>
      </c>
      <c r="K4" s="31" t="s">
        <v>14</v>
      </c>
      <c r="L4" s="31">
        <v>0.05</v>
      </c>
      <c r="M4" s="380" t="s">
        <v>14</v>
      </c>
      <c r="N4" s="380" t="s">
        <v>14</v>
      </c>
      <c r="O4" s="380" t="s">
        <v>14</v>
      </c>
      <c r="P4" s="380" t="s">
        <v>14</v>
      </c>
      <c r="Q4" s="380" t="s">
        <v>14</v>
      </c>
      <c r="R4" s="380" t="s">
        <v>14</v>
      </c>
      <c r="S4" s="380" t="s">
        <v>14</v>
      </c>
      <c r="T4" s="380" t="s">
        <v>14</v>
      </c>
      <c r="U4" s="242">
        <f t="shared" si="0"/>
        <v>1.0000000000000002</v>
      </c>
      <c r="V4" s="664" t="str">
        <f t="shared" si="1"/>
        <v>Logo Designer</v>
      </c>
      <c r="W4" s="586">
        <v>8</v>
      </c>
      <c r="X4" s="31">
        <v>0.9</v>
      </c>
      <c r="Y4" s="31" t="s">
        <v>389</v>
      </c>
      <c r="Z4" s="31" t="s">
        <v>14</v>
      </c>
      <c r="AA4" s="31">
        <v>0.95</v>
      </c>
      <c r="AB4" s="31">
        <v>0.8</v>
      </c>
      <c r="AC4" s="31" t="s">
        <v>14</v>
      </c>
      <c r="AD4" s="31" t="s">
        <v>14</v>
      </c>
      <c r="AE4" s="31" t="s">
        <v>14</v>
      </c>
      <c r="AF4" s="31" t="s">
        <v>390</v>
      </c>
      <c r="AG4" s="381" t="s">
        <v>14</v>
      </c>
      <c r="AH4" s="381" t="s">
        <v>14</v>
      </c>
      <c r="AI4" s="381" t="s">
        <v>14</v>
      </c>
      <c r="AJ4" s="381" t="s">
        <v>14</v>
      </c>
      <c r="AK4" s="381" t="s">
        <v>14</v>
      </c>
      <c r="AL4" s="381" t="s">
        <v>14</v>
      </c>
      <c r="AM4" s="381" t="s">
        <v>14</v>
      </c>
      <c r="AN4" s="380" t="s">
        <v>14</v>
      </c>
    </row>
    <row r="5" spans="1:40">
      <c r="A5" s="186" t="s">
        <v>392</v>
      </c>
      <c r="B5" s="664" t="s">
        <v>142</v>
      </c>
      <c r="C5" s="31">
        <v>0.3</v>
      </c>
      <c r="D5" s="31">
        <v>0.1</v>
      </c>
      <c r="E5" s="31">
        <v>0.2</v>
      </c>
      <c r="F5" s="31" t="s">
        <v>14</v>
      </c>
      <c r="G5" s="31">
        <v>0.15</v>
      </c>
      <c r="H5" s="31">
        <v>0.2</v>
      </c>
      <c r="I5" s="31" t="s">
        <v>14</v>
      </c>
      <c r="J5" s="31" t="s">
        <v>14</v>
      </c>
      <c r="K5" s="31" t="s">
        <v>14</v>
      </c>
      <c r="L5" s="31">
        <v>0.05</v>
      </c>
      <c r="M5" s="380" t="s">
        <v>14</v>
      </c>
      <c r="N5" s="380" t="s">
        <v>14</v>
      </c>
      <c r="O5" s="380" t="s">
        <v>14</v>
      </c>
      <c r="P5" s="380" t="s">
        <v>14</v>
      </c>
      <c r="Q5" s="380" t="s">
        <v>14</v>
      </c>
      <c r="R5" s="380" t="s">
        <v>14</v>
      </c>
      <c r="S5" s="380" t="s">
        <v>14</v>
      </c>
      <c r="T5" s="380" t="s">
        <v>14</v>
      </c>
      <c r="U5" s="242">
        <f t="shared" si="0"/>
        <v>1.0000000000000002</v>
      </c>
      <c r="V5" s="664" t="str">
        <f t="shared" si="1"/>
        <v>Senior Web Designer</v>
      </c>
      <c r="W5" s="586">
        <v>7</v>
      </c>
      <c r="X5" s="31">
        <v>0.9</v>
      </c>
      <c r="Y5" s="31" t="s">
        <v>389</v>
      </c>
      <c r="Z5" s="31" t="s">
        <v>14</v>
      </c>
      <c r="AA5" s="31">
        <v>0.95</v>
      </c>
      <c r="AB5" s="31">
        <v>0.8</v>
      </c>
      <c r="AC5" s="31" t="s">
        <v>14</v>
      </c>
      <c r="AD5" s="31" t="s">
        <v>14</v>
      </c>
      <c r="AE5" s="31" t="s">
        <v>14</v>
      </c>
      <c r="AF5" s="31" t="s">
        <v>390</v>
      </c>
      <c r="AG5" s="381" t="s">
        <v>14</v>
      </c>
      <c r="AH5" s="381" t="s">
        <v>14</v>
      </c>
      <c r="AI5" s="381" t="s">
        <v>14</v>
      </c>
      <c r="AJ5" s="381" t="s">
        <v>14</v>
      </c>
      <c r="AK5" s="381" t="s">
        <v>14</v>
      </c>
      <c r="AL5" s="381" t="s">
        <v>14</v>
      </c>
      <c r="AM5" s="381" t="s">
        <v>14</v>
      </c>
      <c r="AN5" s="380" t="s">
        <v>14</v>
      </c>
    </row>
    <row r="6" spans="1:40">
      <c r="A6" s="186" t="s">
        <v>393</v>
      </c>
      <c r="B6" s="664" t="s">
        <v>158</v>
      </c>
      <c r="C6" s="31">
        <v>0.3</v>
      </c>
      <c r="D6" s="31">
        <v>0.1</v>
      </c>
      <c r="E6" s="31">
        <v>0.2</v>
      </c>
      <c r="F6" s="31" t="s">
        <v>14</v>
      </c>
      <c r="G6" s="31">
        <v>0.15</v>
      </c>
      <c r="H6" s="31">
        <v>0.2</v>
      </c>
      <c r="I6" s="31" t="s">
        <v>14</v>
      </c>
      <c r="J6" s="31" t="s">
        <v>14</v>
      </c>
      <c r="K6" s="31" t="s">
        <v>14</v>
      </c>
      <c r="L6" s="31">
        <v>0.05</v>
      </c>
      <c r="M6" s="380" t="s">
        <v>14</v>
      </c>
      <c r="N6" s="380" t="s">
        <v>14</v>
      </c>
      <c r="O6" s="380" t="s">
        <v>14</v>
      </c>
      <c r="P6" s="380" t="s">
        <v>14</v>
      </c>
      <c r="Q6" s="380" t="s">
        <v>14</v>
      </c>
      <c r="R6" s="380" t="s">
        <v>14</v>
      </c>
      <c r="S6" s="380" t="s">
        <v>14</v>
      </c>
      <c r="T6" s="380" t="s">
        <v>14</v>
      </c>
      <c r="U6" s="242">
        <f t="shared" si="0"/>
        <v>1.0000000000000002</v>
      </c>
      <c r="V6" s="664" t="str">
        <f t="shared" si="1"/>
        <v>Legacy Product Maintenance</v>
      </c>
      <c r="W6" s="586">
        <v>8</v>
      </c>
      <c r="X6" s="31">
        <v>0.9</v>
      </c>
      <c r="Y6" s="31" t="s">
        <v>389</v>
      </c>
      <c r="Z6" s="31" t="s">
        <v>14</v>
      </c>
      <c r="AA6" s="31">
        <v>0.95</v>
      </c>
      <c r="AB6" s="31">
        <v>0.8</v>
      </c>
      <c r="AC6" s="31" t="s">
        <v>14</v>
      </c>
      <c r="AD6" s="31" t="s">
        <v>14</v>
      </c>
      <c r="AE6" s="31" t="s">
        <v>14</v>
      </c>
      <c r="AF6" s="31" t="s">
        <v>390</v>
      </c>
      <c r="AG6" s="381" t="s">
        <v>14</v>
      </c>
      <c r="AH6" s="381" t="s">
        <v>14</v>
      </c>
      <c r="AI6" s="381" t="s">
        <v>14</v>
      </c>
      <c r="AJ6" s="381" t="s">
        <v>14</v>
      </c>
      <c r="AK6" s="381" t="s">
        <v>14</v>
      </c>
      <c r="AL6" s="381" t="s">
        <v>14</v>
      </c>
      <c r="AM6" s="381" t="s">
        <v>14</v>
      </c>
      <c r="AN6" s="380" t="s">
        <v>14</v>
      </c>
    </row>
    <row r="7" spans="1:40">
      <c r="A7" s="186" t="s">
        <v>123</v>
      </c>
      <c r="B7" s="664" t="s">
        <v>123</v>
      </c>
      <c r="C7" s="31">
        <v>0.1</v>
      </c>
      <c r="D7" s="31">
        <v>0.1</v>
      </c>
      <c r="E7" s="31">
        <v>0.15</v>
      </c>
      <c r="F7" s="31" t="s">
        <v>14</v>
      </c>
      <c r="G7" s="31">
        <v>0.15</v>
      </c>
      <c r="H7" s="31">
        <v>0.1</v>
      </c>
      <c r="I7" s="31" t="s">
        <v>14</v>
      </c>
      <c r="J7" s="31">
        <v>0.2</v>
      </c>
      <c r="K7" s="31">
        <v>0.15</v>
      </c>
      <c r="L7" s="31">
        <v>0.05</v>
      </c>
      <c r="M7" s="380" t="s">
        <v>14</v>
      </c>
      <c r="N7" s="380" t="s">
        <v>14</v>
      </c>
      <c r="O7" s="380" t="s">
        <v>14</v>
      </c>
      <c r="P7" s="380" t="s">
        <v>14</v>
      </c>
      <c r="Q7" s="380" t="s">
        <v>14</v>
      </c>
      <c r="R7" s="380" t="s">
        <v>14</v>
      </c>
      <c r="S7" s="380" t="s">
        <v>14</v>
      </c>
      <c r="T7" s="380" t="s">
        <v>14</v>
      </c>
      <c r="U7" s="242">
        <f t="shared" si="0"/>
        <v>1</v>
      </c>
      <c r="V7" s="664" t="str">
        <f t="shared" si="1"/>
        <v>Internal Mods (PSI)</v>
      </c>
      <c r="W7" s="387">
        <v>10</v>
      </c>
      <c r="X7" s="31">
        <v>0.9</v>
      </c>
      <c r="Y7" s="31" t="s">
        <v>389</v>
      </c>
      <c r="Z7" s="31" t="s">
        <v>14</v>
      </c>
      <c r="AA7" s="31">
        <v>0.95</v>
      </c>
      <c r="AB7" s="31">
        <v>0.8</v>
      </c>
      <c r="AC7" s="31" t="s">
        <v>14</v>
      </c>
      <c r="AD7" s="31">
        <v>0.95</v>
      </c>
      <c r="AE7" s="31">
        <v>0.83</v>
      </c>
      <c r="AF7" s="31" t="s">
        <v>390</v>
      </c>
      <c r="AG7" s="381" t="s">
        <v>14</v>
      </c>
      <c r="AH7" s="381" t="s">
        <v>14</v>
      </c>
      <c r="AI7" s="381" t="s">
        <v>14</v>
      </c>
      <c r="AJ7" s="381" t="s">
        <v>14</v>
      </c>
      <c r="AK7" s="381" t="s">
        <v>14</v>
      </c>
      <c r="AL7" s="381" t="s">
        <v>14</v>
      </c>
      <c r="AM7" s="381" t="s">
        <v>14</v>
      </c>
      <c r="AN7" s="380" t="s">
        <v>14</v>
      </c>
    </row>
    <row r="8" spans="1:40">
      <c r="A8" s="186" t="s">
        <v>90</v>
      </c>
      <c r="B8" s="664" t="s">
        <v>90</v>
      </c>
      <c r="C8" s="31">
        <v>0.35</v>
      </c>
      <c r="D8" s="31">
        <v>0.15</v>
      </c>
      <c r="E8" s="31" t="s">
        <v>14</v>
      </c>
      <c r="F8" s="31">
        <v>0.2</v>
      </c>
      <c r="G8" s="31">
        <v>0.15</v>
      </c>
      <c r="H8" s="31">
        <v>0.1</v>
      </c>
      <c r="I8" s="31" t="s">
        <v>14</v>
      </c>
      <c r="J8" s="31" t="s">
        <v>14</v>
      </c>
      <c r="K8" s="31" t="s">
        <v>14</v>
      </c>
      <c r="L8" s="31">
        <v>0.05</v>
      </c>
      <c r="M8" s="380" t="s">
        <v>14</v>
      </c>
      <c r="N8" s="380" t="s">
        <v>14</v>
      </c>
      <c r="O8" s="380" t="s">
        <v>14</v>
      </c>
      <c r="P8" s="380" t="s">
        <v>14</v>
      </c>
      <c r="Q8" s="380" t="s">
        <v>14</v>
      </c>
      <c r="R8" s="380" t="s">
        <v>14</v>
      </c>
      <c r="S8" s="380" t="s">
        <v>14</v>
      </c>
      <c r="T8" s="380" t="s">
        <v>14</v>
      </c>
      <c r="U8" s="242">
        <f t="shared" si="0"/>
        <v>1</v>
      </c>
      <c r="V8" s="664" t="str">
        <f t="shared" si="1"/>
        <v>Voice QA</v>
      </c>
      <c r="W8" s="334">
        <v>1</v>
      </c>
      <c r="X8" s="31">
        <v>0.95</v>
      </c>
      <c r="Y8" s="31" t="s">
        <v>14</v>
      </c>
      <c r="Z8" s="31">
        <v>0.8</v>
      </c>
      <c r="AA8" s="31">
        <v>0.95</v>
      </c>
      <c r="AB8" s="31">
        <v>0.8</v>
      </c>
      <c r="AC8" s="31" t="s">
        <v>14</v>
      </c>
      <c r="AD8" s="31" t="s">
        <v>14</v>
      </c>
      <c r="AE8" s="31" t="s">
        <v>14</v>
      </c>
      <c r="AF8" s="31" t="s">
        <v>390</v>
      </c>
      <c r="AG8" s="381" t="s">
        <v>14</v>
      </c>
      <c r="AH8" s="381" t="s">
        <v>14</v>
      </c>
      <c r="AI8" s="381" t="s">
        <v>14</v>
      </c>
      <c r="AJ8" s="381" t="s">
        <v>14</v>
      </c>
      <c r="AK8" s="381" t="s">
        <v>14</v>
      </c>
      <c r="AL8" s="381" t="s">
        <v>14</v>
      </c>
      <c r="AM8" s="381" t="s">
        <v>14</v>
      </c>
      <c r="AN8" s="380" t="s">
        <v>14</v>
      </c>
    </row>
    <row r="9" spans="1:40">
      <c r="A9" s="186" t="s">
        <v>394</v>
      </c>
      <c r="B9" s="664" t="s">
        <v>177</v>
      </c>
      <c r="C9" s="31">
        <v>0.4</v>
      </c>
      <c r="D9" s="31">
        <v>0.1</v>
      </c>
      <c r="E9" s="31" t="s">
        <v>14</v>
      </c>
      <c r="F9" s="31" t="s">
        <v>14</v>
      </c>
      <c r="G9" s="31">
        <v>0.2</v>
      </c>
      <c r="H9" s="31">
        <v>0.25</v>
      </c>
      <c r="I9" s="31" t="s">
        <v>14</v>
      </c>
      <c r="J9" s="31" t="s">
        <v>14</v>
      </c>
      <c r="K9" s="31" t="s">
        <v>14</v>
      </c>
      <c r="L9" s="31">
        <v>0.05</v>
      </c>
      <c r="M9" s="380" t="s">
        <v>14</v>
      </c>
      <c r="N9" s="380" t="s">
        <v>14</v>
      </c>
      <c r="O9" s="380" t="s">
        <v>14</v>
      </c>
      <c r="P9" s="380" t="s">
        <v>14</v>
      </c>
      <c r="Q9" s="380" t="s">
        <v>14</v>
      </c>
      <c r="R9" s="380" t="s">
        <v>14</v>
      </c>
      <c r="S9" s="380" t="s">
        <v>14</v>
      </c>
      <c r="T9" s="380" t="s">
        <v>14</v>
      </c>
      <c r="U9" s="242">
        <f t="shared" si="0"/>
        <v>1</v>
      </c>
      <c r="V9" s="664" t="str">
        <f t="shared" si="1"/>
        <v>DBA</v>
      </c>
      <c r="W9" s="654">
        <v>1.92</v>
      </c>
      <c r="X9" s="31">
        <v>0.9</v>
      </c>
      <c r="Y9" s="31" t="s">
        <v>14</v>
      </c>
      <c r="Z9" s="31" t="s">
        <v>14</v>
      </c>
      <c r="AA9" s="31">
        <v>0.95</v>
      </c>
      <c r="AB9" s="31">
        <v>0.8</v>
      </c>
      <c r="AC9" s="31" t="s">
        <v>14</v>
      </c>
      <c r="AD9" s="31" t="s">
        <v>14</v>
      </c>
      <c r="AE9" s="31" t="s">
        <v>14</v>
      </c>
      <c r="AF9" s="31" t="s">
        <v>390</v>
      </c>
      <c r="AG9" s="381" t="s">
        <v>14</v>
      </c>
      <c r="AH9" s="381" t="s">
        <v>14</v>
      </c>
      <c r="AI9" s="381" t="s">
        <v>14</v>
      </c>
      <c r="AJ9" s="381" t="s">
        <v>14</v>
      </c>
      <c r="AK9" s="381" t="s">
        <v>14</v>
      </c>
      <c r="AL9" s="381" t="s">
        <v>14</v>
      </c>
      <c r="AM9" s="381" t="s">
        <v>14</v>
      </c>
      <c r="AN9" s="380" t="s">
        <v>14</v>
      </c>
    </row>
    <row r="10" spans="1:40">
      <c r="A10" s="186"/>
      <c r="U10" s="242"/>
    </row>
    <row r="11" spans="1:40">
      <c r="A11" s="186"/>
      <c r="U11" s="242"/>
    </row>
    <row r="12" spans="1:40">
      <c r="A12" s="266" t="s">
        <v>388</v>
      </c>
      <c r="B12" s="378" t="s">
        <v>43</v>
      </c>
      <c r="C12" s="378" t="s">
        <v>3</v>
      </c>
      <c r="D12" s="378" t="s">
        <v>59</v>
      </c>
      <c r="E12" s="378" t="s">
        <v>6</v>
      </c>
      <c r="F12" s="378" t="s">
        <v>60</v>
      </c>
      <c r="G12" s="378" t="s">
        <v>4</v>
      </c>
      <c r="H12" s="378" t="s">
        <v>5</v>
      </c>
      <c r="I12" s="378" t="s">
        <v>74</v>
      </c>
      <c r="J12" s="378" t="s">
        <v>61</v>
      </c>
      <c r="K12" s="378" t="s">
        <v>62</v>
      </c>
      <c r="L12" s="378" t="s">
        <v>63</v>
      </c>
      <c r="M12" s="379" t="s">
        <v>253</v>
      </c>
      <c r="N12" s="379" t="s">
        <v>255</v>
      </c>
      <c r="O12" s="379" t="s">
        <v>256</v>
      </c>
      <c r="P12" s="379" t="s">
        <v>257</v>
      </c>
      <c r="Q12" s="379" t="s">
        <v>258</v>
      </c>
      <c r="R12" s="379" t="s">
        <v>259</v>
      </c>
      <c r="S12" s="379" t="s">
        <v>261</v>
      </c>
      <c r="T12" s="379" t="s">
        <v>254</v>
      </c>
      <c r="U12" s="202"/>
      <c r="V12" s="658" t="s">
        <v>43</v>
      </c>
      <c r="W12" s="383" t="s">
        <v>3</v>
      </c>
      <c r="X12" s="384" t="s">
        <v>59</v>
      </c>
      <c r="Y12" s="384" t="s">
        <v>6</v>
      </c>
      <c r="Z12" s="384" t="s">
        <v>60</v>
      </c>
      <c r="AA12" s="384" t="s">
        <v>4</v>
      </c>
      <c r="AB12" s="384" t="s">
        <v>5</v>
      </c>
      <c r="AC12" s="384" t="s">
        <v>74</v>
      </c>
      <c r="AD12" s="384" t="s">
        <v>61</v>
      </c>
      <c r="AE12" s="384" t="s">
        <v>62</v>
      </c>
      <c r="AF12" s="384" t="s">
        <v>63</v>
      </c>
      <c r="AG12" s="385" t="s">
        <v>253</v>
      </c>
      <c r="AH12" s="385" t="s">
        <v>255</v>
      </c>
      <c r="AI12" s="385" t="s">
        <v>256</v>
      </c>
      <c r="AJ12" s="385" t="s">
        <v>257</v>
      </c>
      <c r="AK12" s="385" t="s">
        <v>258</v>
      </c>
      <c r="AL12" s="385" t="s">
        <v>259</v>
      </c>
      <c r="AM12" s="385" t="s">
        <v>261</v>
      </c>
      <c r="AN12" s="386" t="s">
        <v>254</v>
      </c>
    </row>
    <row r="13" spans="1:40">
      <c r="A13" s="186" t="s">
        <v>262</v>
      </c>
      <c r="B13" s="664" t="s">
        <v>262</v>
      </c>
      <c r="C13" s="31">
        <v>0.12</v>
      </c>
      <c r="D13" s="31">
        <v>0.08</v>
      </c>
      <c r="E13" s="31">
        <v>0.1</v>
      </c>
      <c r="F13" s="31" t="s">
        <v>14</v>
      </c>
      <c r="G13" s="31">
        <v>0.15</v>
      </c>
      <c r="H13" s="31" t="s">
        <v>14</v>
      </c>
      <c r="I13" s="31"/>
      <c r="J13" s="31" t="s">
        <v>14</v>
      </c>
      <c r="K13" s="31" t="s">
        <v>14</v>
      </c>
      <c r="L13" s="31">
        <v>0.05</v>
      </c>
      <c r="M13" s="380" t="s">
        <v>14</v>
      </c>
      <c r="N13" s="381">
        <v>0.1</v>
      </c>
      <c r="O13" s="381">
        <v>0.05</v>
      </c>
      <c r="P13" s="381">
        <v>0.1</v>
      </c>
      <c r="Q13" s="381">
        <v>0.1</v>
      </c>
      <c r="R13" s="382">
        <v>0.1</v>
      </c>
      <c r="S13" s="382">
        <v>0.05</v>
      </c>
      <c r="T13" s="380" t="s">
        <v>14</v>
      </c>
      <c r="U13" s="242">
        <f>SUM(C13:T13)</f>
        <v>1</v>
      </c>
      <c r="V13" s="664" t="str">
        <f>B13</f>
        <v>Supervisor - Designer</v>
      </c>
      <c r="W13" s="387" t="s">
        <v>306</v>
      </c>
      <c r="X13" s="31" t="s">
        <v>306</v>
      </c>
      <c r="Y13" s="31" t="s">
        <v>306</v>
      </c>
      <c r="Z13" s="31" t="s">
        <v>14</v>
      </c>
      <c r="AA13" s="31">
        <v>0.95</v>
      </c>
      <c r="AB13" s="31" t="s">
        <v>14</v>
      </c>
      <c r="AC13" s="31" t="s">
        <v>14</v>
      </c>
      <c r="AD13" s="31" t="s">
        <v>14</v>
      </c>
      <c r="AE13" s="31" t="s">
        <v>14</v>
      </c>
      <c r="AF13" s="31" t="s">
        <v>390</v>
      </c>
      <c r="AG13" s="381" t="s">
        <v>14</v>
      </c>
      <c r="AH13" s="381">
        <v>0</v>
      </c>
      <c r="AI13" s="381">
        <v>0.8</v>
      </c>
      <c r="AJ13" s="381">
        <v>0.8</v>
      </c>
      <c r="AK13" s="381" t="s">
        <v>395</v>
      </c>
      <c r="AL13" s="381">
        <v>0.9</v>
      </c>
      <c r="AM13" s="381" t="s">
        <v>322</v>
      </c>
      <c r="AN13" s="380" t="s">
        <v>14</v>
      </c>
    </row>
    <row r="14" spans="1:40" ht="15" customHeight="1">
      <c r="A14" s="186" t="s">
        <v>267</v>
      </c>
      <c r="B14" s="664" t="s">
        <v>267</v>
      </c>
      <c r="C14" s="523" t="s">
        <v>14</v>
      </c>
      <c r="D14" s="523">
        <v>0.2</v>
      </c>
      <c r="E14" s="31" t="s">
        <v>14</v>
      </c>
      <c r="F14" s="31" t="s">
        <v>14</v>
      </c>
      <c r="G14" s="523">
        <v>0.15</v>
      </c>
      <c r="H14" s="31" t="s">
        <v>14</v>
      </c>
      <c r="I14" s="31"/>
      <c r="J14" s="31" t="s">
        <v>14</v>
      </c>
      <c r="K14" s="31" t="s">
        <v>14</v>
      </c>
      <c r="L14" s="523">
        <v>0.05</v>
      </c>
      <c r="M14" s="522">
        <v>0.25</v>
      </c>
      <c r="N14" s="522">
        <v>0.15</v>
      </c>
      <c r="O14" s="381" t="s">
        <v>14</v>
      </c>
      <c r="P14" s="381" t="s">
        <v>14</v>
      </c>
      <c r="Q14" s="381" t="s">
        <v>14</v>
      </c>
      <c r="R14" s="525">
        <v>0.15</v>
      </c>
      <c r="S14" s="525">
        <v>0.05</v>
      </c>
      <c r="T14" s="380" t="s">
        <v>14</v>
      </c>
      <c r="U14" s="242">
        <f>SUM(C14:T14)</f>
        <v>1</v>
      </c>
      <c r="V14" s="664" t="str">
        <f>B14</f>
        <v>Supervisor - VQA</v>
      </c>
      <c r="W14" s="524" t="s">
        <v>14</v>
      </c>
      <c r="X14" s="523" t="s">
        <v>306</v>
      </c>
      <c r="Y14" s="31" t="s">
        <v>306</v>
      </c>
      <c r="Z14" s="31" t="s">
        <v>14</v>
      </c>
      <c r="AA14" s="523">
        <v>0.95</v>
      </c>
      <c r="AB14" s="31" t="s">
        <v>14</v>
      </c>
      <c r="AC14" s="31" t="s">
        <v>14</v>
      </c>
      <c r="AD14" s="523" t="s">
        <v>306</v>
      </c>
      <c r="AE14" s="31" t="s">
        <v>306</v>
      </c>
      <c r="AF14" s="523" t="s">
        <v>390</v>
      </c>
      <c r="AG14" s="381" t="s">
        <v>306</v>
      </c>
      <c r="AH14" s="522">
        <v>0</v>
      </c>
      <c r="AI14" s="381">
        <v>0.8</v>
      </c>
      <c r="AJ14" s="381">
        <v>0.8</v>
      </c>
      <c r="AK14" s="381" t="s">
        <v>395</v>
      </c>
      <c r="AL14" s="522">
        <v>0.9</v>
      </c>
      <c r="AM14" s="522" t="s">
        <v>322</v>
      </c>
      <c r="AN14" s="380" t="s">
        <v>14</v>
      </c>
    </row>
    <row r="15" spans="1:40">
      <c r="A15" s="186" t="s">
        <v>265</v>
      </c>
      <c r="B15" s="664" t="s">
        <v>265</v>
      </c>
      <c r="C15" s="31">
        <v>0.1</v>
      </c>
      <c r="D15" s="31">
        <v>0.05</v>
      </c>
      <c r="E15" s="31">
        <v>0.1</v>
      </c>
      <c r="F15" s="31" t="s">
        <v>14</v>
      </c>
      <c r="G15" s="31">
        <v>0.15</v>
      </c>
      <c r="H15" s="31" t="s">
        <v>14</v>
      </c>
      <c r="I15" s="31"/>
      <c r="J15" s="31">
        <v>0.12</v>
      </c>
      <c r="K15" s="31">
        <v>0.1</v>
      </c>
      <c r="L15" s="31">
        <v>0.05</v>
      </c>
      <c r="M15" s="381" t="s">
        <v>14</v>
      </c>
      <c r="N15" s="381">
        <v>0.1</v>
      </c>
      <c r="O15" s="381">
        <v>0.03</v>
      </c>
      <c r="P15" s="381">
        <v>7.0000000000000007E-2</v>
      </c>
      <c r="Q15" s="381" t="s">
        <v>14</v>
      </c>
      <c r="R15" s="382">
        <v>0.08</v>
      </c>
      <c r="S15" s="382">
        <v>0.05</v>
      </c>
      <c r="T15" s="380" t="s">
        <v>14</v>
      </c>
      <c r="U15" s="242">
        <f>SUM(C15:T15)</f>
        <v>1</v>
      </c>
      <c r="V15" s="664" t="str">
        <f>B15</f>
        <v>Supervisor - PSI</v>
      </c>
      <c r="W15" s="387" t="s">
        <v>306</v>
      </c>
      <c r="X15" s="31" t="s">
        <v>306</v>
      </c>
      <c r="Y15" s="31" t="s">
        <v>306</v>
      </c>
      <c r="Z15" s="31" t="s">
        <v>14</v>
      </c>
      <c r="AA15" s="31">
        <v>0.95</v>
      </c>
      <c r="AB15" s="31" t="s">
        <v>14</v>
      </c>
      <c r="AC15" s="31" t="s">
        <v>14</v>
      </c>
      <c r="AD15" s="31" t="s">
        <v>14</v>
      </c>
      <c r="AE15" s="31" t="s">
        <v>14</v>
      </c>
      <c r="AF15" s="31" t="s">
        <v>390</v>
      </c>
      <c r="AG15" s="381" t="s">
        <v>14</v>
      </c>
      <c r="AH15" s="381">
        <v>0</v>
      </c>
      <c r="AI15" s="381">
        <v>0.8</v>
      </c>
      <c r="AJ15" s="381" t="s">
        <v>306</v>
      </c>
      <c r="AK15" s="381" t="s">
        <v>395</v>
      </c>
      <c r="AL15" s="381">
        <v>0.9</v>
      </c>
      <c r="AM15" s="381" t="s">
        <v>322</v>
      </c>
      <c r="AN15" s="380" t="s">
        <v>14</v>
      </c>
    </row>
    <row r="16" spans="1:40">
      <c r="A16" s="186" t="s">
        <v>266</v>
      </c>
      <c r="B16" s="664" t="s">
        <v>266</v>
      </c>
      <c r="C16" s="31">
        <v>0.15</v>
      </c>
      <c r="D16" s="31">
        <v>0.1</v>
      </c>
      <c r="E16" s="31" t="s">
        <v>14</v>
      </c>
      <c r="F16" s="31" t="s">
        <v>14</v>
      </c>
      <c r="G16" s="31">
        <v>0.15</v>
      </c>
      <c r="H16" s="31" t="s">
        <v>14</v>
      </c>
      <c r="I16" s="31"/>
      <c r="J16" s="31" t="s">
        <v>14</v>
      </c>
      <c r="K16" s="31" t="s">
        <v>14</v>
      </c>
      <c r="L16" s="31">
        <v>0.05</v>
      </c>
      <c r="M16" s="381" t="s">
        <v>14</v>
      </c>
      <c r="N16" s="381">
        <v>0.1</v>
      </c>
      <c r="O16" s="381" t="s">
        <v>14</v>
      </c>
      <c r="P16" s="381">
        <v>0.1</v>
      </c>
      <c r="Q16" s="381">
        <v>0.1</v>
      </c>
      <c r="R16" s="382">
        <v>0.1</v>
      </c>
      <c r="S16" s="382">
        <v>0.05</v>
      </c>
      <c r="T16" s="382">
        <v>0.1</v>
      </c>
      <c r="U16" s="242">
        <f>SUM(C16:T16)</f>
        <v>1</v>
      </c>
      <c r="V16" s="664" t="str">
        <f>B16</f>
        <v>Supervisor - PR</v>
      </c>
      <c r="W16" s="387" t="s">
        <v>306</v>
      </c>
      <c r="X16" s="31" t="s">
        <v>306</v>
      </c>
      <c r="Y16" s="31" t="s">
        <v>14</v>
      </c>
      <c r="Z16" s="31" t="s">
        <v>14</v>
      </c>
      <c r="AA16" s="31">
        <v>0.95</v>
      </c>
      <c r="AB16" s="31" t="s">
        <v>14</v>
      </c>
      <c r="AC16" s="31" t="s">
        <v>14</v>
      </c>
      <c r="AD16" s="31" t="s">
        <v>14</v>
      </c>
      <c r="AE16" s="31" t="s">
        <v>14</v>
      </c>
      <c r="AF16" s="31" t="s">
        <v>390</v>
      </c>
      <c r="AG16" s="381" t="s">
        <v>14</v>
      </c>
      <c r="AH16" s="381">
        <v>0</v>
      </c>
      <c r="AI16" s="381" t="s">
        <v>14</v>
      </c>
      <c r="AJ16" s="381">
        <v>0.8</v>
      </c>
      <c r="AK16" s="381" t="s">
        <v>395</v>
      </c>
      <c r="AL16" s="381">
        <v>0.9</v>
      </c>
      <c r="AM16" s="381" t="s">
        <v>322</v>
      </c>
      <c r="AN16" s="380" t="s">
        <v>396</v>
      </c>
    </row>
    <row r="18" spans="1:2" ht="15" customHeight="1"/>
    <row r="19" spans="1:2" ht="15" customHeight="1"/>
    <row r="20" spans="1:2" ht="15" customHeight="1">
      <c r="A20" s="30" t="s">
        <v>397</v>
      </c>
    </row>
    <row r="21" spans="1:2" ht="15" customHeight="1"/>
    <row r="22" spans="1:2" ht="15" customHeight="1">
      <c r="A22" s="734" t="s">
        <v>398</v>
      </c>
      <c r="B22" s="735"/>
    </row>
    <row r="23" spans="1:2" ht="15" customHeight="1">
      <c r="A23" s="366" t="s">
        <v>399</v>
      </c>
      <c r="B23" s="366" t="s">
        <v>288</v>
      </c>
    </row>
    <row r="24" spans="1:2" ht="15" customHeight="1">
      <c r="A24" s="367" t="s">
        <v>400</v>
      </c>
      <c r="B24" s="333">
        <v>1</v>
      </c>
    </row>
    <row r="25" spans="1:2" ht="15" customHeight="1">
      <c r="A25" s="367">
        <v>2</v>
      </c>
      <c r="B25" s="333">
        <v>0.9</v>
      </c>
    </row>
    <row r="26" spans="1:2" ht="15" customHeight="1">
      <c r="A26" s="367">
        <v>3</v>
      </c>
      <c r="B26" s="333">
        <v>0.8</v>
      </c>
    </row>
    <row r="27" spans="1:2">
      <c r="A27" s="367">
        <v>4</v>
      </c>
      <c r="B27" s="333">
        <v>0.75</v>
      </c>
    </row>
    <row r="28" spans="1:2">
      <c r="A28" s="367">
        <v>5</v>
      </c>
      <c r="B28" s="333">
        <v>0.7</v>
      </c>
    </row>
    <row r="29" spans="1:2">
      <c r="A29" s="367">
        <v>6</v>
      </c>
      <c r="B29" s="333">
        <v>0.65</v>
      </c>
    </row>
    <row r="30" spans="1:2">
      <c r="A30" s="367">
        <v>7</v>
      </c>
      <c r="B30" s="333">
        <v>0.6</v>
      </c>
    </row>
    <row r="31" spans="1:2">
      <c r="A31" s="367" t="s">
        <v>401</v>
      </c>
      <c r="B31" s="333">
        <v>0</v>
      </c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734" t="s">
        <v>402</v>
      </c>
      <c r="B36" s="735"/>
    </row>
    <row r="37" spans="1:2">
      <c r="A37" s="331" t="s">
        <v>287</v>
      </c>
      <c r="B37" s="331" t="s">
        <v>288</v>
      </c>
    </row>
    <row r="38" spans="1:2">
      <c r="A38" s="332" t="s">
        <v>403</v>
      </c>
      <c r="B38" s="333">
        <v>1</v>
      </c>
    </row>
    <row r="39" spans="1:2">
      <c r="A39" s="332" t="s">
        <v>404</v>
      </c>
      <c r="B39" s="333">
        <v>0.9</v>
      </c>
    </row>
    <row r="40" spans="1:2">
      <c r="A40" s="332" t="s">
        <v>405</v>
      </c>
      <c r="B40" s="333">
        <v>0.8</v>
      </c>
    </row>
    <row r="41" spans="1:2">
      <c r="A41" s="332" t="s">
        <v>406</v>
      </c>
      <c r="B41" s="333">
        <v>0.7</v>
      </c>
    </row>
    <row r="42" spans="1:2">
      <c r="A42" s="332" t="s">
        <v>407</v>
      </c>
      <c r="B42" s="333">
        <v>0.6</v>
      </c>
    </row>
    <row r="43" spans="1:2">
      <c r="A43" s="332" t="s">
        <v>408</v>
      </c>
      <c r="B43" s="334">
        <v>0.5</v>
      </c>
    </row>
    <row r="44" spans="1:2">
      <c r="A44" s="332" t="s">
        <v>409</v>
      </c>
      <c r="B44" s="334">
        <v>0.4</v>
      </c>
    </row>
    <row r="45" spans="1:2">
      <c r="A45" s="334">
        <v>1</v>
      </c>
      <c r="B45" s="333">
        <v>0</v>
      </c>
    </row>
    <row r="47" spans="1:2">
      <c r="A47" s="734" t="s">
        <v>410</v>
      </c>
      <c r="B47" s="735"/>
    </row>
    <row r="48" spans="1:2">
      <c r="A48" s="331" t="s">
        <v>287</v>
      </c>
      <c r="B48" s="331" t="s">
        <v>288</v>
      </c>
    </row>
    <row r="49" spans="1:2">
      <c r="A49" s="22">
        <v>0</v>
      </c>
      <c r="B49" s="335">
        <v>1</v>
      </c>
    </row>
    <row r="50" spans="1:2">
      <c r="A50" s="22">
        <v>1</v>
      </c>
      <c r="B50" s="335">
        <v>0.8</v>
      </c>
    </row>
    <row r="51" spans="1:2">
      <c r="A51" s="22">
        <v>2</v>
      </c>
      <c r="B51" s="335">
        <v>0.5</v>
      </c>
    </row>
    <row r="52" spans="1:2">
      <c r="A52" s="22" t="s">
        <v>411</v>
      </c>
      <c r="B52" s="335">
        <v>0</v>
      </c>
    </row>
    <row r="57" spans="1:2">
      <c r="A57" s="732" t="s">
        <v>412</v>
      </c>
      <c r="B57" s="732"/>
    </row>
    <row r="58" spans="1:2">
      <c r="A58" s="362" t="s">
        <v>287</v>
      </c>
      <c r="B58" s="140" t="s">
        <v>288</v>
      </c>
    </row>
    <row r="59" spans="1:2">
      <c r="A59" s="363">
        <v>0</v>
      </c>
      <c r="B59" s="141">
        <v>1</v>
      </c>
    </row>
    <row r="60" spans="1:2">
      <c r="A60" s="363">
        <v>1</v>
      </c>
      <c r="B60" s="141">
        <v>0.5</v>
      </c>
    </row>
    <row r="61" spans="1:2">
      <c r="A61" s="363" t="s">
        <v>413</v>
      </c>
      <c r="B61" s="141">
        <v>0</v>
      </c>
    </row>
    <row r="62" spans="1:2">
      <c r="A62" s="364"/>
      <c r="B62" s="142"/>
    </row>
    <row r="63" spans="1:2">
      <c r="A63" s="687" t="s">
        <v>414</v>
      </c>
      <c r="B63" s="687"/>
    </row>
    <row r="64" spans="1:2">
      <c r="A64" s="362" t="s">
        <v>287</v>
      </c>
      <c r="B64" s="140" t="s">
        <v>288</v>
      </c>
    </row>
    <row r="65" spans="1:3">
      <c r="A65" s="365" t="s">
        <v>289</v>
      </c>
      <c r="B65" s="141">
        <v>1</v>
      </c>
    </row>
    <row r="66" spans="1:3">
      <c r="A66" s="365" t="s">
        <v>290</v>
      </c>
      <c r="B66" s="141">
        <v>0.8</v>
      </c>
    </row>
    <row r="67" spans="1:3">
      <c r="A67" s="365" t="s">
        <v>291</v>
      </c>
      <c r="B67" s="141">
        <v>0.6</v>
      </c>
    </row>
    <row r="68" spans="1:3">
      <c r="A68" s="365" t="s">
        <v>292</v>
      </c>
      <c r="B68" s="141">
        <v>0</v>
      </c>
    </row>
    <row r="72" spans="1:3">
      <c r="A72" s="733" t="s">
        <v>415</v>
      </c>
      <c r="B72" s="733"/>
    </row>
    <row r="73" spans="1:3">
      <c r="A73" s="366" t="s">
        <v>399</v>
      </c>
      <c r="B73" s="366" t="s">
        <v>288</v>
      </c>
    </row>
    <row r="74" spans="1:3">
      <c r="A74" s="367">
        <v>0</v>
      </c>
      <c r="B74" s="333">
        <v>0.05</v>
      </c>
      <c r="C74" s="16">
        <v>1</v>
      </c>
    </row>
    <row r="75" spans="1:3">
      <c r="A75" s="367">
        <v>1</v>
      </c>
      <c r="B75" s="582">
        <v>2.5000000000000001E-2</v>
      </c>
      <c r="C75" s="16">
        <v>0.5</v>
      </c>
    </row>
    <row r="76" spans="1:3">
      <c r="A76" s="367" t="s">
        <v>416</v>
      </c>
      <c r="B76" s="333">
        <v>0</v>
      </c>
      <c r="C76" s="16">
        <v>0</v>
      </c>
    </row>
    <row r="77" spans="1:3">
      <c r="A77" s="583"/>
      <c r="B77" s="584"/>
    </row>
    <row r="78" spans="1:3">
      <c r="A78" s="583"/>
      <c r="B78" s="584"/>
    </row>
    <row r="79" spans="1:3">
      <c r="A79" s="583"/>
      <c r="B79" s="584"/>
    </row>
    <row r="80" spans="1:3">
      <c r="A80" s="583"/>
      <c r="B80" s="584"/>
    </row>
    <row r="81" spans="1:2">
      <c r="A81" s="583"/>
      <c r="B81" s="584"/>
    </row>
  </sheetData>
  <mergeCells count="6">
    <mergeCell ref="A57:B57"/>
    <mergeCell ref="A63:B63"/>
    <mergeCell ref="A72:B72"/>
    <mergeCell ref="A22:B22"/>
    <mergeCell ref="A36:B36"/>
    <mergeCell ref="A47:B4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660066"/>
  </sheetPr>
  <dimension ref="A1:AP149"/>
  <sheetViews>
    <sheetView showGridLines="0" topLeftCell="B1" zoomScale="85" zoomScaleNormal="85" workbookViewId="0">
      <selection activeCell="F37" sqref="F37"/>
    </sheetView>
  </sheetViews>
  <sheetFormatPr defaultRowHeight="15"/>
  <cols>
    <col min="1" max="1" width="25.140625" hidden="1" customWidth="1"/>
    <col min="2" max="2" width="22.42578125" bestFit="1" customWidth="1"/>
    <col min="3" max="3" width="11.5703125" style="2" bestFit="1" customWidth="1"/>
    <col min="4" max="4" width="10.28515625" style="2" bestFit="1" customWidth="1"/>
    <col min="5" max="5" width="8.28515625" style="2" bestFit="1" customWidth="1"/>
    <col min="6" max="6" width="14.5703125" bestFit="1" customWidth="1"/>
    <col min="7" max="7" width="39.140625" bestFit="1" customWidth="1"/>
    <col min="9" max="9" width="25.140625" bestFit="1" customWidth="1"/>
    <col min="10" max="10" width="19.85546875" customWidth="1"/>
    <col min="11" max="11" width="15.140625" bestFit="1" customWidth="1"/>
    <col min="12" max="12" width="20.7109375" bestFit="1" customWidth="1"/>
    <col min="13" max="13" width="17.140625" customWidth="1"/>
    <col min="28" max="28" width="12.42578125" bestFit="1" customWidth="1"/>
    <col min="29" max="29" width="28.85546875" bestFit="1" customWidth="1"/>
    <col min="42" max="42" width="27.140625" bestFit="1" customWidth="1"/>
  </cols>
  <sheetData>
    <row r="1" spans="2:42">
      <c r="B1" s="741" t="s">
        <v>417</v>
      </c>
      <c r="C1" s="741"/>
      <c r="D1" s="741"/>
      <c r="E1" s="741"/>
      <c r="F1" s="741"/>
      <c r="I1" s="741" t="s">
        <v>418</v>
      </c>
      <c r="J1" s="741"/>
      <c r="K1" s="741"/>
      <c r="L1" s="741"/>
      <c r="M1" s="741"/>
    </row>
    <row r="2" spans="2:42">
      <c r="AP2" t="s">
        <v>419</v>
      </c>
    </row>
    <row r="3" spans="2:42">
      <c r="B3" s="372" t="s">
        <v>42</v>
      </c>
      <c r="C3" s="742"/>
      <c r="D3" s="742"/>
      <c r="E3" s="742"/>
      <c r="F3" s="742"/>
      <c r="I3" s="372" t="s">
        <v>42</v>
      </c>
      <c r="J3" s="742"/>
      <c r="K3" s="742"/>
      <c r="L3" s="742"/>
      <c r="M3" s="742"/>
      <c r="AP3" t="s">
        <v>420</v>
      </c>
    </row>
    <row r="4" spans="2:42">
      <c r="B4" s="372" t="s">
        <v>41</v>
      </c>
      <c r="C4" s="736" t="str">
        <f>IFERROR(INDEX(RESOURCES!$C:$C,MATCH('for coaching'!C3:E$3,RESOURCES!$D:$D,0)),"-")</f>
        <v>-</v>
      </c>
      <c r="D4" s="736"/>
      <c r="E4" s="736"/>
      <c r="F4" s="736"/>
      <c r="I4" s="372" t="s">
        <v>41</v>
      </c>
      <c r="J4" s="736" t="str">
        <f>IFERROR(INDEX(SUPERVISORS!$C:$C,MATCH('for coaching'!J$3,SUPERVISORS!$D:$D,0)),"-")</f>
        <v>-</v>
      </c>
      <c r="K4" s="736"/>
      <c r="L4" s="736"/>
      <c r="M4" s="736"/>
      <c r="AP4" t="s">
        <v>421</v>
      </c>
    </row>
    <row r="5" spans="2:42">
      <c r="B5" s="372" t="s">
        <v>43</v>
      </c>
      <c r="C5" s="736" t="str">
        <f>IFERROR(VLOOKUP(C$4,RESOURCES!$C:$G,MATCH('for coaching'!$B5,RESOURCES!$C$3:$G$3,0),FALSE),"-")</f>
        <v>-</v>
      </c>
      <c r="D5" s="736"/>
      <c r="E5" s="736"/>
      <c r="F5" s="736"/>
      <c r="I5" s="372" t="s">
        <v>43</v>
      </c>
      <c r="J5" s="736" t="str">
        <f>IFERROR(VLOOKUP(J$4,SUPERVISORS!$C:$AR,MATCH('for coaching'!$I5,SUPERVISORS!$C$1:$AR$1,0),FALSE),"-")</f>
        <v>-</v>
      </c>
      <c r="K5" s="736"/>
      <c r="L5" s="736"/>
      <c r="M5" s="736"/>
      <c r="AP5" t="s">
        <v>422</v>
      </c>
    </row>
    <row r="6" spans="2:42">
      <c r="B6" s="372" t="s">
        <v>44</v>
      </c>
      <c r="C6" s="736" t="str">
        <f>IFERROR(VLOOKUP(C$4,RESOURCES!$C:$G,MATCH('for coaching'!$B6,RESOURCES!$C$3:$G$3,0),FALSE),"-")</f>
        <v>-</v>
      </c>
      <c r="D6" s="736"/>
      <c r="E6" s="736"/>
      <c r="F6" s="736"/>
      <c r="I6" s="372" t="s">
        <v>44</v>
      </c>
      <c r="J6" s="736" t="str">
        <f>IFERROR(VLOOKUP(J$4,SUPERVISORS!$C:$AR,MATCH('for coaching'!$I6,SUPERVISORS!$C$1:$AR$1,0),FALSE),"-")</f>
        <v>-</v>
      </c>
      <c r="K6" s="736"/>
      <c r="L6" s="736"/>
      <c r="M6" s="736"/>
      <c r="AP6" t="s">
        <v>423</v>
      </c>
    </row>
    <row r="7" spans="2:42">
      <c r="B7" s="372" t="s">
        <v>45</v>
      </c>
      <c r="C7" s="736" t="str">
        <f>IFERROR(VLOOKUP(C$4,RESOURCES!$C:$G,MATCH('for coaching'!$B7,RESOURCES!$C$3:$G$3,0),FALSE),"-")</f>
        <v>-</v>
      </c>
      <c r="D7" s="736"/>
      <c r="E7" s="736"/>
      <c r="F7" s="736"/>
      <c r="I7" s="372" t="s">
        <v>45</v>
      </c>
      <c r="J7" s="736" t="str">
        <f>IFERROR(VLOOKUP(J$4,SUPERVISORS!$C:$AR,MATCH('for coaching'!$I7,SUPERVISORS!$C$1:$AR$1,0),FALSE),"-")</f>
        <v>-</v>
      </c>
      <c r="K7" s="736"/>
      <c r="L7" s="736"/>
      <c r="M7" s="736"/>
      <c r="AP7" t="s">
        <v>424</v>
      </c>
    </row>
    <row r="8" spans="2:42">
      <c r="B8" s="372" t="s">
        <v>2</v>
      </c>
      <c r="C8" s="737" t="str">
        <f>IFERROR(INDEX(RESOURCES!$AG:$AG,MATCH('for coaching'!C$4,RESOURCES!$C:$C,0)),"-")</f>
        <v>-</v>
      </c>
      <c r="D8" s="737"/>
      <c r="E8" s="737"/>
      <c r="F8" s="737"/>
      <c r="I8" s="372" t="s">
        <v>2</v>
      </c>
      <c r="J8" s="737" t="str">
        <f>IFERROR(INDEX(SUPERVISORS!$AS:$AS,MATCH('for coaching'!$J4,SUPERVISORS!$C:$C,0)),"-")</f>
        <v>-</v>
      </c>
      <c r="K8" s="737"/>
      <c r="L8" s="737"/>
      <c r="M8" s="737"/>
      <c r="AP8" t="s">
        <v>425</v>
      </c>
    </row>
    <row r="9" spans="2:42">
      <c r="B9" s="2"/>
      <c r="AP9" t="s">
        <v>426</v>
      </c>
    </row>
    <row r="10" spans="2:42">
      <c r="B10" s="330" t="s">
        <v>427</v>
      </c>
      <c r="C10" s="330" t="s">
        <v>360</v>
      </c>
      <c r="D10" s="330" t="s">
        <v>428</v>
      </c>
      <c r="E10" s="330" t="s">
        <v>429</v>
      </c>
      <c r="F10" s="330" t="s">
        <v>2</v>
      </c>
      <c r="I10" s="329" t="s">
        <v>427</v>
      </c>
      <c r="J10" s="329" t="s">
        <v>360</v>
      </c>
      <c r="K10" s="329" t="s">
        <v>428</v>
      </c>
      <c r="L10" s="329" t="s">
        <v>429</v>
      </c>
      <c r="M10" s="329" t="s">
        <v>2</v>
      </c>
      <c r="AP10" t="s">
        <v>430</v>
      </c>
    </row>
    <row r="11" spans="2:42" ht="15" customHeight="1">
      <c r="B11" s="372" t="s">
        <v>3</v>
      </c>
      <c r="C11" s="370" t="str">
        <f>IFERROR(VLOOKUP(C$5,KPI!$V:$AN,MATCH('for coaching'!$B11,KPI!$V$1:$AN$1,0),FALSE),"-")</f>
        <v>-</v>
      </c>
      <c r="D11" s="31" t="str">
        <f>IFERROR(IF(VLOOKUP(C$4,RESOURCES!$C:$V,MATCH('for coaching'!$B11,RESOURCES!$C$3:$V$3,0),FALSE)="","-",VLOOKUP(C$4,RESOURCES!$C:$V,MATCH('for coaching'!$B11,RESOURCES!$C$3:$V$3,0),FALSE)),"-")</f>
        <v>-</v>
      </c>
      <c r="E11" s="31" t="str">
        <f>IFERROR(IF(VLOOKUP(C$4,RESOURCES!$C:$AF,MATCH('for coaching'!$B11,RESOURCES!$C$1:$AF$1,0),FALSE)="","-",VLOOKUP(C$4,RESOURCES!$C:$AF,MATCH('for coaching'!$B11,RESOURCES!$C$1:$AF$1,0),FALSE)),"-")</f>
        <v>-</v>
      </c>
      <c r="F11" s="743" t="e">
        <f>IF(E19="-",SUMPRODUCT(D11:D18,E11:E18)/SUM(D11:D18),SUMPRODUCT(D11:D19,E11:E19)/SUM(D11:D19))</f>
        <v>#DIV/0!</v>
      </c>
      <c r="I11" s="372" t="s">
        <v>3</v>
      </c>
      <c r="J11" s="371" t="str">
        <f>IFERROR(VLOOKUP(J$5,KPI!$V:$AN,MATCH('for coaching'!$I11,KPI!$V$1:$AN$1,0),FALSE),"-")</f>
        <v>-</v>
      </c>
      <c r="K11" s="31" t="str">
        <f>IFERROR(IF(VLOOKUP(J$4,SUPERVISORS!$C:$AB,MATCH('for coaching'!$I11,SUPERVISORS!$C$3:$AB$3,0),FALSE)="","-",VLOOKUP(J$4,SUPERVISORS!$C:$AB,MATCH('for coaching'!$I11,SUPERVISORS!$C$3:$AB$3,0),FALSE)),"-")</f>
        <v>-</v>
      </c>
      <c r="L11" s="31" t="str">
        <f>IFERROR(IF(VLOOKUP(J$4,SUPERVISORS!$C:$AR,MATCH('for coaching'!$I11,SUPERVISORS!$C$1:$AR$1,0),FALSE)="","-",VLOOKUP(J$4,SUPERVISORS!$C:$AR,MATCH('for coaching'!$I11,SUPERVISORS!$C$1:$AR$1,0),FALSE)),"-")</f>
        <v>-</v>
      </c>
      <c r="M11" s="738" t="e">
        <f>IF(L25="-",SUMPRODUCT(K11:K24,L11:L24)/SUM(K11:K24),SUMPRODUCT(K11:K25,L11:L25)/SUM(K11:K25))</f>
        <v>#DIV/0!</v>
      </c>
      <c r="AP11" t="s">
        <v>431</v>
      </c>
    </row>
    <row r="12" spans="2:42" ht="15" customHeight="1">
      <c r="B12" s="372" t="s">
        <v>6</v>
      </c>
      <c r="C12" s="370" t="str">
        <f>IFERROR(VLOOKUP(C$5,KPI!$V:$AN,MATCH('for coaching'!$B12,KPI!$V$1:$AN$1,0),FALSE),"-")</f>
        <v>-</v>
      </c>
      <c r="D12" s="31" t="str">
        <f>IFERROR(IF(VLOOKUP(C$4,RESOURCES!$C:$V,MATCH('for coaching'!$B12,RESOURCES!$C$3:$V$3,0),FALSE)="","-",VLOOKUP(C$4,RESOURCES!$C:$V,MATCH('for coaching'!$B12,RESOURCES!$C$3:$V$3,0),FALSE)),"-")</f>
        <v>-</v>
      </c>
      <c r="E12" s="31" t="str">
        <f>IFERROR(IF(VLOOKUP(C$4,RESOURCES!$C:$AF,MATCH('for coaching'!$B12,RESOURCES!$C$1:$AF$1,0),FALSE)="","-",VLOOKUP(C$4,RESOURCES!$C:$AF,MATCH('for coaching'!$B12,RESOURCES!$C$1:$AF$1,0),FALSE)),"-")</f>
        <v>-</v>
      </c>
      <c r="F12" s="743"/>
      <c r="I12" s="372" t="s">
        <v>253</v>
      </c>
      <c r="J12" s="371" t="str">
        <f>IFERROR(VLOOKUP(J$5,KPI!$V:$AN,MATCH('for coaching'!$I12,KPI!$V$1:$AN$1,0),FALSE),"-")</f>
        <v>-</v>
      </c>
      <c r="K12" s="31" t="str">
        <f>IFERROR(IF(VLOOKUP(J$4,SUPERVISORS!$C:$AB,MATCH('for coaching'!$I12,SUPERVISORS!$C$3:$AB$3,0),FALSE)="","-",VLOOKUP(J$4,SUPERVISORS!$C:$AB,MATCH('for coaching'!$I12,SUPERVISORS!$C$3:$AB$3,0),FALSE)),"-")</f>
        <v>-</v>
      </c>
      <c r="L12" s="31" t="str">
        <f>IFERROR(IF(VLOOKUP(J$4,SUPERVISORS!$C:$AR,MATCH('for coaching'!$I12,SUPERVISORS!$C$1:$AR$1,0),FALSE)="","-",VLOOKUP(J$4,SUPERVISORS!$C:$AR,MATCH('for coaching'!$I12,SUPERVISORS!$C$1:$AR$1,0),FALSE)),"-")</f>
        <v>-</v>
      </c>
      <c r="M12" s="739"/>
      <c r="AP12" t="s">
        <v>432</v>
      </c>
    </row>
    <row r="13" spans="2:42" ht="15" customHeight="1">
      <c r="B13" s="372" t="s">
        <v>59</v>
      </c>
      <c r="C13" s="371" t="str">
        <f>IFERROR(VLOOKUP(C$5,KPI!$V:$AN,MATCH('for coaching'!$B13,KPI!$V$1:$AN$1,0),FALSE),"-")</f>
        <v>-</v>
      </c>
      <c r="D13" s="31" t="str">
        <f>IFERROR(IF(VLOOKUP(C$4,RESOURCES!$C:$V,MATCH('for coaching'!$B13,RESOURCES!$C$3:$V$3,0),FALSE)="","-",VLOOKUP(C$4,RESOURCES!$C:$V,MATCH('for coaching'!$B13,RESOURCES!$C$3:$V$3,0),FALSE)),"-")</f>
        <v>-</v>
      </c>
      <c r="E13" s="31" t="str">
        <f>IFERROR(IF(VLOOKUP(C$4,RESOURCES!$C:$AF,MATCH('for coaching'!$B13,RESOURCES!$C$1:$AF$1,0),FALSE)="","-",VLOOKUP(C$4,RESOURCES!$C:$AF,MATCH('for coaching'!$B13,RESOURCES!$C$1:$AF$1,0),FALSE)),"-")</f>
        <v>-</v>
      </c>
      <c r="F13" s="743"/>
      <c r="I13" s="372" t="s">
        <v>59</v>
      </c>
      <c r="J13" s="371" t="str">
        <f>IFERROR(VLOOKUP(J$5,KPI!$V:$AN,MATCH('for coaching'!$I13,KPI!$V$1:$AN$1,0),FALSE),"-")</f>
        <v>-</v>
      </c>
      <c r="K13" s="31" t="str">
        <f>IFERROR(IF(VLOOKUP(J$4,SUPERVISORS!$C:$AB,MATCH('for coaching'!$I13,SUPERVISORS!$C$3:$AB$3,0),FALSE)="","-",VLOOKUP(J$4,SUPERVISORS!$C:$AB,MATCH('for coaching'!$I13,SUPERVISORS!$C$3:$AB$3,0),FALSE)),"-")</f>
        <v>-</v>
      </c>
      <c r="L13" s="31" t="str">
        <f>IFERROR(IF(VLOOKUP(J$4,SUPERVISORS!$C:$AR,MATCH('for coaching'!$I13,SUPERVISORS!$C$1:$AR$1,0),FALSE)="","-",VLOOKUP(J$4,SUPERVISORS!$C:$AR,MATCH('for coaching'!$I13,SUPERVISORS!$C$1:$AR$1,0),FALSE)),"-")</f>
        <v>-</v>
      </c>
      <c r="M13" s="739"/>
      <c r="AP13" t="s">
        <v>433</v>
      </c>
    </row>
    <row r="14" spans="2:42" ht="15" customHeight="1">
      <c r="B14" s="372" t="s">
        <v>60</v>
      </c>
      <c r="C14" s="371" t="str">
        <f>IFERROR(VLOOKUP(C$5,KPI!$V:$AN,MATCH('for coaching'!$B14,KPI!$V$1:$AN$1,0),FALSE),"-")</f>
        <v>-</v>
      </c>
      <c r="D14" s="31" t="str">
        <f>IFERROR(IF(VLOOKUP(C$4,RESOURCES!$C:$V,MATCH('for coaching'!$B14,RESOURCES!$C$3:$V$3,0),FALSE)="","-",VLOOKUP(C$4,RESOURCES!$C:$V,MATCH('for coaching'!$B14,RESOURCES!$C$3:$V$3,0),FALSE)),"-")</f>
        <v>-</v>
      </c>
      <c r="E14" s="31" t="str">
        <f>IFERROR(IF(VLOOKUP(C$4,RESOURCES!$C:$AF,MATCH('for coaching'!$B14,RESOURCES!$C$1:$AF$1,0),FALSE)="","-",VLOOKUP(C$4,RESOURCES!$C:$AF,MATCH('for coaching'!$B14,RESOURCES!$C$1:$AF$1,0),FALSE)),"-")</f>
        <v>-</v>
      </c>
      <c r="F14" s="743"/>
      <c r="I14" s="372" t="s">
        <v>6</v>
      </c>
      <c r="J14" s="371" t="str">
        <f>IFERROR(VLOOKUP(J$5,KPI!$V:$AN,MATCH('for coaching'!$I14,KPI!$V$1:$AN$1,0),FALSE),"-")</f>
        <v>-</v>
      </c>
      <c r="K14" s="31" t="str">
        <f>IFERROR(IF(VLOOKUP(J$4,SUPERVISORS!$C:$AB,MATCH('for coaching'!$I14,SUPERVISORS!$C$3:$AB$3,0),FALSE)="","-",VLOOKUP(J$4,SUPERVISORS!$C:$AB,MATCH('for coaching'!$I14,SUPERVISORS!$C$3:$AB$3,0),FALSE)),"-")</f>
        <v>-</v>
      </c>
      <c r="L14" s="31" t="str">
        <f>IFERROR(IF(VLOOKUP(J$4,SUPERVISORS!$C:$AR,MATCH('for coaching'!$I14,SUPERVISORS!$C$1:$AR$1,0),FALSE)="","-",VLOOKUP(J$4,SUPERVISORS!$C:$AR,MATCH('for coaching'!$I14,SUPERVISORS!$C$1:$AR$1,0),FALSE)),"-")</f>
        <v>-</v>
      </c>
      <c r="M14" s="739"/>
      <c r="AP14" t="s">
        <v>434</v>
      </c>
    </row>
    <row r="15" spans="2:42" ht="15" customHeight="1">
      <c r="B15" s="372" t="s">
        <v>4</v>
      </c>
      <c r="C15" s="371" t="str">
        <f>IFERROR(VLOOKUP(C$5,KPI!$V:$AN,MATCH('for coaching'!$B15,KPI!$V$1:$AN$1,0),FALSE),"-")</f>
        <v>-</v>
      </c>
      <c r="D15" s="31" t="str">
        <f>IFERROR(IF(VLOOKUP(C$4,RESOURCES!$C:$V,MATCH('for coaching'!$B15,RESOURCES!$C$3:$V$3,0),FALSE)="","-",VLOOKUP(C$4,RESOURCES!$C:$V,MATCH('for coaching'!$B15,RESOURCES!$C$3:$V$3,0),FALSE)),"-")</f>
        <v>-</v>
      </c>
      <c r="E15" s="31" t="str">
        <f>IFERROR(IF(VLOOKUP(C$4,RESOURCES!$C:$AF,MATCH('for coaching'!$B15,RESOURCES!$C$1:$AF$1,0),FALSE)="","-",VLOOKUP(C$4,RESOURCES!$C:$AF,MATCH('for coaching'!$B15,RESOURCES!$C$1:$AF$1,0),FALSE)),"-")</f>
        <v>-</v>
      </c>
      <c r="F15" s="743"/>
      <c r="I15" s="372" t="s">
        <v>254</v>
      </c>
      <c r="J15" s="371" t="str">
        <f>IFERROR(VLOOKUP(J$5,KPI!$V:$AN,MATCH('for coaching'!$I15,KPI!$V$1:$AN$1,0),FALSE),"-")</f>
        <v>-</v>
      </c>
      <c r="K15" s="31" t="str">
        <f>IFERROR(IF(VLOOKUP(J$4,SUPERVISORS!$C:$AB,MATCH('for coaching'!$I15,SUPERVISORS!$C$3:$AB$3,0),FALSE)="","-",VLOOKUP(J$4,SUPERVISORS!$C:$AB,MATCH('for coaching'!$I15,SUPERVISORS!$C$3:$AB$3,0),FALSE)),"-")</f>
        <v>-</v>
      </c>
      <c r="L15" s="31" t="str">
        <f>IFERROR(IF(VLOOKUP(J$4,SUPERVISORS!$C:$AR,MATCH('for coaching'!$I15,SUPERVISORS!$C$1:$AR$1,0),FALSE)="","-",VLOOKUP(J$4,SUPERVISORS!$C:$AR,MATCH('for coaching'!$I15,SUPERVISORS!$C$1:$AR$1,0),FALSE)),"-")</f>
        <v>-</v>
      </c>
      <c r="M15" s="739"/>
      <c r="AP15" t="s">
        <v>435</v>
      </c>
    </row>
    <row r="16" spans="2:42" ht="15" customHeight="1">
      <c r="B16" s="372" t="s">
        <v>5</v>
      </c>
      <c r="C16" s="371" t="str">
        <f>IFERROR(VLOOKUP(C$5,KPI!$V:$AN,MATCH('for coaching'!$B16,KPI!$V$1:$AN$1,0),FALSE),"-")</f>
        <v>-</v>
      </c>
      <c r="D16" s="31" t="str">
        <f>IFERROR(IF(VLOOKUP(C$4,RESOURCES!$C:$V,MATCH('for coaching'!$B16,RESOURCES!$C$3:$V$3,0),FALSE)="","-",VLOOKUP(C$4,RESOURCES!$C:$V,MATCH('for coaching'!$B16,RESOURCES!$C$3:$V$3,0),FALSE)),"-")</f>
        <v>-</v>
      </c>
      <c r="E16" s="31" t="str">
        <f>IFERROR(IF(VLOOKUP(C$4,RESOURCES!$C:$AF,MATCH('for coaching'!$B16,RESOURCES!$C$1:$AF$1,0),FALSE)="","-",VLOOKUP(C$4,RESOURCES!$C:$AF,MATCH('for coaching'!$B16,RESOURCES!$C$1:$AF$1,0),FALSE)),"-")</f>
        <v>-</v>
      </c>
      <c r="F16" s="743"/>
      <c r="I16" s="372" t="s">
        <v>4</v>
      </c>
      <c r="J16" s="371" t="str">
        <f>IFERROR(VLOOKUP(J$5,KPI!$V:$AN,MATCH('for coaching'!$I16,KPI!$V$1:$AN$1,0),FALSE),"-")</f>
        <v>-</v>
      </c>
      <c r="K16" s="31" t="str">
        <f>IFERROR(IF(VLOOKUP(J$4,SUPERVISORS!$C:$AB,MATCH('for coaching'!$I16,SUPERVISORS!$C$3:$AB$3,0),FALSE)="","-",VLOOKUP(J$4,SUPERVISORS!$C:$AB,MATCH('for coaching'!$I16,SUPERVISORS!$C$3:$AB$3,0),FALSE)),"-")</f>
        <v>-</v>
      </c>
      <c r="L16" s="31" t="str">
        <f>IFERROR(IF(VLOOKUP(J$4,SUPERVISORS!$C:$AR,MATCH('for coaching'!$I16,SUPERVISORS!$C$1:$AR$1,0),FALSE)="","-",VLOOKUP(J$4,SUPERVISORS!$C:$AR,MATCH('for coaching'!$I16,SUPERVISORS!$C$1:$AR$1,0),FALSE)),"-")</f>
        <v>-</v>
      </c>
      <c r="M16" s="739"/>
      <c r="AP16" t="s">
        <v>436</v>
      </c>
    </row>
    <row r="17" spans="2:42" ht="15" customHeight="1">
      <c r="B17" s="372" t="s">
        <v>61</v>
      </c>
      <c r="C17" s="371" t="str">
        <f>IFERROR(VLOOKUP(C$5,KPI!$V:$AN,MATCH('for coaching'!$B17,KPI!$V$1:$AN$1,0),FALSE),"-")</f>
        <v>-</v>
      </c>
      <c r="D17" s="31" t="str">
        <f>IFERROR(IF(VLOOKUP(C$4,RESOURCES!$C:$V,MATCH('for coaching'!$B17,RESOURCES!$C$3:$V$3,0),FALSE)="","-",VLOOKUP(C$4,RESOURCES!$C:$V,MATCH('for coaching'!$B17,RESOURCES!$C$3:$V$3,0),FALSE)),"-")</f>
        <v>-</v>
      </c>
      <c r="E17" s="31" t="str">
        <f>IFERROR(IF(VLOOKUP(C$4,RESOURCES!$C:$AF,MATCH('for coaching'!$B17,RESOURCES!$C$1:$AF$1,0),FALSE)="","-",VLOOKUP(C$4,RESOURCES!$C:$AF,MATCH('for coaching'!$B17,RESOURCES!$C$1:$AF$1,0),FALSE)),"-")</f>
        <v>-</v>
      </c>
      <c r="F17" s="743"/>
      <c r="I17" s="372" t="s">
        <v>255</v>
      </c>
      <c r="J17" s="371" t="str">
        <f>IFERROR(VLOOKUP(J$5,KPI!$V:$AN,MATCH('for coaching'!$I17,KPI!$V$1:$AN$1,0),FALSE),"-")</f>
        <v>-</v>
      </c>
      <c r="K17" s="31" t="str">
        <f>IFERROR(IF(VLOOKUP(J$4,SUPERVISORS!$C:$AB,MATCH('for coaching'!$I17,SUPERVISORS!$C$3:$AB$3,0),FALSE)="","-",VLOOKUP(J$4,SUPERVISORS!$C:$AB,MATCH('for coaching'!$I17,SUPERVISORS!$C$3:$AB$3,0),FALSE)),"-")</f>
        <v>-</v>
      </c>
      <c r="L17" s="31" t="str">
        <f>IFERROR(IF(VLOOKUP(J$4,SUPERVISORS!$C:$AR,MATCH('for coaching'!$I17,SUPERVISORS!$C$1:$AR$1,0),FALSE)="","-",VLOOKUP(J$4,SUPERVISORS!$C:$AR,MATCH('for coaching'!$I17,SUPERVISORS!$C$1:$AR$1,0),FALSE)),"-")</f>
        <v>-</v>
      </c>
      <c r="M17" s="739"/>
      <c r="AP17" t="s">
        <v>437</v>
      </c>
    </row>
    <row r="18" spans="2:42" ht="15" customHeight="1">
      <c r="B18" s="372" t="s">
        <v>62</v>
      </c>
      <c r="C18" s="371" t="str">
        <f>IFERROR(VLOOKUP(C$5,KPI!$V:$AN,MATCH('for coaching'!$B18,KPI!$V$1:$AN$1,0),FALSE),"-")</f>
        <v>-</v>
      </c>
      <c r="D18" s="31" t="str">
        <f>IFERROR(IF(VLOOKUP(C$4,RESOURCES!$C:$V,MATCH('for coaching'!$B18,RESOURCES!$C$3:$V$3,0),FALSE)="","-",VLOOKUP(C$4,RESOURCES!$C:$V,MATCH('for coaching'!$B18,RESOURCES!$C$3:$V$3,0),FALSE)),"-")</f>
        <v>-</v>
      </c>
      <c r="E18" s="31" t="str">
        <f>IFERROR(IF(VLOOKUP(C$4,RESOURCES!$C:$AF,MATCH('for coaching'!$B18,RESOURCES!$C$1:$AF$1,0),FALSE)="","-",VLOOKUP(C$4,RESOURCES!$C:$AF,MATCH('for coaching'!$B18,RESOURCES!$C$1:$AF$1,0),FALSE)),"-")</f>
        <v>-</v>
      </c>
      <c r="F18" s="743"/>
      <c r="I18" s="372" t="s">
        <v>256</v>
      </c>
      <c r="J18" s="371" t="str">
        <f>IFERROR(VLOOKUP(J$5,KPI!$V:$AN,MATCH('for coaching'!$I18,KPI!$V$1:$AN$1,0),FALSE),"-")</f>
        <v>-</v>
      </c>
      <c r="K18" s="31" t="str">
        <f>IFERROR(IF(VLOOKUP(J$4,SUPERVISORS!$C:$AB,MATCH('for coaching'!$I18,SUPERVISORS!$C$3:$AB$3,0),FALSE)="","-",VLOOKUP(J$4,SUPERVISORS!$C:$AB,MATCH('for coaching'!$I18,SUPERVISORS!$C$3:$AB$3,0),FALSE)),"-")</f>
        <v>-</v>
      </c>
      <c r="L18" s="31" t="str">
        <f>IFERROR(IF(VLOOKUP(J$4,SUPERVISORS!$C:$AR,MATCH('for coaching'!$I18,SUPERVISORS!$C$1:$AR$1,0),FALSE)="","-",VLOOKUP(J$4,SUPERVISORS!$C:$AR,MATCH('for coaching'!$I18,SUPERVISORS!$C$1:$AR$1,0),FALSE)),"-")</f>
        <v>-</v>
      </c>
      <c r="M18" s="739"/>
      <c r="AP18" t="s">
        <v>438</v>
      </c>
    </row>
    <row r="19" spans="2:42" ht="15" customHeight="1">
      <c r="B19" s="372" t="s">
        <v>63</v>
      </c>
      <c r="C19" s="370" t="str">
        <f>IFERROR(VLOOKUP(C$5,KPI!$V:$AN,MATCH('for coaching'!$B19,KPI!$V$1:$AN$1,0),FALSE),"-")</f>
        <v>-</v>
      </c>
      <c r="D19" s="31" t="str">
        <f>IFERROR(IF(VLOOKUP(C$4,RESOURCES!$C:$V,MATCH('for coaching'!$B19,RESOURCES!$C$3:$V$3,0),FALSE)="","-",VLOOKUP(C$4,RESOURCES!$C:$V,MATCH('for coaching'!$B19,RESOURCES!$C$3:$V$3,0),FALSE)),"-")</f>
        <v>-</v>
      </c>
      <c r="E19" s="31" t="str">
        <f>IFERROR(IF(VLOOKUP(C$4,RESOURCES!$C:$AF,MATCH('for coaching'!$B19,RESOURCES!$C$1:$AF$1,0),FALSE)="","-",VLOOKUP(C$4,RESOURCES!$C:$AF,MATCH('for coaching'!$B19,RESOURCES!$C$1:$AF$1,0),FALSE)),"-")</f>
        <v>-</v>
      </c>
      <c r="F19" s="743"/>
      <c r="I19" s="372" t="s">
        <v>257</v>
      </c>
      <c r="J19" s="371" t="str">
        <f>IFERROR(VLOOKUP(J$5,KPI!$V:$AN,MATCH('for coaching'!$I19,KPI!$V$1:$AN$1,0),FALSE),"-")</f>
        <v>-</v>
      </c>
      <c r="K19" s="31" t="str">
        <f>IFERROR(IF(VLOOKUP(J$4,SUPERVISORS!$C:$AB,MATCH('for coaching'!$I19,SUPERVISORS!$C$3:$AB$3,0),FALSE)="","-",VLOOKUP(J$4,SUPERVISORS!$C:$AB,MATCH('for coaching'!$I19,SUPERVISORS!$C$3:$AB$3,0),FALSE)),"-")</f>
        <v>-</v>
      </c>
      <c r="L19" s="31" t="str">
        <f>IFERROR(IF(VLOOKUP(J$4,SUPERVISORS!$C:$AR,MATCH('for coaching'!$I19,SUPERVISORS!$C$1:$AR$1,0),FALSE)="","-",VLOOKUP(J$4,SUPERVISORS!$C:$AR,MATCH('for coaching'!$I19,SUPERVISORS!$C$1:$AR$1,0),FALSE)),"-")</f>
        <v>-</v>
      </c>
      <c r="M19" s="739"/>
      <c r="AP19" t="s">
        <v>439</v>
      </c>
    </row>
    <row r="20" spans="2:42" ht="15" customHeight="1">
      <c r="D20" s="16"/>
      <c r="E20" s="16"/>
      <c r="F20" s="16"/>
      <c r="I20" s="372" t="s">
        <v>258</v>
      </c>
      <c r="J20" s="371" t="str">
        <f>IFERROR(VLOOKUP(J$5,KPI!$V:$AN,MATCH('for coaching'!$I20,KPI!$V$1:$AN$1,0),FALSE),"-")</f>
        <v>-</v>
      </c>
      <c r="K20" s="31" t="str">
        <f>IFERROR(IF(VLOOKUP(J$4,SUPERVISORS!$C:$AB,MATCH('for coaching'!$I20,SUPERVISORS!$C$3:$AB$3,0),FALSE)="","-",VLOOKUP(J$4,SUPERVISORS!$C:$AB,MATCH('for coaching'!$I20,SUPERVISORS!$C$3:$AB$3,0),FALSE)),"-")</f>
        <v>-</v>
      </c>
      <c r="L20" s="31" t="str">
        <f>IFERROR(IF(VLOOKUP(J$4,SUPERVISORS!$C:$AR,MATCH('for coaching'!$I20,SUPERVISORS!$C$1:$AR$1,0),FALSE)="","-",VLOOKUP(J$4,SUPERVISORS!$C:$AR,MATCH('for coaching'!$I20,SUPERVISORS!$C$1:$AR$1,0),FALSE)),"-")</f>
        <v>-</v>
      </c>
      <c r="M20" s="739"/>
      <c r="AP20" t="s">
        <v>440</v>
      </c>
    </row>
    <row r="21" spans="2:42" ht="15" customHeight="1">
      <c r="I21" s="372" t="s">
        <v>259</v>
      </c>
      <c r="J21" s="371" t="str">
        <f>IFERROR(VLOOKUP(J$5,KPI!$V:$AN,MATCH('for coaching'!$I21,KPI!$V$1:$AN$1,0),FALSE),"-")</f>
        <v>-</v>
      </c>
      <c r="K21" s="31" t="str">
        <f>IFERROR(IF(VLOOKUP(J$4,SUPERVISORS!$C:$AB,MATCH('for coaching'!$I21,SUPERVISORS!$C$3:$AB$3,0),FALSE)="","-",VLOOKUP(J$4,SUPERVISORS!$C:$AB,MATCH('for coaching'!$I21,SUPERVISORS!$C$3:$AB$3,0),FALSE)),"-")</f>
        <v>-</v>
      </c>
      <c r="L21" s="31" t="str">
        <f>IFERROR(IF(VLOOKUP(J$4,SUPERVISORS!$C:$AR,MATCH('for coaching'!$I21,SUPERVISORS!$C$1:$AR$1,0),FALSE)="","-",VLOOKUP(J$4,SUPERVISORS!$C:$AR,MATCH('for coaching'!$I21,SUPERVISORS!$C$1:$AR$1,0),FALSE)),"-")</f>
        <v>-</v>
      </c>
      <c r="M21" s="739"/>
      <c r="AP21" t="s">
        <v>198</v>
      </c>
    </row>
    <row r="22" spans="2:42" ht="15" customHeight="1">
      <c r="I22" s="372" t="s">
        <v>261</v>
      </c>
      <c r="J22" s="371" t="str">
        <f>IFERROR(VLOOKUP(J$5,KPI!$V:$AN,MATCH('for coaching'!$I22,KPI!$V$1:$AN$1,0),FALSE),"-")</f>
        <v>-</v>
      </c>
      <c r="K22" s="31" t="str">
        <f>IFERROR(IF(VLOOKUP(J$4,SUPERVISORS!$C:$AB,MATCH('for coaching'!$I22,SUPERVISORS!$C$3:$AB$3,0),FALSE)="","-",VLOOKUP(J$4,SUPERVISORS!$C:$AB,MATCH('for coaching'!$I22,SUPERVISORS!$C$3:$AB$3,0),FALSE)),"-")</f>
        <v>-</v>
      </c>
      <c r="L22" s="31" t="str">
        <f>IFERROR(IF(VLOOKUP(J$4,SUPERVISORS!$C:$AR,MATCH('for coaching'!$I22,SUPERVISORS!$C$1:$AR$1,0),FALSE)="","-",VLOOKUP(J$4,SUPERVISORS!$C:$AR,MATCH('for coaching'!$I22,SUPERVISORS!$C$1:$AR$1,0),FALSE)),"-")</f>
        <v>-</v>
      </c>
      <c r="M22" s="739"/>
      <c r="AP22" t="s">
        <v>441</v>
      </c>
    </row>
    <row r="23" spans="2:42" ht="15" customHeight="1">
      <c r="F23" s="30" t="e">
        <f>IF(C8=F11,"YES","NO")</f>
        <v>#DIV/0!</v>
      </c>
      <c r="I23" s="372" t="s">
        <v>61</v>
      </c>
      <c r="J23" s="371" t="str">
        <f>IFERROR(VLOOKUP(J$5,KPI!$V:$AN,MATCH('for coaching'!$I23,KPI!$V$1:$AN$1,0),FALSE),"-")</f>
        <v>-</v>
      </c>
      <c r="K23" s="31" t="str">
        <f>IFERROR(IF(VLOOKUP(J$4,SUPERVISORS!$C:$AB,MATCH('for coaching'!$I23,SUPERVISORS!$C$3:$AB$3,0),FALSE)="","-",VLOOKUP(J$4,SUPERVISORS!$C:$AB,MATCH('for coaching'!$I23,SUPERVISORS!$C$3:$AB$3,0),FALSE)),"-")</f>
        <v>-</v>
      </c>
      <c r="L23" s="31" t="str">
        <f>IFERROR(IF(VLOOKUP(J$4,SUPERVISORS!$C:$AR,MATCH('for coaching'!$I23,SUPERVISORS!$C$1:$AR$1,0),FALSE)="","-",VLOOKUP(J$4,SUPERVISORS!$C:$AR,MATCH('for coaching'!$I23,SUPERVISORS!$C$1:$AR$1,0),FALSE)),"-")</f>
        <v>-</v>
      </c>
      <c r="M23" s="739"/>
      <c r="AP23" t="s">
        <v>442</v>
      </c>
    </row>
    <row r="24" spans="2:42" ht="15" customHeight="1">
      <c r="I24" s="372" t="s">
        <v>62</v>
      </c>
      <c r="J24" s="371" t="str">
        <f>IFERROR(VLOOKUP(J$5,KPI!$V:$AN,MATCH('for coaching'!$I24,KPI!$V$1:$AN$1,0),FALSE),"-")</f>
        <v>-</v>
      </c>
      <c r="K24" s="31" t="str">
        <f>IFERROR(IF(VLOOKUP(J$4,SUPERVISORS!$C:$AB,MATCH('for coaching'!$I24,SUPERVISORS!$C$3:$AB$3,0),FALSE)="","-",VLOOKUP(J$4,SUPERVISORS!$C:$AB,MATCH('for coaching'!$I24,SUPERVISORS!$C$3:$AB$3,0),FALSE)),"-")</f>
        <v>-</v>
      </c>
      <c r="L24" s="31" t="str">
        <f>IFERROR(IF(VLOOKUP(J$4,SUPERVISORS!$C:$AR,MATCH('for coaching'!$I24,SUPERVISORS!$C$1:$AR$1,0),FALSE)="","-",VLOOKUP(J$4,SUPERVISORS!$C:$AR,MATCH('for coaching'!$I24,SUPERVISORS!$C$1:$AR$1,0),FALSE)),"-")</f>
        <v>-</v>
      </c>
      <c r="M24" s="739"/>
      <c r="AP24" t="s">
        <v>443</v>
      </c>
    </row>
    <row r="25" spans="2:42" ht="15" customHeight="1">
      <c r="I25" s="372" t="s">
        <v>63</v>
      </c>
      <c r="J25" s="371" t="str">
        <f>IFERROR(VLOOKUP(J$5,KPI!$V:$AN,MATCH('for coaching'!$I25,KPI!$V$1:$AN$1,0),FALSE),"-")</f>
        <v>-</v>
      </c>
      <c r="K25" s="31" t="str">
        <f>IFERROR(IF(VLOOKUP(J$4,SUPERVISORS!$C:$AB,MATCH('for coaching'!$I25,SUPERVISORS!$C$3:$AB$3,0),FALSE)="","-",VLOOKUP(J$4,SUPERVISORS!$C:$AB,MATCH('for coaching'!$I25,SUPERVISORS!$C$3:$AB$3,0),FALSE)),"-")</f>
        <v>-</v>
      </c>
      <c r="L25" s="31" t="str">
        <f>IFERROR(IF(VLOOKUP(J$4,SUPERVISORS!$C:$AR,MATCH('for coaching'!$I25,SUPERVISORS!$C$1:$AR$1,0),FALSE)="","-",VLOOKUP(J$4,SUPERVISORS!$C:$AR,MATCH('for coaching'!$I25,SUPERVISORS!$C$1:$AR$1,0),FALSE)),"-")</f>
        <v>-</v>
      </c>
      <c r="M25" s="740"/>
      <c r="S25" s="15"/>
      <c r="T25" s="15"/>
      <c r="U25" s="15"/>
      <c r="V25" s="15"/>
      <c r="AP25" t="s">
        <v>444</v>
      </c>
    </row>
    <row r="26" spans="2:42">
      <c r="S26" s="15"/>
      <c r="AP26" t="s">
        <v>445</v>
      </c>
    </row>
    <row r="27" spans="2:42">
      <c r="S27" s="15"/>
      <c r="AP27" t="s">
        <v>446</v>
      </c>
    </row>
    <row r="28" spans="2:42">
      <c r="AP28" t="s">
        <v>447</v>
      </c>
    </row>
    <row r="29" spans="2:42">
      <c r="AP29" t="s">
        <v>448</v>
      </c>
    </row>
    <row r="30" spans="2:42">
      <c r="M30" s="30" t="e">
        <f>IF(J8=M11,"YES","NO")</f>
        <v>#DIV/0!</v>
      </c>
      <c r="AP30" t="s">
        <v>449</v>
      </c>
    </row>
    <row r="31" spans="2:42">
      <c r="AP31" t="s">
        <v>450</v>
      </c>
    </row>
    <row r="32" spans="2:42">
      <c r="AP32" t="s">
        <v>451</v>
      </c>
    </row>
    <row r="33" spans="42:42">
      <c r="AP33" t="s">
        <v>452</v>
      </c>
    </row>
    <row r="34" spans="42:42">
      <c r="AP34" t="s">
        <v>453</v>
      </c>
    </row>
    <row r="35" spans="42:42">
      <c r="AP35" t="s">
        <v>454</v>
      </c>
    </row>
    <row r="36" spans="42:42">
      <c r="AP36" t="s">
        <v>455</v>
      </c>
    </row>
    <row r="37" spans="42:42">
      <c r="AP37" t="s">
        <v>456</v>
      </c>
    </row>
    <row r="38" spans="42:42">
      <c r="AP38" t="s">
        <v>457</v>
      </c>
    </row>
    <row r="39" spans="42:42">
      <c r="AP39" t="s">
        <v>458</v>
      </c>
    </row>
    <row r="40" spans="42:42">
      <c r="AP40" t="s">
        <v>459</v>
      </c>
    </row>
    <row r="41" spans="42:42">
      <c r="AP41" t="s">
        <v>460</v>
      </c>
    </row>
    <row r="42" spans="42:42">
      <c r="AP42" t="s">
        <v>461</v>
      </c>
    </row>
    <row r="43" spans="42:42">
      <c r="AP43" t="s">
        <v>462</v>
      </c>
    </row>
    <row r="44" spans="42:42">
      <c r="AP44" t="s">
        <v>463</v>
      </c>
    </row>
    <row r="45" spans="42:42">
      <c r="AP45" t="s">
        <v>464</v>
      </c>
    </row>
    <row r="46" spans="42:42">
      <c r="AP46" t="s">
        <v>465</v>
      </c>
    </row>
    <row r="47" spans="42:42">
      <c r="AP47" t="s">
        <v>466</v>
      </c>
    </row>
    <row r="48" spans="42:42">
      <c r="AP48" t="s">
        <v>467</v>
      </c>
    </row>
    <row r="49" spans="42:42">
      <c r="AP49" t="s">
        <v>468</v>
      </c>
    </row>
    <row r="50" spans="42:42">
      <c r="AP50" t="s">
        <v>469</v>
      </c>
    </row>
    <row r="51" spans="42:42">
      <c r="AP51" t="s">
        <v>470</v>
      </c>
    </row>
    <row r="52" spans="42:42">
      <c r="AP52" t="s">
        <v>471</v>
      </c>
    </row>
    <row r="53" spans="42:42">
      <c r="AP53" t="s">
        <v>472</v>
      </c>
    </row>
    <row r="54" spans="42:42">
      <c r="AP54" t="s">
        <v>473</v>
      </c>
    </row>
    <row r="55" spans="42:42">
      <c r="AP55" t="s">
        <v>474</v>
      </c>
    </row>
    <row r="56" spans="42:42">
      <c r="AP56" t="s">
        <v>475</v>
      </c>
    </row>
    <row r="57" spans="42:42">
      <c r="AP57" t="s">
        <v>476</v>
      </c>
    </row>
    <row r="58" spans="42:42">
      <c r="AP58" t="s">
        <v>477</v>
      </c>
    </row>
    <row r="59" spans="42:42">
      <c r="AP59" t="s">
        <v>478</v>
      </c>
    </row>
    <row r="60" spans="42:42">
      <c r="AP60" t="s">
        <v>479</v>
      </c>
    </row>
    <row r="61" spans="42:42">
      <c r="AP61" t="s">
        <v>480</v>
      </c>
    </row>
    <row r="62" spans="42:42">
      <c r="AP62" t="s">
        <v>481</v>
      </c>
    </row>
    <row r="63" spans="42:42">
      <c r="AP63" t="s">
        <v>482</v>
      </c>
    </row>
    <row r="64" spans="42:42">
      <c r="AP64" t="s">
        <v>483</v>
      </c>
    </row>
    <row r="65" spans="42:42">
      <c r="AP65" t="s">
        <v>484</v>
      </c>
    </row>
    <row r="66" spans="42:42">
      <c r="AP66" t="s">
        <v>485</v>
      </c>
    </row>
    <row r="67" spans="42:42">
      <c r="AP67" t="s">
        <v>486</v>
      </c>
    </row>
    <row r="68" spans="42:42">
      <c r="AP68" t="s">
        <v>487</v>
      </c>
    </row>
    <row r="69" spans="42:42">
      <c r="AP69" t="s">
        <v>488</v>
      </c>
    </row>
    <row r="70" spans="42:42">
      <c r="AP70" t="s">
        <v>489</v>
      </c>
    </row>
    <row r="71" spans="42:42">
      <c r="AP71" t="s">
        <v>490</v>
      </c>
    </row>
    <row r="72" spans="42:42">
      <c r="AP72" t="s">
        <v>491</v>
      </c>
    </row>
    <row r="73" spans="42:42">
      <c r="AP73" t="s">
        <v>492</v>
      </c>
    </row>
    <row r="74" spans="42:42">
      <c r="AP74" t="s">
        <v>493</v>
      </c>
    </row>
    <row r="75" spans="42:42">
      <c r="AP75" t="s">
        <v>494</v>
      </c>
    </row>
    <row r="76" spans="42:42">
      <c r="AP76" t="s">
        <v>495</v>
      </c>
    </row>
    <row r="77" spans="42:42">
      <c r="AP77" t="s">
        <v>210</v>
      </c>
    </row>
    <row r="78" spans="42:42">
      <c r="AP78" t="s">
        <v>496</v>
      </c>
    </row>
    <row r="79" spans="42:42">
      <c r="AP79" t="s">
        <v>497</v>
      </c>
    </row>
    <row r="80" spans="42:42">
      <c r="AP80" t="s">
        <v>498</v>
      </c>
    </row>
    <row r="81" spans="42:42">
      <c r="AP81" t="s">
        <v>499</v>
      </c>
    </row>
    <row r="82" spans="42:42">
      <c r="AP82" t="s">
        <v>500</v>
      </c>
    </row>
    <row r="83" spans="42:42">
      <c r="AP83" t="s">
        <v>501</v>
      </c>
    </row>
    <row r="84" spans="42:42">
      <c r="AP84" t="s">
        <v>502</v>
      </c>
    </row>
    <row r="85" spans="42:42">
      <c r="AP85" t="s">
        <v>182</v>
      </c>
    </row>
    <row r="86" spans="42:42">
      <c r="AP86" t="s">
        <v>503</v>
      </c>
    </row>
    <row r="87" spans="42:42">
      <c r="AP87" t="s">
        <v>504</v>
      </c>
    </row>
    <row r="88" spans="42:42">
      <c r="AP88" t="s">
        <v>505</v>
      </c>
    </row>
    <row r="89" spans="42:42">
      <c r="AP89" t="s">
        <v>506</v>
      </c>
    </row>
    <row r="90" spans="42:42">
      <c r="AP90" t="s">
        <v>507</v>
      </c>
    </row>
    <row r="91" spans="42:42">
      <c r="AP91" t="s">
        <v>508</v>
      </c>
    </row>
    <row r="92" spans="42:42">
      <c r="AP92" t="s">
        <v>509</v>
      </c>
    </row>
    <row r="93" spans="42:42">
      <c r="AP93" t="s">
        <v>510</v>
      </c>
    </row>
    <row r="94" spans="42:42">
      <c r="AP94" t="s">
        <v>511</v>
      </c>
    </row>
    <row r="95" spans="42:42">
      <c r="AP95" t="s">
        <v>512</v>
      </c>
    </row>
    <row r="96" spans="42:42">
      <c r="AP96" t="s">
        <v>513</v>
      </c>
    </row>
    <row r="97" spans="42:42">
      <c r="AP97" t="s">
        <v>514</v>
      </c>
    </row>
    <row r="98" spans="42:42">
      <c r="AP98" t="s">
        <v>515</v>
      </c>
    </row>
    <row r="99" spans="42:42">
      <c r="AP99" t="s">
        <v>516</v>
      </c>
    </row>
    <row r="100" spans="42:42">
      <c r="AP100" t="s">
        <v>517</v>
      </c>
    </row>
    <row r="101" spans="42:42">
      <c r="AP101" t="s">
        <v>518</v>
      </c>
    </row>
    <row r="102" spans="42:42">
      <c r="AP102" t="s">
        <v>519</v>
      </c>
    </row>
    <row r="103" spans="42:42">
      <c r="AP103" t="s">
        <v>520</v>
      </c>
    </row>
    <row r="104" spans="42:42">
      <c r="AP104" t="s">
        <v>521</v>
      </c>
    </row>
    <row r="105" spans="42:42">
      <c r="AP105" t="s">
        <v>522</v>
      </c>
    </row>
    <row r="106" spans="42:42">
      <c r="AP106" t="s">
        <v>523</v>
      </c>
    </row>
    <row r="107" spans="42:42">
      <c r="AP107" t="s">
        <v>524</v>
      </c>
    </row>
    <row r="108" spans="42:42">
      <c r="AP108" t="s">
        <v>525</v>
      </c>
    </row>
    <row r="109" spans="42:42">
      <c r="AP109" t="s">
        <v>526</v>
      </c>
    </row>
    <row r="110" spans="42:42">
      <c r="AP110" t="s">
        <v>527</v>
      </c>
    </row>
    <row r="111" spans="42:42">
      <c r="AP111" t="s">
        <v>528</v>
      </c>
    </row>
    <row r="112" spans="42:42">
      <c r="AP112" t="s">
        <v>529</v>
      </c>
    </row>
    <row r="113" spans="42:42">
      <c r="AP113" t="s">
        <v>530</v>
      </c>
    </row>
    <row r="114" spans="42:42">
      <c r="AP114" t="s">
        <v>531</v>
      </c>
    </row>
    <row r="115" spans="42:42">
      <c r="AP115" t="s">
        <v>532</v>
      </c>
    </row>
    <row r="116" spans="42:42">
      <c r="AP116" t="s">
        <v>533</v>
      </c>
    </row>
    <row r="117" spans="42:42">
      <c r="AP117" t="s">
        <v>534</v>
      </c>
    </row>
    <row r="118" spans="42:42">
      <c r="AP118" t="s">
        <v>99</v>
      </c>
    </row>
    <row r="119" spans="42:42">
      <c r="AP119" t="s">
        <v>535</v>
      </c>
    </row>
    <row r="120" spans="42:42">
      <c r="AP120" t="s">
        <v>536</v>
      </c>
    </row>
    <row r="121" spans="42:42">
      <c r="AP121" t="s">
        <v>537</v>
      </c>
    </row>
    <row r="122" spans="42:42">
      <c r="AP122" t="s">
        <v>538</v>
      </c>
    </row>
    <row r="123" spans="42:42">
      <c r="AP123" t="s">
        <v>166</v>
      </c>
    </row>
    <row r="124" spans="42:42">
      <c r="AP124" t="s">
        <v>539</v>
      </c>
    </row>
    <row r="125" spans="42:42">
      <c r="AP125" t="s">
        <v>540</v>
      </c>
    </row>
    <row r="126" spans="42:42">
      <c r="AP126" t="s">
        <v>541</v>
      </c>
    </row>
    <row r="127" spans="42:42">
      <c r="AP127" t="s">
        <v>542</v>
      </c>
    </row>
    <row r="128" spans="42:42">
      <c r="AP128" t="s">
        <v>543</v>
      </c>
    </row>
    <row r="129" spans="42:42">
      <c r="AP129" t="s">
        <v>150</v>
      </c>
    </row>
    <row r="130" spans="42:42">
      <c r="AP130" t="s">
        <v>544</v>
      </c>
    </row>
    <row r="131" spans="42:42">
      <c r="AP131" t="s">
        <v>545</v>
      </c>
    </row>
    <row r="132" spans="42:42">
      <c r="AP132" t="s">
        <v>546</v>
      </c>
    </row>
    <row r="133" spans="42:42">
      <c r="AP133" t="s">
        <v>547</v>
      </c>
    </row>
    <row r="134" spans="42:42">
      <c r="AP134" t="s">
        <v>548</v>
      </c>
    </row>
    <row r="135" spans="42:42">
      <c r="AP135" t="s">
        <v>549</v>
      </c>
    </row>
    <row r="136" spans="42:42">
      <c r="AP136" t="s">
        <v>550</v>
      </c>
    </row>
    <row r="137" spans="42:42">
      <c r="AP137" t="s">
        <v>551</v>
      </c>
    </row>
    <row r="138" spans="42:42">
      <c r="AP138" t="s">
        <v>552</v>
      </c>
    </row>
    <row r="139" spans="42:42">
      <c r="AP139" t="s">
        <v>553</v>
      </c>
    </row>
    <row r="140" spans="42:42">
      <c r="AP140" t="s">
        <v>120</v>
      </c>
    </row>
    <row r="141" spans="42:42">
      <c r="AP141" t="s">
        <v>554</v>
      </c>
    </row>
    <row r="142" spans="42:42">
      <c r="AP142" t="s">
        <v>121</v>
      </c>
    </row>
    <row r="143" spans="42:42">
      <c r="AP143" t="s">
        <v>555</v>
      </c>
    </row>
    <row r="144" spans="42:42">
      <c r="AP144" t="s">
        <v>556</v>
      </c>
    </row>
    <row r="145" spans="42:42">
      <c r="AP145" t="s">
        <v>557</v>
      </c>
    </row>
    <row r="146" spans="42:42">
      <c r="AP146" t="s">
        <v>558</v>
      </c>
    </row>
    <row r="147" spans="42:42">
      <c r="AP147" t="s">
        <v>559</v>
      </c>
    </row>
    <row r="148" spans="42:42">
      <c r="AP148" t="s">
        <v>560</v>
      </c>
    </row>
    <row r="149" spans="42:42">
      <c r="AP149" t="s">
        <v>561</v>
      </c>
    </row>
  </sheetData>
  <mergeCells count="16">
    <mergeCell ref="C8:F8"/>
    <mergeCell ref="F11:F19"/>
    <mergeCell ref="B1:F1"/>
    <mergeCell ref="C3:F3"/>
    <mergeCell ref="C4:F4"/>
    <mergeCell ref="C5:F5"/>
    <mergeCell ref="C6:F6"/>
    <mergeCell ref="C7:F7"/>
    <mergeCell ref="J7:M7"/>
    <mergeCell ref="J8:M8"/>
    <mergeCell ref="M11:M25"/>
    <mergeCell ref="I1:M1"/>
    <mergeCell ref="J3:M3"/>
    <mergeCell ref="J4:M4"/>
    <mergeCell ref="J5:M5"/>
    <mergeCell ref="J6:M6"/>
  </mergeCells>
  <conditionalFormatting sqref="F23">
    <cfRule type="containsText" dxfId="33" priority="3" operator="containsText" text="NO">
      <formula>NOT(ISERROR(SEARCH("NO",F23)))</formula>
    </cfRule>
    <cfRule type="containsText" dxfId="32" priority="4" operator="containsText" text="YES">
      <formula>NOT(ISERROR(SEARCH("YES",F23)))</formula>
    </cfRule>
  </conditionalFormatting>
  <conditionalFormatting sqref="M30">
    <cfRule type="containsText" dxfId="31" priority="1" operator="containsText" text="NO">
      <formula>NOT(ISERROR(SEARCH("NO",M30)))</formula>
    </cfRule>
    <cfRule type="containsText" dxfId="30" priority="2" operator="containsText" text="YES">
      <formula>NOT(ISERROR(SEARCH("YES",M30)))</formula>
    </cfRule>
  </conditionalFormatting>
  <dataValidations count="1">
    <dataValidation type="list" allowBlank="1" showInputMessage="1" showErrorMessage="1" sqref="C3:F3">
      <formula1>$AP$1:$AP$149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SUPERVISORS!$D$2:$D$15</xm:f>
          </x14:formula1>
          <xm:sqref>J3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U57"/>
  <sheetViews>
    <sheetView showGridLines="0" zoomScale="85" zoomScaleNormal="85" workbookViewId="0"/>
  </sheetViews>
  <sheetFormatPr defaultRowHeight="15"/>
  <cols>
    <col min="1" max="1" width="23" style="17" bestFit="1" customWidth="1"/>
    <col min="2" max="2" width="25.28515625" style="17" bestFit="1" customWidth="1"/>
    <col min="3" max="3" width="16.7109375" style="17" bestFit="1" customWidth="1"/>
    <col min="4" max="4" width="10.28515625" style="21" bestFit="1" customWidth="1"/>
    <col min="5" max="5" width="18" bestFit="1" customWidth="1"/>
    <col min="6" max="6" width="25.85546875" bestFit="1" customWidth="1"/>
    <col min="7" max="7" width="19.28515625" bestFit="1" customWidth="1"/>
    <col min="8" max="8" width="20.28515625" bestFit="1" customWidth="1"/>
    <col min="9" max="9" width="19.28515625" bestFit="1" customWidth="1"/>
    <col min="10" max="10" width="27" bestFit="1" customWidth="1"/>
    <col min="11" max="11" width="12.140625" hidden="1" customWidth="1"/>
    <col min="12" max="12" width="16.28515625" hidden="1" customWidth="1"/>
    <col min="13" max="13" width="21" hidden="1" customWidth="1"/>
    <col min="14" max="14" width="17.140625" hidden="1" customWidth="1"/>
    <col min="15" max="15" width="28.140625" style="64" hidden="1" customWidth="1"/>
    <col min="16" max="16" width="23" style="2" bestFit="1" customWidth="1"/>
    <col min="17" max="17" width="18.140625" bestFit="1" customWidth="1"/>
    <col min="18" max="18" width="23" style="2" bestFit="1" customWidth="1"/>
    <col min="20" max="20" width="27.140625" style="2" customWidth="1"/>
    <col min="21" max="21" width="35.140625" style="2" customWidth="1"/>
    <col min="22" max="22" width="16.7109375" bestFit="1" customWidth="1"/>
  </cols>
  <sheetData>
    <row r="1" spans="1:21">
      <c r="A1" s="78" t="s">
        <v>41</v>
      </c>
      <c r="B1" s="78" t="s">
        <v>42</v>
      </c>
      <c r="C1" s="77" t="s">
        <v>562</v>
      </c>
      <c r="E1" s="68" t="s">
        <v>563</v>
      </c>
      <c r="F1" s="68" t="s">
        <v>564</v>
      </c>
      <c r="G1" s="68" t="s">
        <v>565</v>
      </c>
      <c r="H1" s="68" t="s">
        <v>566</v>
      </c>
      <c r="I1" s="68" t="s">
        <v>567</v>
      </c>
      <c r="J1" s="68" t="s">
        <v>78</v>
      </c>
      <c r="K1" s="68" t="s">
        <v>568</v>
      </c>
      <c r="L1" s="68" t="s">
        <v>569</v>
      </c>
      <c r="M1" s="68" t="s">
        <v>570</v>
      </c>
      <c r="N1" s="68" t="s">
        <v>571</v>
      </c>
      <c r="O1" s="69" t="s">
        <v>572</v>
      </c>
      <c r="P1" s="79" t="s">
        <v>44</v>
      </c>
      <c r="Q1" s="79" t="s">
        <v>573</v>
      </c>
      <c r="R1" s="2" t="s">
        <v>43</v>
      </c>
      <c r="T1" s="744" t="s">
        <v>412</v>
      </c>
      <c r="U1" s="745"/>
    </row>
    <row r="2" spans="1:21">
      <c r="A2" s="49">
        <v>10070715</v>
      </c>
      <c r="B2" s="49" t="s">
        <v>152</v>
      </c>
      <c r="C2" s="76">
        <f>IF(SUMIFS($Q:$Q,$P:$P,$B2)=0,100%,IF(SUMIFS($Q:$Q,$P:$P,$B2)=1,50%,0%))</f>
        <v>1</v>
      </c>
      <c r="E2" s="294">
        <v>10071691</v>
      </c>
      <c r="F2" s="294" t="s">
        <v>574</v>
      </c>
      <c r="G2" s="294" t="s">
        <v>575</v>
      </c>
      <c r="H2" s="294" t="s">
        <v>576</v>
      </c>
      <c r="I2" s="295"/>
      <c r="J2" s="295"/>
      <c r="K2" s="66"/>
      <c r="L2" s="65"/>
      <c r="M2" s="65"/>
      <c r="N2" s="65"/>
      <c r="O2" s="67"/>
      <c r="P2" s="20" t="str">
        <f>G2</f>
        <v>Katherine Arpon</v>
      </c>
      <c r="Q2" s="20">
        <f>IF(N2="DF Optimization","-",1)</f>
        <v>1</v>
      </c>
      <c r="T2" s="80" t="s">
        <v>287</v>
      </c>
      <c r="U2" s="80" t="s">
        <v>288</v>
      </c>
    </row>
    <row r="3" spans="1:21">
      <c r="A3" s="49">
        <v>10072502</v>
      </c>
      <c r="B3" s="49" t="s">
        <v>137</v>
      </c>
      <c r="C3" s="76">
        <f t="shared" ref="C3:C13" si="0">IF(SUMIFS($Q:$Q,$P:$P,$B3)=0,100%,IF(SUMIFS($Q:$Q,$P:$P,$B3)=1,50%,0%))</f>
        <v>1</v>
      </c>
      <c r="E3" s="294">
        <v>10072512</v>
      </c>
      <c r="F3" s="294" t="s">
        <v>577</v>
      </c>
      <c r="G3" s="294" t="s">
        <v>578</v>
      </c>
      <c r="H3" s="294" t="s">
        <v>576</v>
      </c>
      <c r="I3" s="295"/>
      <c r="J3" s="295">
        <v>43818</v>
      </c>
      <c r="K3" s="66"/>
      <c r="L3" s="65"/>
      <c r="M3" s="65"/>
      <c r="N3" s="65"/>
      <c r="O3" s="67"/>
      <c r="P3" s="20" t="str">
        <f>G3</f>
        <v>Renell Barrios</v>
      </c>
      <c r="Q3" s="20">
        <f>IF(N3="DF Optimization","-",1)</f>
        <v>1</v>
      </c>
      <c r="T3" s="82">
        <v>0</v>
      </c>
      <c r="U3" s="81">
        <v>1</v>
      </c>
    </row>
    <row r="4" spans="1:21">
      <c r="A4" s="49">
        <v>10070655</v>
      </c>
      <c r="B4" s="49" t="s">
        <v>84</v>
      </c>
      <c r="C4" s="76">
        <f t="shared" si="0"/>
        <v>1</v>
      </c>
      <c r="E4" s="294"/>
      <c r="F4" s="294"/>
      <c r="G4" s="294"/>
      <c r="H4" s="294"/>
      <c r="I4" s="295"/>
      <c r="J4" s="295"/>
      <c r="K4" s="66"/>
      <c r="L4" s="65"/>
      <c r="M4" s="65"/>
      <c r="N4" s="65"/>
      <c r="O4" s="67"/>
      <c r="P4" s="20"/>
      <c r="Q4" s="20"/>
      <c r="T4" s="82">
        <v>1</v>
      </c>
      <c r="U4" s="81">
        <v>0.5</v>
      </c>
    </row>
    <row r="5" spans="1:21">
      <c r="A5" s="49">
        <v>10070702</v>
      </c>
      <c r="B5" s="49" t="s">
        <v>264</v>
      </c>
      <c r="C5" s="76">
        <f t="shared" si="0"/>
        <v>1</v>
      </c>
      <c r="E5" s="294"/>
      <c r="F5" s="294"/>
      <c r="G5" s="294"/>
      <c r="H5" s="294"/>
      <c r="I5" s="295"/>
      <c r="J5" s="295"/>
      <c r="K5" s="66"/>
      <c r="L5" s="65"/>
      <c r="M5" s="65"/>
      <c r="N5" s="65"/>
      <c r="O5" s="67"/>
      <c r="P5" s="20"/>
      <c r="Q5" s="20"/>
      <c r="T5" s="82" t="s">
        <v>413</v>
      </c>
      <c r="U5" s="81">
        <v>0</v>
      </c>
    </row>
    <row r="6" spans="1:21">
      <c r="A6" s="49">
        <v>10071256</v>
      </c>
      <c r="B6" s="49" t="s">
        <v>227</v>
      </c>
      <c r="C6" s="76">
        <f t="shared" si="0"/>
        <v>1</v>
      </c>
      <c r="E6" s="294"/>
      <c r="F6" s="294"/>
      <c r="G6" s="294"/>
      <c r="H6" s="294"/>
      <c r="I6" s="295"/>
      <c r="J6" s="295"/>
      <c r="K6" s="66"/>
      <c r="L6" s="65"/>
      <c r="M6" s="65"/>
      <c r="N6" s="65"/>
      <c r="O6" s="67"/>
      <c r="P6" s="20"/>
      <c r="Q6" s="20"/>
    </row>
    <row r="7" spans="1:21">
      <c r="A7" s="49">
        <v>10070828</v>
      </c>
      <c r="B7" s="49" t="s">
        <v>105</v>
      </c>
      <c r="C7" s="76">
        <f t="shared" si="0"/>
        <v>1</v>
      </c>
      <c r="E7" s="294"/>
      <c r="F7" s="294"/>
      <c r="G7" s="294"/>
      <c r="H7" s="294"/>
      <c r="I7" s="295"/>
      <c r="J7" s="295"/>
      <c r="K7" s="66"/>
      <c r="L7" s="65"/>
      <c r="M7" s="65"/>
      <c r="N7" s="65"/>
      <c r="O7" s="67"/>
      <c r="P7" s="20"/>
      <c r="Q7" s="20"/>
    </row>
    <row r="8" spans="1:21">
      <c r="A8" s="49">
        <v>10071245</v>
      </c>
      <c r="B8" s="49" t="s">
        <v>124</v>
      </c>
      <c r="C8" s="76">
        <f t="shared" si="0"/>
        <v>1</v>
      </c>
      <c r="E8" s="294"/>
      <c r="F8" s="294"/>
      <c r="G8" s="294"/>
      <c r="H8" s="294"/>
      <c r="I8" s="295"/>
      <c r="J8" s="295"/>
      <c r="K8" s="66"/>
      <c r="L8" s="65"/>
      <c r="M8" s="65"/>
      <c r="N8" s="65"/>
      <c r="O8" s="67"/>
      <c r="P8" s="20"/>
      <c r="Q8" s="20"/>
    </row>
    <row r="9" spans="1:21">
      <c r="A9" s="49">
        <v>10072072</v>
      </c>
      <c r="B9" s="49" t="s">
        <v>169</v>
      </c>
      <c r="C9" s="76">
        <f t="shared" si="0"/>
        <v>1</v>
      </c>
      <c r="E9" s="294"/>
      <c r="F9" s="294"/>
      <c r="G9" s="294"/>
      <c r="H9" s="294"/>
      <c r="I9" s="295"/>
      <c r="J9" s="295"/>
      <c r="K9" s="66"/>
      <c r="L9" s="65"/>
      <c r="M9" s="65"/>
      <c r="N9" s="65"/>
      <c r="O9" s="67"/>
      <c r="P9" s="20"/>
      <c r="Q9" s="20"/>
    </row>
    <row r="10" spans="1:21">
      <c r="A10" s="49">
        <v>10071099</v>
      </c>
      <c r="B10" s="49" t="s">
        <v>214</v>
      </c>
      <c r="C10" s="76">
        <f t="shared" si="0"/>
        <v>1</v>
      </c>
      <c r="E10" s="294"/>
      <c r="F10" s="294"/>
      <c r="G10" s="294"/>
      <c r="H10" s="294"/>
      <c r="I10" s="295"/>
      <c r="J10" s="295"/>
      <c r="K10" s="66"/>
      <c r="L10" s="65"/>
      <c r="M10" s="65"/>
      <c r="N10" s="65"/>
      <c r="O10" s="67"/>
      <c r="P10" s="20"/>
      <c r="Q10" s="20"/>
    </row>
    <row r="11" spans="1:21">
      <c r="A11" s="49">
        <v>10071309</v>
      </c>
      <c r="B11" s="49" t="s">
        <v>200</v>
      </c>
      <c r="C11" s="76">
        <f t="shared" si="0"/>
        <v>1</v>
      </c>
      <c r="E11" s="294"/>
      <c r="F11" s="294"/>
      <c r="G11" s="294"/>
      <c r="H11" s="294"/>
      <c r="I11" s="295"/>
      <c r="J11" s="295"/>
      <c r="K11" s="66"/>
      <c r="L11" s="65"/>
      <c r="M11" s="65"/>
      <c r="N11" s="65"/>
      <c r="O11" s="67"/>
      <c r="P11" s="20"/>
      <c r="Q11" s="20"/>
      <c r="T11"/>
      <c r="U11"/>
    </row>
    <row r="12" spans="1:21">
      <c r="A12" s="49">
        <v>10072501</v>
      </c>
      <c r="B12" s="49" t="s">
        <v>186</v>
      </c>
      <c r="C12" s="76">
        <f t="shared" si="0"/>
        <v>1</v>
      </c>
      <c r="E12" s="294"/>
      <c r="F12" s="294"/>
      <c r="G12" s="294"/>
      <c r="H12" s="294"/>
      <c r="I12" s="295"/>
      <c r="J12" s="295"/>
      <c r="K12" s="66"/>
      <c r="L12" s="65"/>
      <c r="M12" s="65"/>
      <c r="N12" s="65"/>
      <c r="O12" s="67"/>
      <c r="P12" s="20"/>
      <c r="Q12" s="20"/>
      <c r="T12"/>
      <c r="U12"/>
    </row>
    <row r="13" spans="1:21">
      <c r="A13" s="49">
        <v>10071492</v>
      </c>
      <c r="B13" s="49" t="s">
        <v>241</v>
      </c>
      <c r="C13" s="76">
        <f t="shared" si="0"/>
        <v>1</v>
      </c>
      <c r="E13" s="294"/>
      <c r="F13" s="294"/>
      <c r="G13" s="294"/>
      <c r="H13" s="294"/>
      <c r="I13" s="295"/>
      <c r="J13" s="295"/>
      <c r="K13" s="66"/>
      <c r="L13" s="65"/>
      <c r="M13" s="65"/>
      <c r="N13" s="65"/>
      <c r="O13" s="67"/>
      <c r="P13" s="20"/>
      <c r="Q13" s="20"/>
      <c r="T13"/>
      <c r="U13"/>
    </row>
    <row r="14" spans="1:21">
      <c r="T14"/>
      <c r="U14"/>
    </row>
    <row r="15" spans="1:21">
      <c r="P15"/>
      <c r="T15"/>
      <c r="U15"/>
    </row>
    <row r="16" spans="1:21">
      <c r="A16" s="49"/>
      <c r="B16" s="49"/>
      <c r="C16" s="76"/>
      <c r="T16"/>
      <c r="U16"/>
    </row>
    <row r="17" spans="1:21">
      <c r="A17" s="49"/>
      <c r="B17" s="49"/>
      <c r="C17" s="76"/>
      <c r="T17"/>
      <c r="U17"/>
    </row>
    <row r="18" spans="1:21">
      <c r="A18" s="177"/>
      <c r="B18" s="177"/>
      <c r="C18" s="178"/>
      <c r="T18"/>
      <c r="U18"/>
    </row>
    <row r="19" spans="1:21">
      <c r="T19"/>
      <c r="U19"/>
    </row>
    <row r="20" spans="1:21">
      <c r="T20"/>
      <c r="U20"/>
    </row>
    <row r="21" spans="1:21">
      <c r="T21"/>
      <c r="U21"/>
    </row>
    <row r="22" spans="1:21">
      <c r="T22"/>
      <c r="U22"/>
    </row>
    <row r="23" spans="1:21">
      <c r="T23"/>
      <c r="U23"/>
    </row>
    <row r="26" spans="1:21" ht="48.75" customHeight="1">
      <c r="E26" s="617" t="s">
        <v>579</v>
      </c>
      <c r="F26" s="617" t="s">
        <v>580</v>
      </c>
      <c r="G26" s="617" t="s">
        <v>581</v>
      </c>
      <c r="H26" s="617" t="s">
        <v>582</v>
      </c>
      <c r="I26" s="617" t="s">
        <v>583</v>
      </c>
      <c r="J26" s="617" t="s">
        <v>584</v>
      </c>
      <c r="P26" s="618" t="s">
        <v>585</v>
      </c>
      <c r="Q26" s="619"/>
      <c r="T26" s="747" t="s">
        <v>586</v>
      </c>
      <c r="U26" s="747"/>
    </row>
    <row r="27" spans="1:21">
      <c r="D27" s="622">
        <v>10072003</v>
      </c>
      <c r="E27" s="609" t="s">
        <v>587</v>
      </c>
      <c r="F27" s="610">
        <v>56</v>
      </c>
      <c r="G27" s="611">
        <v>56</v>
      </c>
      <c r="H27" s="611">
        <f>AVERAGE(F27:G27)</f>
        <v>56</v>
      </c>
      <c r="I27" s="611">
        <f>F27-G27</f>
        <v>0</v>
      </c>
      <c r="J27" s="612">
        <f>Q27</f>
        <v>0</v>
      </c>
      <c r="P27" s="620">
        <f>IF(ISBLANK(J27),"-",IF(J27&gt;=4.01%,0%,IF(J27&gt;=3.01%,25%,IF(J27&gt;=2.01%,75%,IF(J27&gt;=0,100%,"-")))))</f>
        <v>1</v>
      </c>
      <c r="Q27" s="621">
        <f>IFERROR(I27/H27,"-")</f>
        <v>0</v>
      </c>
      <c r="R27" s="16"/>
      <c r="T27" s="746" t="s">
        <v>412</v>
      </c>
      <c r="U27" s="746"/>
    </row>
    <row r="28" spans="1:21">
      <c r="D28" s="622">
        <v>10071937</v>
      </c>
      <c r="E28" s="609" t="s">
        <v>106</v>
      </c>
      <c r="F28" s="610">
        <v>58</v>
      </c>
      <c r="G28" s="611">
        <v>56</v>
      </c>
      <c r="H28" s="611">
        <f>AVERAGE(F28:G28)</f>
        <v>57</v>
      </c>
      <c r="I28" s="611">
        <f>F28-G28</f>
        <v>2</v>
      </c>
      <c r="J28" s="612">
        <f>Q28</f>
        <v>3.5087719298245612E-2</v>
      </c>
      <c r="P28" s="620">
        <f>IF(ISBLANK(J28),"-",IF(J28&gt;=4.01%,0%,IF(J28&gt;=3.01%,25%,IF(J28&gt;=2.01%,75%,IF(J28&gt;=0,100%,"-")))))</f>
        <v>0.25</v>
      </c>
      <c r="Q28" s="621">
        <f>IFERROR(I28/H28,"-")</f>
        <v>3.5087719298245612E-2</v>
      </c>
      <c r="R28" s="16"/>
      <c r="T28" s="80" t="s">
        <v>287</v>
      </c>
      <c r="U28" s="80" t="s">
        <v>288</v>
      </c>
    </row>
    <row r="29" spans="1:21">
      <c r="D29" s="622">
        <v>7010609</v>
      </c>
      <c r="E29" s="609" t="s">
        <v>170</v>
      </c>
      <c r="F29" s="610">
        <v>54</v>
      </c>
      <c r="G29" s="611">
        <v>54</v>
      </c>
      <c r="H29" s="611">
        <f>AVERAGE(F29:G29)</f>
        <v>54</v>
      </c>
      <c r="I29" s="611">
        <f>F29-G29</f>
        <v>0</v>
      </c>
      <c r="J29" s="612">
        <f>Q29</f>
        <v>0</v>
      </c>
      <c r="P29" s="620">
        <f>IF(ISBLANK(J29),"-",IF(J29&gt;=4.01%,0%,IF(J29&gt;=3.01%,25%,IF(J29&gt;=2.01%,75%,IF(J29&gt;=0,100%,"-")))))</f>
        <v>1</v>
      </c>
      <c r="Q29" s="621">
        <f>IFERROR(I29/H29,"-")</f>
        <v>0</v>
      </c>
      <c r="R29" s="16"/>
      <c r="T29" s="81" t="s">
        <v>588</v>
      </c>
      <c r="U29" s="81">
        <v>1</v>
      </c>
    </row>
    <row r="30" spans="1:21">
      <c r="D30" s="622"/>
      <c r="E30" s="609" t="s">
        <v>263</v>
      </c>
      <c r="F30" s="613"/>
      <c r="G30" s="613"/>
      <c r="H30" s="613"/>
      <c r="I30" s="611"/>
      <c r="J30" s="614"/>
      <c r="P30" s="620" t="str">
        <f>IF(ISBLANK(J30),"-",IF(J30&gt;=4.01%,0%,IF(J30&gt;=3.01%,25%,IF(J30&gt;=2.01%,75%,IF(J30&gt;=0,100%,"-")))))</f>
        <v>-</v>
      </c>
      <c r="Q30" s="621" t="str">
        <f>IFERROR(I30/H30,"-")</f>
        <v>-</v>
      </c>
      <c r="R30" s="16"/>
      <c r="T30" s="81" t="s">
        <v>589</v>
      </c>
      <c r="U30" s="81">
        <v>0.75</v>
      </c>
    </row>
    <row r="31" spans="1:21">
      <c r="D31" s="622" t="s">
        <v>274</v>
      </c>
      <c r="E31" s="615" t="s">
        <v>590</v>
      </c>
      <c r="F31" s="616">
        <f>SUM(F27:F30)</f>
        <v>168</v>
      </c>
      <c r="G31" s="616">
        <f>SUM(G27:G30)</f>
        <v>166</v>
      </c>
      <c r="H31" s="616">
        <f>AVERAGE(F31:G31)</f>
        <v>167</v>
      </c>
      <c r="I31" s="616">
        <f>SUM(I27:I30)</f>
        <v>2</v>
      </c>
      <c r="J31" s="612">
        <f>Q31</f>
        <v>1.1976047904191617E-2</v>
      </c>
      <c r="P31" s="620">
        <f>IF(ISBLANK(J31),"-",IF(J31&gt;=4.01%,0%,IF(J31&gt;=3.01%,25%,IF(J31&gt;=2.01%,75%,IF(J31&gt;=0,100%,"-")))))</f>
        <v>1</v>
      </c>
      <c r="Q31" s="621">
        <f>IFERROR(I31/H31,"-")</f>
        <v>1.1976047904191617E-2</v>
      </c>
      <c r="R31" s="16"/>
      <c r="T31" s="81" t="s">
        <v>591</v>
      </c>
      <c r="U31" s="81">
        <v>0.25</v>
      </c>
    </row>
    <row r="32" spans="1:21">
      <c r="T32" s="81" t="s">
        <v>592</v>
      </c>
      <c r="U32" s="81">
        <v>0</v>
      </c>
    </row>
    <row r="57" spans="16:16">
      <c r="P57" s="20" t="str">
        <f>IFERROR(VLOOKUP($E57,RESOURCES!$C:$F,MATCH('ATTRITION RAW'!P$1,RESOURCES!$C$3:$F$3,0),FALSE),"-")</f>
        <v>-</v>
      </c>
    </row>
  </sheetData>
  <mergeCells count="3">
    <mergeCell ref="T1:U1"/>
    <mergeCell ref="T27:U27"/>
    <mergeCell ref="T26:U26"/>
  </mergeCells>
  <conditionalFormatting sqref="I27:I29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H31" formula="1"/>
  </ignoredError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</sheetPr>
  <dimension ref="A1:X27"/>
  <sheetViews>
    <sheetView showGridLines="0" zoomScale="85" zoomScaleNormal="85" workbookViewId="0"/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6" style="2" bestFit="1" customWidth="1"/>
    <col min="7" max="7" width="38.5703125" style="16" bestFit="1" customWidth="1"/>
    <col min="8" max="8" width="40.28515625" style="186" bestFit="1" customWidth="1"/>
    <col min="9" max="9" width="15.7109375" style="10" bestFit="1" customWidth="1"/>
    <col min="10" max="10" width="11.5703125" style="10" bestFit="1" customWidth="1"/>
    <col min="11" max="11" width="12.5703125" style="2" bestFit="1" customWidth="1"/>
    <col min="12" max="12" width="25.28515625" style="2" bestFit="1" customWidth="1"/>
    <col min="13" max="17" width="9.140625" style="16"/>
    <col min="18" max="18" width="14.28515625" style="16" bestFit="1" customWidth="1"/>
    <col min="19" max="19" width="31.140625" style="16" bestFit="1" customWidth="1"/>
    <col min="20" max="20" width="9.140625" style="2"/>
    <col min="21" max="21" width="11.28515625" style="2" bestFit="1" customWidth="1"/>
    <col min="22" max="22" width="9.140625" style="2"/>
    <col min="23" max="23" width="13.7109375" style="2" bestFit="1" customWidth="1"/>
    <col min="24" max="24" width="22" style="2" bestFit="1" customWidth="1"/>
    <col min="25" max="16384" width="9.140625" style="2"/>
  </cols>
  <sheetData>
    <row r="1" spans="1:24">
      <c r="A1" s="52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595</v>
      </c>
      <c r="H1" s="530" t="s">
        <v>596</v>
      </c>
      <c r="I1" s="531" t="s">
        <v>597</v>
      </c>
      <c r="J1" s="531" t="s">
        <v>598</v>
      </c>
      <c r="K1" s="526" t="s">
        <v>41</v>
      </c>
      <c r="L1" s="271" t="s">
        <v>599</v>
      </c>
      <c r="M1" s="271">
        <v>1</v>
      </c>
      <c r="N1" s="271">
        <v>2</v>
      </c>
      <c r="O1" s="271">
        <v>3</v>
      </c>
      <c r="P1" s="271">
        <v>4</v>
      </c>
      <c r="Q1" s="271">
        <v>5</v>
      </c>
      <c r="R1" s="272" t="s">
        <v>600</v>
      </c>
      <c r="S1" s="272" t="s">
        <v>601</v>
      </c>
      <c r="W1" s="748" t="s">
        <v>602</v>
      </c>
      <c r="X1" s="749"/>
    </row>
    <row r="2" spans="1:24">
      <c r="A2" s="664" t="s">
        <v>85</v>
      </c>
      <c r="B2" s="664" t="s">
        <v>85</v>
      </c>
      <c r="C2" s="664"/>
      <c r="D2" s="664" t="s">
        <v>152</v>
      </c>
      <c r="E2" s="664">
        <v>10070715</v>
      </c>
      <c r="F2" s="664">
        <v>1</v>
      </c>
      <c r="G2" s="532">
        <f t="shared" ref="G2:G11" si="0">IFERROR(I2/J2,"-")</f>
        <v>0.82608695652173914</v>
      </c>
      <c r="H2" s="533"/>
      <c r="I2" s="534">
        <v>19</v>
      </c>
      <c r="J2" s="534">
        <v>23</v>
      </c>
      <c r="K2" s="527">
        <v>10070715</v>
      </c>
      <c r="L2" s="664" t="s">
        <v>152</v>
      </c>
      <c r="M2" s="31">
        <f>IFERROR(SUMIFS($I:$I,$E:$E,$K2,$F:$F,M$1)/SUMIFS($J:$J,$E:$E,$K2,$F:$F,M$1),"-")</f>
        <v>0.82608695652173914</v>
      </c>
      <c r="N2" s="31">
        <f t="shared" ref="N2:Q12" si="1">IFERROR(SUMIFS($I:$I,$E:$E,$K2,$F:$F,N$1)/SUMIFS($J:$J,$E:$E,$K2,$F:$F,N$1),"-")</f>
        <v>0.78260869565217395</v>
      </c>
      <c r="O2" s="31" t="str">
        <f t="shared" si="1"/>
        <v>-</v>
      </c>
      <c r="P2" s="31" t="str">
        <f t="shared" si="1"/>
        <v>-</v>
      </c>
      <c r="Q2" s="31" t="str">
        <f t="shared" si="1"/>
        <v>-</v>
      </c>
      <c r="R2" s="521">
        <f>IF(S2="-","-",IF(S2&gt;=80%,100%,IF(S2&gt;=70%,80%,IF(S2&gt;=60%,60%,0%))))</f>
        <v>1</v>
      </c>
      <c r="S2" s="521">
        <f>IFERROR(SUMIFS($I:$I,$E:$E,$K2)/SUMIFS($J:$J,$E:$E,$K2),"-")</f>
        <v>0.80434782608695654</v>
      </c>
      <c r="U2"/>
      <c r="V2"/>
      <c r="W2" s="25" t="s">
        <v>287</v>
      </c>
      <c r="X2" s="25" t="s">
        <v>288</v>
      </c>
    </row>
    <row r="3" spans="1:24">
      <c r="A3" s="664" t="s">
        <v>85</v>
      </c>
      <c r="B3" s="664" t="s">
        <v>85</v>
      </c>
      <c r="C3" s="664"/>
      <c r="D3" s="664" t="s">
        <v>137</v>
      </c>
      <c r="E3" s="664">
        <v>10072502</v>
      </c>
      <c r="F3" s="664">
        <v>1</v>
      </c>
      <c r="G3" s="532">
        <f t="shared" si="0"/>
        <v>0.86956521739130432</v>
      </c>
      <c r="H3" s="533"/>
      <c r="I3" s="534">
        <v>20</v>
      </c>
      <c r="J3" s="534">
        <v>23</v>
      </c>
      <c r="K3" s="527">
        <v>10072502</v>
      </c>
      <c r="L3" s="664" t="s">
        <v>137</v>
      </c>
      <c r="M3" s="31">
        <f t="shared" ref="M3:M12" si="2">IFERROR(SUMIFS($I:$I,$E:$E,$K3,$F:$F,M$1)/SUMIFS($J:$J,$E:$E,$K3,$F:$F,M$1),"-")</f>
        <v>0.86956521739130432</v>
      </c>
      <c r="N3" s="31">
        <f t="shared" si="1"/>
        <v>0.78260869565217395</v>
      </c>
      <c r="O3" s="31" t="str">
        <f t="shared" si="1"/>
        <v>-</v>
      </c>
      <c r="P3" s="31" t="str">
        <f t="shared" si="1"/>
        <v>-</v>
      </c>
      <c r="Q3" s="31" t="str">
        <f t="shared" si="1"/>
        <v>-</v>
      </c>
      <c r="R3" s="521">
        <f t="shared" ref="R3:R12" si="3">IF(S3="-","-",IF(S3&gt;=80%,100%,IF(S3&gt;=70%,80%,IF(S3&gt;=60%,60%,0%))))</f>
        <v>1</v>
      </c>
      <c r="S3" s="521">
        <f t="shared" ref="S3:S13" si="4">IFERROR(SUMIFS($I:$I,$E:$E,$K3)/SUMIFS($J:$J,$E:$E,$K3),"-")</f>
        <v>0.82608695652173914</v>
      </c>
      <c r="U3"/>
      <c r="V3"/>
      <c r="W3" s="24" t="s">
        <v>603</v>
      </c>
      <c r="X3" s="668">
        <v>1</v>
      </c>
    </row>
    <row r="4" spans="1:24">
      <c r="A4" s="664" t="s">
        <v>85</v>
      </c>
      <c r="B4" s="664" t="s">
        <v>85</v>
      </c>
      <c r="C4" s="664"/>
      <c r="D4" s="664" t="s">
        <v>84</v>
      </c>
      <c r="E4" s="664">
        <v>10070655</v>
      </c>
      <c r="F4" s="664">
        <v>1</v>
      </c>
      <c r="G4" s="532">
        <f t="shared" si="0"/>
        <v>0.82608695652173914</v>
      </c>
      <c r="H4" s="533"/>
      <c r="I4" s="534">
        <v>19</v>
      </c>
      <c r="J4" s="534">
        <v>23</v>
      </c>
      <c r="K4" s="527">
        <v>10070655</v>
      </c>
      <c r="L4" s="664" t="s">
        <v>84</v>
      </c>
      <c r="M4" s="31">
        <f t="shared" si="2"/>
        <v>0.82608695652173914</v>
      </c>
      <c r="N4" s="31">
        <f t="shared" si="1"/>
        <v>0.82608695652173914</v>
      </c>
      <c r="O4" s="31" t="str">
        <f t="shared" si="1"/>
        <v>-</v>
      </c>
      <c r="P4" s="31" t="str">
        <f t="shared" si="1"/>
        <v>-</v>
      </c>
      <c r="Q4" s="31" t="str">
        <f t="shared" si="1"/>
        <v>-</v>
      </c>
      <c r="R4" s="521">
        <f t="shared" si="3"/>
        <v>1</v>
      </c>
      <c r="S4" s="521">
        <f t="shared" si="4"/>
        <v>0.82608695652173914</v>
      </c>
      <c r="U4"/>
      <c r="V4"/>
      <c r="W4" s="24" t="s">
        <v>604</v>
      </c>
      <c r="X4" s="668">
        <v>0.8</v>
      </c>
    </row>
    <row r="5" spans="1:24">
      <c r="A5" s="664" t="s">
        <v>170</v>
      </c>
      <c r="B5" s="664" t="s">
        <v>170</v>
      </c>
      <c r="C5" s="664"/>
      <c r="D5" s="664" t="s">
        <v>214</v>
      </c>
      <c r="E5" s="664">
        <v>10071099</v>
      </c>
      <c r="F5" s="664">
        <v>1</v>
      </c>
      <c r="G5" s="532">
        <f t="shared" si="0"/>
        <v>0.56521739130434778</v>
      </c>
      <c r="H5" s="533"/>
      <c r="I5" s="534">
        <v>13</v>
      </c>
      <c r="J5" s="534">
        <v>23</v>
      </c>
      <c r="K5" s="527">
        <v>10070702</v>
      </c>
      <c r="L5" s="664" t="s">
        <v>264</v>
      </c>
      <c r="M5" s="31" t="str">
        <f t="shared" si="2"/>
        <v>-</v>
      </c>
      <c r="N5" s="31" t="str">
        <f t="shared" si="1"/>
        <v>-</v>
      </c>
      <c r="O5" s="31" t="str">
        <f t="shared" si="1"/>
        <v>-</v>
      </c>
      <c r="P5" s="31" t="str">
        <f t="shared" si="1"/>
        <v>-</v>
      </c>
      <c r="Q5" s="31" t="str">
        <f t="shared" si="1"/>
        <v>-</v>
      </c>
      <c r="R5" s="521" t="str">
        <f t="shared" si="3"/>
        <v>-</v>
      </c>
      <c r="S5" s="521" t="str">
        <f t="shared" si="4"/>
        <v>-</v>
      </c>
      <c r="U5"/>
      <c r="V5"/>
      <c r="W5" s="24" t="s">
        <v>605</v>
      </c>
      <c r="X5" s="668">
        <v>0.6</v>
      </c>
    </row>
    <row r="6" spans="1:24">
      <c r="A6" s="664" t="s">
        <v>170</v>
      </c>
      <c r="B6" s="664" t="s">
        <v>170</v>
      </c>
      <c r="C6" s="664"/>
      <c r="D6" s="664" t="s">
        <v>200</v>
      </c>
      <c r="E6" s="664">
        <v>10071309</v>
      </c>
      <c r="F6" s="664">
        <v>1</v>
      </c>
      <c r="G6" s="532" t="str">
        <f t="shared" si="0"/>
        <v>-</v>
      </c>
      <c r="H6" s="533"/>
      <c r="I6" s="534" t="s">
        <v>606</v>
      </c>
      <c r="J6" s="534" t="s">
        <v>606</v>
      </c>
      <c r="K6" s="527">
        <v>10072072</v>
      </c>
      <c r="L6" s="664" t="s">
        <v>169</v>
      </c>
      <c r="M6" s="31">
        <f t="shared" si="2"/>
        <v>0.95652173913043481</v>
      </c>
      <c r="N6" s="31">
        <f t="shared" si="1"/>
        <v>0.78260869565217395</v>
      </c>
      <c r="O6" s="31" t="str">
        <f t="shared" si="1"/>
        <v>-</v>
      </c>
      <c r="P6" s="31" t="str">
        <f t="shared" si="1"/>
        <v>-</v>
      </c>
      <c r="Q6" s="31" t="str">
        <f t="shared" si="1"/>
        <v>-</v>
      </c>
      <c r="R6" s="521">
        <f t="shared" si="3"/>
        <v>1</v>
      </c>
      <c r="S6" s="521">
        <f t="shared" si="4"/>
        <v>0.86956521739130432</v>
      </c>
      <c r="U6"/>
      <c r="V6"/>
      <c r="W6" s="24" t="s">
        <v>607</v>
      </c>
      <c r="X6" s="668">
        <v>0</v>
      </c>
    </row>
    <row r="7" spans="1:24">
      <c r="A7" s="664" t="s">
        <v>170</v>
      </c>
      <c r="B7" s="664" t="s">
        <v>170</v>
      </c>
      <c r="C7" s="664"/>
      <c r="D7" s="664" t="s">
        <v>186</v>
      </c>
      <c r="E7" s="664">
        <v>10072501</v>
      </c>
      <c r="F7" s="664">
        <v>1</v>
      </c>
      <c r="G7" s="532">
        <f t="shared" si="0"/>
        <v>0.86956521739130432</v>
      </c>
      <c r="H7" s="533"/>
      <c r="I7" s="534">
        <v>20</v>
      </c>
      <c r="J7" s="534">
        <v>23</v>
      </c>
      <c r="K7" s="527">
        <v>10071099</v>
      </c>
      <c r="L7" s="664" t="s">
        <v>214</v>
      </c>
      <c r="M7" s="31">
        <f t="shared" si="2"/>
        <v>0.56521739130434778</v>
      </c>
      <c r="N7" s="31">
        <f t="shared" si="1"/>
        <v>0.82608695652173914</v>
      </c>
      <c r="O7" s="31" t="str">
        <f t="shared" si="1"/>
        <v>-</v>
      </c>
      <c r="P7" s="31" t="str">
        <f t="shared" si="1"/>
        <v>-</v>
      </c>
      <c r="Q7" s="31" t="str">
        <f t="shared" si="1"/>
        <v>-</v>
      </c>
      <c r="R7" s="521">
        <f t="shared" si="3"/>
        <v>0.6</v>
      </c>
      <c r="S7" s="521">
        <f t="shared" si="4"/>
        <v>0.69565217391304346</v>
      </c>
      <c r="U7"/>
      <c r="V7"/>
    </row>
    <row r="8" spans="1:24">
      <c r="A8" s="664" t="s">
        <v>170</v>
      </c>
      <c r="B8" s="664" t="s">
        <v>170</v>
      </c>
      <c r="C8" s="664"/>
      <c r="D8" s="664" t="s">
        <v>169</v>
      </c>
      <c r="E8" s="664">
        <v>10072072</v>
      </c>
      <c r="F8" s="664">
        <v>1</v>
      </c>
      <c r="G8" s="532">
        <f t="shared" si="0"/>
        <v>0.95652173913043481</v>
      </c>
      <c r="H8" s="533"/>
      <c r="I8" s="534">
        <v>22</v>
      </c>
      <c r="J8" s="534">
        <v>23</v>
      </c>
      <c r="K8" s="527">
        <v>10071309</v>
      </c>
      <c r="L8" s="664" t="s">
        <v>200</v>
      </c>
      <c r="M8" s="31" t="str">
        <f t="shared" si="2"/>
        <v>-</v>
      </c>
      <c r="N8" s="31">
        <f t="shared" si="1"/>
        <v>0.82608695652173914</v>
      </c>
      <c r="O8" s="31" t="str">
        <f t="shared" si="1"/>
        <v>-</v>
      </c>
      <c r="P8" s="31" t="str">
        <f t="shared" si="1"/>
        <v>-</v>
      </c>
      <c r="Q8" s="31" t="str">
        <f t="shared" si="1"/>
        <v>-</v>
      </c>
      <c r="R8" s="521">
        <f t="shared" si="3"/>
        <v>1</v>
      </c>
      <c r="S8" s="521">
        <f t="shared" si="4"/>
        <v>0.82608695652173914</v>
      </c>
      <c r="U8"/>
      <c r="V8"/>
    </row>
    <row r="9" spans="1:24">
      <c r="A9" s="664" t="s">
        <v>85</v>
      </c>
      <c r="B9" s="664" t="s">
        <v>85</v>
      </c>
      <c r="C9" s="664"/>
      <c r="D9" s="664" t="s">
        <v>152</v>
      </c>
      <c r="E9" s="664">
        <v>10070715</v>
      </c>
      <c r="F9" s="664">
        <v>2</v>
      </c>
      <c r="G9" s="532">
        <f t="shared" si="0"/>
        <v>0.78260869565217395</v>
      </c>
      <c r="H9" s="533"/>
      <c r="I9" s="534">
        <v>18</v>
      </c>
      <c r="J9" s="534">
        <v>23</v>
      </c>
      <c r="K9" s="527">
        <v>10072501</v>
      </c>
      <c r="L9" s="664" t="s">
        <v>186</v>
      </c>
      <c r="M9" s="31">
        <f t="shared" si="2"/>
        <v>0.86956521739130432</v>
      </c>
      <c r="N9" s="31">
        <f t="shared" si="1"/>
        <v>0.86956521739130432</v>
      </c>
      <c r="O9" s="31" t="str">
        <f t="shared" si="1"/>
        <v>-</v>
      </c>
      <c r="P9" s="31" t="str">
        <f t="shared" si="1"/>
        <v>-</v>
      </c>
      <c r="Q9" s="31" t="str">
        <f t="shared" si="1"/>
        <v>-</v>
      </c>
      <c r="R9" s="521">
        <f t="shared" si="3"/>
        <v>1</v>
      </c>
      <c r="S9" s="521">
        <f t="shared" si="4"/>
        <v>0.86956521739130432</v>
      </c>
      <c r="U9"/>
      <c r="V9"/>
    </row>
    <row r="10" spans="1:24">
      <c r="A10" s="664" t="s">
        <v>85</v>
      </c>
      <c r="B10" s="664" t="s">
        <v>85</v>
      </c>
      <c r="C10" s="664"/>
      <c r="D10" s="664" t="s">
        <v>137</v>
      </c>
      <c r="E10" s="664">
        <v>10072502</v>
      </c>
      <c r="F10" s="664">
        <v>2</v>
      </c>
      <c r="G10" s="532">
        <f t="shared" si="0"/>
        <v>0.78260869565217395</v>
      </c>
      <c r="H10" s="533"/>
      <c r="I10" s="534">
        <v>18</v>
      </c>
      <c r="J10" s="534">
        <v>23</v>
      </c>
      <c r="K10" s="527">
        <v>10071256</v>
      </c>
      <c r="L10" s="664" t="s">
        <v>227</v>
      </c>
      <c r="M10" s="31" t="str">
        <f t="shared" si="2"/>
        <v>-</v>
      </c>
      <c r="N10" s="31" t="str">
        <f t="shared" si="1"/>
        <v>-</v>
      </c>
      <c r="O10" s="31" t="str">
        <f t="shared" si="1"/>
        <v>-</v>
      </c>
      <c r="P10" s="31" t="str">
        <f t="shared" si="1"/>
        <v>-</v>
      </c>
      <c r="Q10" s="31" t="str">
        <f t="shared" si="1"/>
        <v>-</v>
      </c>
      <c r="R10" s="521" t="str">
        <f t="shared" si="3"/>
        <v>-</v>
      </c>
      <c r="S10" s="521" t="str">
        <f t="shared" si="4"/>
        <v>-</v>
      </c>
      <c r="U10"/>
      <c r="V10"/>
    </row>
    <row r="11" spans="1:24">
      <c r="A11" s="664" t="s">
        <v>85</v>
      </c>
      <c r="B11" s="664" t="s">
        <v>85</v>
      </c>
      <c r="C11" s="664"/>
      <c r="D11" s="664" t="s">
        <v>84</v>
      </c>
      <c r="E11" s="664">
        <v>10070655</v>
      </c>
      <c r="F11" s="664">
        <v>2</v>
      </c>
      <c r="G11" s="532">
        <f t="shared" si="0"/>
        <v>0.82608695652173914</v>
      </c>
      <c r="H11" s="533"/>
      <c r="I11" s="534">
        <v>19</v>
      </c>
      <c r="J11" s="534">
        <v>23</v>
      </c>
      <c r="K11" s="527">
        <v>10071245</v>
      </c>
      <c r="L11" s="664" t="s">
        <v>124</v>
      </c>
      <c r="M11" s="31" t="str">
        <f t="shared" si="2"/>
        <v>-</v>
      </c>
      <c r="N11" s="31" t="str">
        <f t="shared" si="1"/>
        <v>-</v>
      </c>
      <c r="O11" s="31" t="str">
        <f t="shared" si="1"/>
        <v>-</v>
      </c>
      <c r="P11" s="31" t="str">
        <f t="shared" si="1"/>
        <v>-</v>
      </c>
      <c r="Q11" s="31" t="str">
        <f t="shared" si="1"/>
        <v>-</v>
      </c>
      <c r="R11" s="521" t="str">
        <f t="shared" si="3"/>
        <v>-</v>
      </c>
      <c r="S11" s="521" t="str">
        <f t="shared" si="4"/>
        <v>-</v>
      </c>
      <c r="U11"/>
      <c r="V11"/>
    </row>
    <row r="12" spans="1:24">
      <c r="A12" s="664" t="s">
        <v>170</v>
      </c>
      <c r="B12" s="664" t="s">
        <v>170</v>
      </c>
      <c r="C12" s="664"/>
      <c r="D12" s="664" t="s">
        <v>214</v>
      </c>
      <c r="E12" s="664">
        <v>10071099</v>
      </c>
      <c r="F12" s="664">
        <v>2</v>
      </c>
      <c r="G12" s="532">
        <f t="shared" ref="G12:G25" si="5">IFERROR(I12/J12,"-")</f>
        <v>0.82608695652173914</v>
      </c>
      <c r="H12" s="533"/>
      <c r="I12" s="534">
        <v>19</v>
      </c>
      <c r="J12" s="534">
        <v>23</v>
      </c>
      <c r="K12" s="527">
        <v>10071492</v>
      </c>
      <c r="L12" s="664" t="s">
        <v>241</v>
      </c>
      <c r="M12" s="31" t="str">
        <f t="shared" si="2"/>
        <v>-</v>
      </c>
      <c r="N12" s="31" t="str">
        <f t="shared" si="1"/>
        <v>-</v>
      </c>
      <c r="O12" s="31" t="str">
        <f t="shared" si="1"/>
        <v>-</v>
      </c>
      <c r="P12" s="31" t="str">
        <f t="shared" si="1"/>
        <v>-</v>
      </c>
      <c r="Q12" s="31" t="str">
        <f t="shared" si="1"/>
        <v>-</v>
      </c>
      <c r="R12" s="521" t="str">
        <f t="shared" si="3"/>
        <v>-</v>
      </c>
      <c r="S12" s="521" t="str">
        <f t="shared" si="4"/>
        <v>-</v>
      </c>
      <c r="U12"/>
      <c r="V12"/>
    </row>
    <row r="13" spans="1:24">
      <c r="A13" s="664" t="s">
        <v>170</v>
      </c>
      <c r="B13" s="664" t="s">
        <v>170</v>
      </c>
      <c r="C13" s="664"/>
      <c r="D13" s="664" t="s">
        <v>200</v>
      </c>
      <c r="E13" s="664">
        <v>10071309</v>
      </c>
      <c r="F13" s="664">
        <v>2</v>
      </c>
      <c r="G13" s="532">
        <f t="shared" si="5"/>
        <v>0.82608695652173914</v>
      </c>
      <c r="H13" s="533"/>
      <c r="I13" s="534">
        <v>19</v>
      </c>
      <c r="J13" s="534">
        <v>23</v>
      </c>
      <c r="K13" s="527"/>
      <c r="L13" s="664"/>
      <c r="M13" s="31"/>
      <c r="N13" s="31"/>
      <c r="O13" s="31"/>
      <c r="P13" s="31"/>
      <c r="Q13" s="31"/>
      <c r="R13" s="521"/>
      <c r="S13" s="521" t="str">
        <f t="shared" si="4"/>
        <v>-</v>
      </c>
      <c r="U13"/>
      <c r="V13"/>
    </row>
    <row r="14" spans="1:24">
      <c r="A14" s="664" t="s">
        <v>170</v>
      </c>
      <c r="B14" s="664" t="s">
        <v>170</v>
      </c>
      <c r="C14" s="664"/>
      <c r="D14" s="664" t="s">
        <v>186</v>
      </c>
      <c r="E14" s="664">
        <v>10072501</v>
      </c>
      <c r="F14" s="664">
        <v>2</v>
      </c>
      <c r="G14" s="532">
        <f t="shared" si="5"/>
        <v>0.86956521739130432</v>
      </c>
      <c r="H14" s="533"/>
      <c r="I14" s="534">
        <v>20</v>
      </c>
      <c r="J14" s="534">
        <v>23</v>
      </c>
      <c r="U14"/>
      <c r="V14"/>
    </row>
    <row r="15" spans="1:24">
      <c r="A15" s="664" t="s">
        <v>170</v>
      </c>
      <c r="B15" s="664" t="s">
        <v>170</v>
      </c>
      <c r="C15" s="664"/>
      <c r="D15" s="664" t="s">
        <v>169</v>
      </c>
      <c r="E15" s="664">
        <v>10072072</v>
      </c>
      <c r="F15" s="664">
        <v>2</v>
      </c>
      <c r="G15" s="532">
        <f t="shared" si="5"/>
        <v>0.78260869565217395</v>
      </c>
      <c r="H15" s="533"/>
      <c r="I15" s="534">
        <v>18</v>
      </c>
      <c r="J15" s="534">
        <v>23</v>
      </c>
      <c r="U15"/>
      <c r="V15"/>
    </row>
    <row r="16" spans="1:24">
      <c r="A16" s="664"/>
      <c r="B16" s="664"/>
      <c r="C16" s="664"/>
      <c r="D16" s="664"/>
      <c r="E16" s="664"/>
      <c r="F16" s="664"/>
      <c r="G16" s="532" t="str">
        <f t="shared" si="5"/>
        <v>-</v>
      </c>
      <c r="H16" s="533"/>
      <c r="I16" s="534"/>
      <c r="J16" s="534"/>
      <c r="U16"/>
      <c r="V16"/>
    </row>
    <row r="17" spans="1:22">
      <c r="A17" s="664"/>
      <c r="B17" s="664"/>
      <c r="C17" s="664"/>
      <c r="D17" s="664"/>
      <c r="E17" s="664"/>
      <c r="F17" s="664"/>
      <c r="G17" s="532" t="str">
        <f t="shared" si="5"/>
        <v>-</v>
      </c>
      <c r="H17" s="533"/>
      <c r="I17" s="534"/>
      <c r="J17" s="534"/>
      <c r="K17" s="235"/>
      <c r="L17" s="267" t="s">
        <v>608</v>
      </c>
      <c r="M17" s="267">
        <f>M$1</f>
        <v>1</v>
      </c>
      <c r="N17" s="267">
        <f t="shared" ref="N17:S17" si="6">N$1</f>
        <v>2</v>
      </c>
      <c r="O17" s="267">
        <f t="shared" si="6"/>
        <v>3</v>
      </c>
      <c r="P17" s="267">
        <f t="shared" si="6"/>
        <v>4</v>
      </c>
      <c r="Q17" s="267">
        <f t="shared" si="6"/>
        <v>5</v>
      </c>
      <c r="R17" s="267" t="str">
        <f t="shared" si="6"/>
        <v>ACTUAL SCORE</v>
      </c>
      <c r="S17" s="267" t="str">
        <f t="shared" si="6"/>
        <v>CHURN CALIBRATION SCORE MTD</v>
      </c>
      <c r="U17"/>
      <c r="V17"/>
    </row>
    <row r="18" spans="1:22">
      <c r="A18" s="664"/>
      <c r="B18" s="664"/>
      <c r="C18" s="664"/>
      <c r="D18" s="664"/>
      <c r="E18" s="664"/>
      <c r="F18" s="664"/>
      <c r="G18" s="532" t="str">
        <f t="shared" si="5"/>
        <v>-</v>
      </c>
      <c r="H18" s="533"/>
      <c r="I18" s="534"/>
      <c r="J18" s="534"/>
      <c r="K18" s="235">
        <v>10072003</v>
      </c>
      <c r="L18" s="664" t="s">
        <v>85</v>
      </c>
      <c r="M18" s="31">
        <f>IFERROR(SUMIFS($I:$I,$A:$A,$L18,$F:$F,M$1)/SUMIFS($J:$J,$A:$A,$L18,$F:$F,M$1),"-")</f>
        <v>0.84057971014492749</v>
      </c>
      <c r="N18" s="31">
        <f t="shared" ref="N18:Q20" si="7">IFERROR(SUMIFS($I:$I,$A:$A,$L18,$F:$F,N$1)/SUMIFS($J:$J,$A:$A,$L18,$F:$F,N$1),"-")</f>
        <v>0.79710144927536231</v>
      </c>
      <c r="O18" s="31" t="str">
        <f t="shared" si="7"/>
        <v>-</v>
      </c>
      <c r="P18" s="31" t="str">
        <f t="shared" si="7"/>
        <v>-</v>
      </c>
      <c r="Q18" s="31" t="str">
        <f t="shared" si="7"/>
        <v>-</v>
      </c>
      <c r="R18" s="521">
        <f>IF(S18="-","-",IF(S18&gt;=80%,100%,IF(S18&gt;=70%,80%,IF(S18&gt;=60%,60%,0%))))</f>
        <v>1</v>
      </c>
      <c r="S18" s="521">
        <f>IFERROR(SUMIFS($I:$I,$A:$A,$L18)/SUMIFS($J:$J,$A:$A,$L18),"-")</f>
        <v>0.8188405797101449</v>
      </c>
      <c r="U18"/>
      <c r="V18"/>
    </row>
    <row r="19" spans="1:22">
      <c r="A19" s="664"/>
      <c r="B19" s="664"/>
      <c r="C19" s="664"/>
      <c r="D19" s="664"/>
      <c r="E19" s="664"/>
      <c r="F19" s="664"/>
      <c r="G19" s="532" t="str">
        <f t="shared" si="5"/>
        <v>-</v>
      </c>
      <c r="H19" s="533"/>
      <c r="I19" s="534"/>
      <c r="J19" s="534"/>
      <c r="K19" s="235">
        <v>10071937</v>
      </c>
      <c r="L19" s="664" t="s">
        <v>106</v>
      </c>
      <c r="M19" s="31" t="str">
        <f>IFERROR(SUMIFS($I:$I,$A:$A,$L19,$F:$F,M$1)/SUMIFS($J:$J,$A:$A,$L19,$F:$F,M$1),"-")</f>
        <v>-</v>
      </c>
      <c r="N19" s="31" t="str">
        <f t="shared" si="7"/>
        <v>-</v>
      </c>
      <c r="O19" s="31" t="str">
        <f t="shared" si="7"/>
        <v>-</v>
      </c>
      <c r="P19" s="31" t="str">
        <f t="shared" si="7"/>
        <v>-</v>
      </c>
      <c r="Q19" s="31" t="str">
        <f t="shared" si="7"/>
        <v>-</v>
      </c>
      <c r="R19" s="521" t="str">
        <f>IF(S19="-","-",IF(S19&gt;=80%,100%,IF(S19&gt;=70%,80%,IF(S19&gt;=60%,60%,0%))))</f>
        <v>-</v>
      </c>
      <c r="S19" s="521" t="str">
        <f>IFERROR(SUMIFS($I:$I,$A:$A,$L19)/SUMIFS($J:$J,$A:$A,$L19),"-")</f>
        <v>-</v>
      </c>
      <c r="U19"/>
      <c r="V19"/>
    </row>
    <row r="20" spans="1:22">
      <c r="A20" s="664"/>
      <c r="B20" s="664"/>
      <c r="C20" s="664"/>
      <c r="D20" s="664"/>
      <c r="E20" s="664"/>
      <c r="F20" s="664"/>
      <c r="G20" s="532" t="str">
        <f t="shared" si="5"/>
        <v>-</v>
      </c>
      <c r="H20" s="533"/>
      <c r="I20" s="534"/>
      <c r="J20" s="534"/>
      <c r="K20" s="235">
        <v>7010609</v>
      </c>
      <c r="L20" s="664" t="s">
        <v>170</v>
      </c>
      <c r="M20" s="31">
        <f>IFERROR(SUMIFS($I:$I,$A:$A,$L20,$F:$F,M$1)/SUMIFS($J:$J,$A:$A,$L20,$F:$F,M$1),"-")</f>
        <v>0.79710144927536231</v>
      </c>
      <c r="N20" s="31">
        <f t="shared" si="7"/>
        <v>0.82608695652173914</v>
      </c>
      <c r="O20" s="31" t="str">
        <f t="shared" si="7"/>
        <v>-</v>
      </c>
      <c r="P20" s="31" t="str">
        <f t="shared" si="7"/>
        <v>-</v>
      </c>
      <c r="Q20" s="31" t="str">
        <f t="shared" si="7"/>
        <v>-</v>
      </c>
      <c r="R20" s="521">
        <f>IF(S20="-","-",IF(S20&gt;=80%,100%,IF(S20&gt;=70%,80%,IF(S20&gt;=60%,60%,0%))))</f>
        <v>1</v>
      </c>
      <c r="S20" s="521">
        <f>IFERROR(SUMIFS($I:$I,$A:$A,$L20)/SUMIFS($J:$J,$A:$A,$L20),"-")</f>
        <v>0.81366459627329191</v>
      </c>
      <c r="U20"/>
      <c r="V20"/>
    </row>
    <row r="21" spans="1:22">
      <c r="A21" s="664"/>
      <c r="B21" s="664"/>
      <c r="C21" s="664"/>
      <c r="D21" s="664"/>
      <c r="E21" s="664"/>
      <c r="F21" s="664"/>
      <c r="G21" s="532" t="str">
        <f t="shared" si="5"/>
        <v>-</v>
      </c>
      <c r="H21" s="533"/>
      <c r="I21" s="534"/>
      <c r="J21" s="534"/>
      <c r="K21" s="235"/>
      <c r="M21" s="2"/>
      <c r="N21" s="2"/>
      <c r="O21" s="2"/>
      <c r="P21" s="2"/>
      <c r="Q21" s="2"/>
      <c r="R21" s="2"/>
      <c r="S21" s="2"/>
      <c r="U21"/>
      <c r="V21"/>
    </row>
    <row r="22" spans="1:22">
      <c r="A22" s="664"/>
      <c r="B22" s="664"/>
      <c r="C22" s="664"/>
      <c r="D22" s="664"/>
      <c r="E22" s="664"/>
      <c r="F22" s="664"/>
      <c r="G22" s="532" t="str">
        <f t="shared" si="5"/>
        <v>-</v>
      </c>
      <c r="H22" s="533"/>
      <c r="I22" s="534"/>
      <c r="J22" s="534"/>
      <c r="K22" s="235"/>
      <c r="M22" s="270">
        <f>M$1</f>
        <v>1</v>
      </c>
      <c r="N22" s="270">
        <f t="shared" ref="N22:S22" si="8">N$1</f>
        <v>2</v>
      </c>
      <c r="O22" s="270">
        <f t="shared" si="8"/>
        <v>3</v>
      </c>
      <c r="P22" s="270">
        <f t="shared" si="8"/>
        <v>4</v>
      </c>
      <c r="Q22" s="270">
        <f t="shared" si="8"/>
        <v>5</v>
      </c>
      <c r="R22" s="270" t="str">
        <f t="shared" si="8"/>
        <v>ACTUAL SCORE</v>
      </c>
      <c r="S22" s="270" t="str">
        <f t="shared" si="8"/>
        <v>CHURN CALIBRATION SCORE MTD</v>
      </c>
      <c r="U22"/>
      <c r="V22"/>
    </row>
    <row r="23" spans="1:22">
      <c r="A23" s="664"/>
      <c r="B23" s="664"/>
      <c r="C23" s="664"/>
      <c r="D23" s="664"/>
      <c r="E23" s="664"/>
      <c r="F23" s="664"/>
      <c r="G23" s="532" t="str">
        <f t="shared" si="5"/>
        <v>-</v>
      </c>
      <c r="H23" s="533"/>
      <c r="I23" s="534"/>
      <c r="J23" s="534"/>
      <c r="K23" s="235"/>
      <c r="L23" s="268" t="s">
        <v>274</v>
      </c>
      <c r="M23" s="269">
        <f>IFERROR(SUMIFS($I:$I,$F:$F,M$1)/SUMIFS($J:$J,$F:$F,M$1),"-")</f>
        <v>0.8188405797101449</v>
      </c>
      <c r="N23" s="269">
        <f>IFERROR(SUMIFS($I:$I,$F:$F,N$1)/SUMIFS($J:$J,$F:$F,N$1),"-")</f>
        <v>0.81366459627329191</v>
      </c>
      <c r="O23" s="269" t="str">
        <f>IFERROR(SUMIFS($I:$I,$F:$F,O$1)/SUMIFS($J:$J,$F:$F,O$1),"-")</f>
        <v>-</v>
      </c>
      <c r="P23" s="269" t="str">
        <f>IFERROR(SUMIFS($I:$I,$F:$F,P$1)/SUMIFS($J:$J,$F:$F,P$1),"-")</f>
        <v>-</v>
      </c>
      <c r="Q23" s="269" t="str">
        <f>IFERROR(SUMIFS($I:$I,$F:$F,Q$1)/SUMIFS($J:$J,$F:$F,Q$1),"-")</f>
        <v>-</v>
      </c>
      <c r="R23" s="269">
        <f>IF(S23="-","-",IF(S23&gt;=80%,100%,IF(S23&gt;=70%,80%,IF(S23&gt;=60%,60%,0%))))</f>
        <v>1</v>
      </c>
      <c r="S23" s="269">
        <f>IFERROR(SUM($I:$I)/SUM($J:$J),"-")</f>
        <v>0.81605351170568563</v>
      </c>
      <c r="U23"/>
      <c r="V23"/>
    </row>
    <row r="24" spans="1:22">
      <c r="A24" s="664"/>
      <c r="B24" s="664"/>
      <c r="C24" s="664"/>
      <c r="D24" s="664"/>
      <c r="E24" s="664"/>
      <c r="F24" s="664"/>
      <c r="G24" s="532" t="str">
        <f t="shared" si="5"/>
        <v>-</v>
      </c>
      <c r="H24" s="533"/>
      <c r="I24" s="534"/>
      <c r="J24" s="534"/>
      <c r="U24"/>
      <c r="V24"/>
    </row>
    <row r="25" spans="1:22">
      <c r="A25" s="664"/>
      <c r="B25" s="664"/>
      <c r="C25" s="664"/>
      <c r="D25" s="664"/>
      <c r="E25" s="664"/>
      <c r="F25" s="664"/>
      <c r="G25" s="532" t="str">
        <f t="shared" si="5"/>
        <v>-</v>
      </c>
      <c r="H25" s="533"/>
      <c r="I25" s="534"/>
      <c r="J25" s="534"/>
    </row>
    <row r="27" spans="1:22">
      <c r="K27" s="501">
        <v>10070828</v>
      </c>
      <c r="L27" s="501" t="s">
        <v>105</v>
      </c>
      <c r="M27" s="502"/>
      <c r="N27" s="502"/>
      <c r="O27" s="502"/>
      <c r="P27" s="502"/>
      <c r="Q27" s="502"/>
      <c r="R27" s="502">
        <f>'PR CALIBRATION RAW'!S23</f>
        <v>0.8</v>
      </c>
      <c r="S27" s="502">
        <f>'PR CALIBRATION RAW'!R23</f>
        <v>0.78695652173913044</v>
      </c>
    </row>
  </sheetData>
  <mergeCells count="1">
    <mergeCell ref="W1:X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X33"/>
  <sheetViews>
    <sheetView showGridLines="0" zoomScale="85" zoomScaleNormal="85" workbookViewId="0"/>
  </sheetViews>
  <sheetFormatPr defaultRowHeight="15"/>
  <cols>
    <col min="2" max="2" width="20.5703125" bestFit="1" customWidth="1"/>
    <col min="3" max="3" width="9.42578125" bestFit="1" customWidth="1"/>
    <col min="4" max="4" width="27.140625" bestFit="1" customWidth="1"/>
    <col min="5" max="5" width="17.5703125" bestFit="1" customWidth="1"/>
    <col min="6" max="6" width="12.42578125" bestFit="1" customWidth="1"/>
    <col min="7" max="7" width="22.140625" style="518" bestFit="1" customWidth="1"/>
    <col min="11" max="11" width="12.42578125" style="2" bestFit="1" customWidth="1"/>
    <col min="12" max="12" width="26" style="2" bestFit="1" customWidth="1"/>
    <col min="13" max="13" width="11.7109375" style="2" bestFit="1" customWidth="1"/>
    <col min="14" max="14" width="15.5703125" style="2" bestFit="1" customWidth="1"/>
    <col min="15" max="15" width="22.42578125" style="2" bestFit="1" customWidth="1"/>
    <col min="16" max="16" width="17.5703125" style="2" bestFit="1" customWidth="1"/>
    <col min="17" max="17" width="12.42578125" style="2" bestFit="1" customWidth="1"/>
    <col min="18" max="18" width="9.140625" style="15"/>
    <col min="19" max="19" width="36" style="16" bestFit="1" customWidth="1"/>
    <col min="23" max="23" width="13.5703125" bestFit="1" customWidth="1"/>
  </cols>
  <sheetData>
    <row r="1" spans="1:24">
      <c r="A1" s="492" t="s">
        <v>594</v>
      </c>
      <c r="B1" s="494" t="s">
        <v>609</v>
      </c>
      <c r="C1" s="492" t="s">
        <v>610</v>
      </c>
      <c r="D1" s="492" t="s">
        <v>42</v>
      </c>
      <c r="E1" s="492" t="s">
        <v>611</v>
      </c>
      <c r="F1" s="492" t="s">
        <v>612</v>
      </c>
      <c r="G1" s="519" t="s">
        <v>613</v>
      </c>
      <c r="H1" s="152"/>
      <c r="I1" s="491"/>
      <c r="K1" s="496" t="s">
        <v>41</v>
      </c>
      <c r="L1" s="496" t="s">
        <v>42</v>
      </c>
      <c r="M1" s="496" t="s">
        <v>43</v>
      </c>
      <c r="N1" s="496" t="s">
        <v>44</v>
      </c>
      <c r="O1" s="496" t="s">
        <v>45</v>
      </c>
      <c r="P1" s="496" t="s">
        <v>611</v>
      </c>
      <c r="Q1" s="496" t="s">
        <v>612</v>
      </c>
      <c r="R1" s="497" t="s">
        <v>614</v>
      </c>
      <c r="S1" s="499" t="s">
        <v>74</v>
      </c>
      <c r="W1" s="748" t="s">
        <v>615</v>
      </c>
      <c r="X1" s="749"/>
    </row>
    <row r="2" spans="1:24">
      <c r="A2" s="332"/>
      <c r="B2" s="495"/>
      <c r="C2" s="332">
        <v>10071071</v>
      </c>
      <c r="D2" s="493" t="s">
        <v>420</v>
      </c>
      <c r="E2" s="332">
        <v>12</v>
      </c>
      <c r="F2" s="332">
        <v>23</v>
      </c>
      <c r="G2" s="520">
        <f>IFERROR(E2/F2,"-")</f>
        <v>0.52173913043478259</v>
      </c>
      <c r="H2" s="152"/>
      <c r="I2" s="491"/>
      <c r="K2" s="498">
        <v>10071071</v>
      </c>
      <c r="L2" s="498" t="s">
        <v>420</v>
      </c>
      <c r="M2" s="498" t="s">
        <v>87</v>
      </c>
      <c r="N2" s="498" t="s">
        <v>105</v>
      </c>
      <c r="O2" s="498"/>
      <c r="P2" s="580">
        <f>SUMIFS(E:E,$C:$C,$K2)</f>
        <v>29</v>
      </c>
      <c r="Q2" s="580">
        <f>SUMIFS(F:F,$C:$C,$K2)</f>
        <v>46</v>
      </c>
      <c r="R2" s="579">
        <f>IFERROR(P2/Q2,"-")</f>
        <v>0.63043478260869568</v>
      </c>
      <c r="S2" s="500">
        <f>IF(R2="-","-",IF(R2&gt;=80%,100%,IF(R2&gt;=70%,80%,IF(R2&gt;=60%,60%,0%))))</f>
        <v>0.6</v>
      </c>
      <c r="W2" s="25" t="s">
        <v>287</v>
      </c>
      <c r="X2" s="25" t="s">
        <v>288</v>
      </c>
    </row>
    <row r="3" spans="1:24">
      <c r="A3" s="332"/>
      <c r="B3" s="495"/>
      <c r="C3" s="332">
        <v>10072471</v>
      </c>
      <c r="D3" s="493" t="s">
        <v>445</v>
      </c>
      <c r="E3" s="332" t="s">
        <v>616</v>
      </c>
      <c r="F3" s="332" t="s">
        <v>616</v>
      </c>
      <c r="G3" s="520" t="str">
        <f t="shared" ref="G3:G33" si="0">IFERROR(E3/F3,"-")</f>
        <v>-</v>
      </c>
      <c r="H3" s="152"/>
      <c r="I3" s="491"/>
      <c r="K3" s="498">
        <v>10072471</v>
      </c>
      <c r="L3" s="498" t="s">
        <v>445</v>
      </c>
      <c r="M3" s="498" t="s">
        <v>87</v>
      </c>
      <c r="N3" s="498" t="s">
        <v>105</v>
      </c>
      <c r="O3" s="498"/>
      <c r="P3" s="580">
        <f t="shared" ref="P3:P18" si="1">SUMIFS(E:E,$C:$C,$K3)</f>
        <v>16</v>
      </c>
      <c r="Q3" s="580">
        <f t="shared" ref="Q3:Q18" si="2">SUMIFS(F:F,$C:$C,$K3)</f>
        <v>23</v>
      </c>
      <c r="R3" s="579">
        <f t="shared" ref="R3:R18" si="3">IFERROR(P3/Q3,"-")</f>
        <v>0.69565217391304346</v>
      </c>
      <c r="S3" s="500">
        <f t="shared" ref="S3:S18" si="4">IF(R3="-","-",IF(R3&gt;=80%,100%,IF(R3&gt;=70%,80%,IF(R3&gt;=60%,60%,0%))))</f>
        <v>0.6</v>
      </c>
      <c r="W3" s="24" t="s">
        <v>603</v>
      </c>
      <c r="X3" s="668">
        <v>1</v>
      </c>
    </row>
    <row r="4" spans="1:24">
      <c r="A4" s="332"/>
      <c r="B4" s="495"/>
      <c r="C4" s="332">
        <v>10072182</v>
      </c>
      <c r="D4" s="493" t="s">
        <v>480</v>
      </c>
      <c r="E4" s="332">
        <v>22</v>
      </c>
      <c r="F4" s="332">
        <v>23</v>
      </c>
      <c r="G4" s="520">
        <f t="shared" si="0"/>
        <v>0.95652173913043481</v>
      </c>
      <c r="H4" s="152"/>
      <c r="I4" s="491"/>
      <c r="K4" s="498">
        <v>10072182</v>
      </c>
      <c r="L4" s="498" t="s">
        <v>480</v>
      </c>
      <c r="M4" s="498" t="s">
        <v>87</v>
      </c>
      <c r="N4" s="498" t="s">
        <v>105</v>
      </c>
      <c r="O4" s="498"/>
      <c r="P4" s="580">
        <f t="shared" si="1"/>
        <v>39</v>
      </c>
      <c r="Q4" s="580">
        <f t="shared" si="2"/>
        <v>46</v>
      </c>
      <c r="R4" s="579">
        <f t="shared" si="3"/>
        <v>0.84782608695652173</v>
      </c>
      <c r="S4" s="500">
        <f t="shared" si="4"/>
        <v>1</v>
      </c>
      <c r="W4" s="24" t="s">
        <v>604</v>
      </c>
      <c r="X4" s="668">
        <v>0.8</v>
      </c>
    </row>
    <row r="5" spans="1:24">
      <c r="A5" s="332"/>
      <c r="B5" s="495"/>
      <c r="C5" s="332">
        <v>10072222</v>
      </c>
      <c r="D5" s="493" t="s">
        <v>484</v>
      </c>
      <c r="E5" s="332">
        <v>21</v>
      </c>
      <c r="F5" s="332">
        <v>23</v>
      </c>
      <c r="G5" s="520">
        <f t="shared" si="0"/>
        <v>0.91304347826086951</v>
      </c>
      <c r="H5" s="152"/>
      <c r="I5" s="491"/>
      <c r="K5" s="498">
        <v>10072222</v>
      </c>
      <c r="L5" s="498" t="s">
        <v>484</v>
      </c>
      <c r="M5" s="498" t="s">
        <v>87</v>
      </c>
      <c r="N5" s="498" t="s">
        <v>105</v>
      </c>
      <c r="O5" s="498"/>
      <c r="P5" s="580">
        <f t="shared" si="1"/>
        <v>40</v>
      </c>
      <c r="Q5" s="580">
        <f t="shared" si="2"/>
        <v>46</v>
      </c>
      <c r="R5" s="579">
        <f t="shared" si="3"/>
        <v>0.86956521739130432</v>
      </c>
      <c r="S5" s="500">
        <f t="shared" si="4"/>
        <v>1</v>
      </c>
      <c r="W5" s="24" t="s">
        <v>605</v>
      </c>
      <c r="X5" s="668">
        <v>0.6</v>
      </c>
    </row>
    <row r="6" spans="1:24">
      <c r="A6" s="332"/>
      <c r="B6" s="495"/>
      <c r="C6" s="332">
        <v>10072472</v>
      </c>
      <c r="D6" s="493" t="s">
        <v>493</v>
      </c>
      <c r="E6" s="332">
        <v>20</v>
      </c>
      <c r="F6" s="332">
        <v>23</v>
      </c>
      <c r="G6" s="520">
        <f t="shared" si="0"/>
        <v>0.86956521739130432</v>
      </c>
      <c r="H6" s="152"/>
      <c r="I6" s="491"/>
      <c r="K6" s="498">
        <v>10072472</v>
      </c>
      <c r="L6" s="498" t="s">
        <v>493</v>
      </c>
      <c r="M6" s="498" t="s">
        <v>87</v>
      </c>
      <c r="N6" s="498" t="s">
        <v>105</v>
      </c>
      <c r="O6" s="498"/>
      <c r="P6" s="580">
        <f t="shared" si="1"/>
        <v>36</v>
      </c>
      <c r="Q6" s="580">
        <f t="shared" si="2"/>
        <v>46</v>
      </c>
      <c r="R6" s="579">
        <f t="shared" si="3"/>
        <v>0.78260869565217395</v>
      </c>
      <c r="S6" s="500">
        <f t="shared" si="4"/>
        <v>0.8</v>
      </c>
      <c r="W6" s="24" t="s">
        <v>607</v>
      </c>
      <c r="X6" s="668">
        <v>0</v>
      </c>
    </row>
    <row r="7" spans="1:24">
      <c r="A7" s="332"/>
      <c r="B7" s="495"/>
      <c r="C7" s="332">
        <v>10072069</v>
      </c>
      <c r="D7" s="493" t="s">
        <v>512</v>
      </c>
      <c r="E7" s="332">
        <v>22</v>
      </c>
      <c r="F7" s="332">
        <v>23</v>
      </c>
      <c r="G7" s="520">
        <f t="shared" si="0"/>
        <v>0.95652173913043481</v>
      </c>
      <c r="H7" s="152"/>
      <c r="I7" s="491"/>
      <c r="K7" s="498">
        <v>10072069</v>
      </c>
      <c r="L7" s="498" t="s">
        <v>512</v>
      </c>
      <c r="M7" s="498" t="s">
        <v>87</v>
      </c>
      <c r="N7" s="498" t="s">
        <v>105</v>
      </c>
      <c r="O7" s="498"/>
      <c r="P7" s="580">
        <f t="shared" si="1"/>
        <v>22</v>
      </c>
      <c r="Q7" s="580">
        <f t="shared" si="2"/>
        <v>23</v>
      </c>
      <c r="R7" s="579">
        <f t="shared" si="3"/>
        <v>0.95652173913043481</v>
      </c>
      <c r="S7" s="500">
        <f t="shared" si="4"/>
        <v>1</v>
      </c>
    </row>
    <row r="8" spans="1:24">
      <c r="A8" s="332"/>
      <c r="B8" s="495"/>
      <c r="C8" s="332">
        <v>10072097</v>
      </c>
      <c r="D8" s="493" t="s">
        <v>517</v>
      </c>
      <c r="E8" s="332">
        <v>20</v>
      </c>
      <c r="F8" s="332">
        <v>23</v>
      </c>
      <c r="G8" s="520">
        <f t="shared" si="0"/>
        <v>0.86956521739130432</v>
      </c>
      <c r="H8" s="152"/>
      <c r="I8" s="491"/>
      <c r="K8" s="498">
        <v>10072097</v>
      </c>
      <c r="L8" s="498" t="s">
        <v>517</v>
      </c>
      <c r="M8" s="498" t="s">
        <v>87</v>
      </c>
      <c r="N8" s="498" t="s">
        <v>105</v>
      </c>
      <c r="O8" s="498"/>
      <c r="P8" s="580">
        <f t="shared" si="1"/>
        <v>39</v>
      </c>
      <c r="Q8" s="580">
        <f t="shared" si="2"/>
        <v>46</v>
      </c>
      <c r="R8" s="579">
        <f t="shared" si="3"/>
        <v>0.84782608695652173</v>
      </c>
      <c r="S8" s="500">
        <f t="shared" si="4"/>
        <v>1</v>
      </c>
    </row>
    <row r="9" spans="1:24">
      <c r="A9" s="332"/>
      <c r="B9" s="495"/>
      <c r="C9" s="332">
        <v>10072077</v>
      </c>
      <c r="D9" s="493" t="s">
        <v>521</v>
      </c>
      <c r="E9" s="332">
        <v>22</v>
      </c>
      <c r="F9" s="332">
        <v>23</v>
      </c>
      <c r="G9" s="520">
        <f t="shared" si="0"/>
        <v>0.95652173913043481</v>
      </c>
      <c r="H9" s="152"/>
      <c r="I9" s="491"/>
      <c r="K9" s="498">
        <v>10072077</v>
      </c>
      <c r="L9" s="498" t="s">
        <v>521</v>
      </c>
      <c r="M9" s="498" t="s">
        <v>87</v>
      </c>
      <c r="N9" s="498" t="s">
        <v>105</v>
      </c>
      <c r="O9" s="498"/>
      <c r="P9" s="580">
        <f t="shared" si="1"/>
        <v>39</v>
      </c>
      <c r="Q9" s="580">
        <f t="shared" si="2"/>
        <v>46</v>
      </c>
      <c r="R9" s="579">
        <f t="shared" si="3"/>
        <v>0.84782608695652173</v>
      </c>
      <c r="S9" s="500">
        <f t="shared" si="4"/>
        <v>1</v>
      </c>
    </row>
    <row r="10" spans="1:24">
      <c r="A10" s="332"/>
      <c r="B10" s="495"/>
      <c r="C10" s="332">
        <v>10071617</v>
      </c>
      <c r="D10" s="493" t="s">
        <v>527</v>
      </c>
      <c r="E10" s="332">
        <v>21</v>
      </c>
      <c r="F10" s="332">
        <v>23</v>
      </c>
      <c r="G10" s="520">
        <f t="shared" si="0"/>
        <v>0.91304347826086951</v>
      </c>
      <c r="H10" s="152"/>
      <c r="I10" s="491"/>
      <c r="K10" s="498">
        <v>10071617</v>
      </c>
      <c r="L10" s="498" t="s">
        <v>527</v>
      </c>
      <c r="M10" s="498" t="s">
        <v>87</v>
      </c>
      <c r="N10" s="498" t="s">
        <v>105</v>
      </c>
      <c r="O10" s="498"/>
      <c r="P10" s="580">
        <f t="shared" si="1"/>
        <v>38</v>
      </c>
      <c r="Q10" s="580">
        <f t="shared" si="2"/>
        <v>46</v>
      </c>
      <c r="R10" s="579">
        <f t="shared" si="3"/>
        <v>0.82608695652173914</v>
      </c>
      <c r="S10" s="500">
        <f t="shared" si="4"/>
        <v>1</v>
      </c>
    </row>
    <row r="11" spans="1:24">
      <c r="A11" s="332"/>
      <c r="B11" s="495"/>
      <c r="C11" s="332">
        <v>10072215</v>
      </c>
      <c r="D11" s="493" t="s">
        <v>528</v>
      </c>
      <c r="E11" s="332">
        <v>21</v>
      </c>
      <c r="F11" s="332">
        <v>23</v>
      </c>
      <c r="G11" s="520">
        <f t="shared" si="0"/>
        <v>0.91304347826086951</v>
      </c>
      <c r="H11" s="152"/>
      <c r="I11" s="491"/>
      <c r="K11" s="498">
        <v>10072215</v>
      </c>
      <c r="L11" s="498" t="s">
        <v>528</v>
      </c>
      <c r="M11" s="498" t="s">
        <v>87</v>
      </c>
      <c r="N11" s="498" t="s">
        <v>105</v>
      </c>
      <c r="O11" s="498"/>
      <c r="P11" s="580">
        <f t="shared" si="1"/>
        <v>39</v>
      </c>
      <c r="Q11" s="580">
        <f t="shared" si="2"/>
        <v>46</v>
      </c>
      <c r="R11" s="579">
        <f t="shared" si="3"/>
        <v>0.84782608695652173</v>
      </c>
      <c r="S11" s="500">
        <f t="shared" si="4"/>
        <v>1</v>
      </c>
    </row>
    <row r="12" spans="1:24">
      <c r="A12" s="332"/>
      <c r="B12" s="495"/>
      <c r="C12" s="332">
        <v>10072213</v>
      </c>
      <c r="D12" s="493" t="s">
        <v>536</v>
      </c>
      <c r="E12" s="332">
        <v>18</v>
      </c>
      <c r="F12" s="332">
        <v>23</v>
      </c>
      <c r="G12" s="520">
        <f t="shared" si="0"/>
        <v>0.78260869565217395</v>
      </c>
      <c r="H12" s="152"/>
      <c r="I12" s="491"/>
      <c r="K12" s="498">
        <v>10072213</v>
      </c>
      <c r="L12" s="498" t="s">
        <v>536</v>
      </c>
      <c r="M12" s="498" t="s">
        <v>87</v>
      </c>
      <c r="N12" s="498" t="s">
        <v>105</v>
      </c>
      <c r="O12" s="498"/>
      <c r="P12" s="580">
        <f t="shared" si="1"/>
        <v>36</v>
      </c>
      <c r="Q12" s="580">
        <f t="shared" si="2"/>
        <v>46</v>
      </c>
      <c r="R12" s="579">
        <f t="shared" si="3"/>
        <v>0.78260869565217395</v>
      </c>
      <c r="S12" s="500">
        <f t="shared" si="4"/>
        <v>0.8</v>
      </c>
    </row>
    <row r="13" spans="1:24">
      <c r="A13" s="332"/>
      <c r="B13" s="495"/>
      <c r="C13" s="332">
        <v>10071055</v>
      </c>
      <c r="D13" s="493" t="s">
        <v>550</v>
      </c>
      <c r="E13" s="332">
        <v>16</v>
      </c>
      <c r="F13" s="332">
        <v>23</v>
      </c>
      <c r="G13" s="520">
        <f t="shared" si="0"/>
        <v>0.69565217391304346</v>
      </c>
      <c r="H13" s="152"/>
      <c r="I13" s="491"/>
      <c r="K13" s="498">
        <v>10071055</v>
      </c>
      <c r="L13" s="498" t="s">
        <v>550</v>
      </c>
      <c r="M13" s="498" t="s">
        <v>87</v>
      </c>
      <c r="N13" s="498" t="s">
        <v>105</v>
      </c>
      <c r="O13" s="498"/>
      <c r="P13" s="580">
        <f t="shared" si="1"/>
        <v>34</v>
      </c>
      <c r="Q13" s="580">
        <f t="shared" si="2"/>
        <v>46</v>
      </c>
      <c r="R13" s="579">
        <f t="shared" si="3"/>
        <v>0.73913043478260865</v>
      </c>
      <c r="S13" s="500">
        <f t="shared" si="4"/>
        <v>0.8</v>
      </c>
    </row>
    <row r="14" spans="1:24">
      <c r="A14" s="332"/>
      <c r="B14" s="495"/>
      <c r="C14" s="332">
        <v>10070996</v>
      </c>
      <c r="D14" s="493" t="s">
        <v>552</v>
      </c>
      <c r="E14" s="332">
        <v>21</v>
      </c>
      <c r="F14" s="332">
        <v>23</v>
      </c>
      <c r="G14" s="520">
        <f t="shared" si="0"/>
        <v>0.91304347826086951</v>
      </c>
      <c r="H14" s="152"/>
      <c r="I14" s="491"/>
      <c r="K14" s="498">
        <v>10070996</v>
      </c>
      <c r="L14" s="498" t="s">
        <v>552</v>
      </c>
      <c r="M14" s="498" t="s">
        <v>87</v>
      </c>
      <c r="N14" s="498" t="s">
        <v>105</v>
      </c>
      <c r="O14" s="498"/>
      <c r="P14" s="580">
        <f t="shared" si="1"/>
        <v>38</v>
      </c>
      <c r="Q14" s="580">
        <f t="shared" si="2"/>
        <v>46</v>
      </c>
      <c r="R14" s="579">
        <f t="shared" si="3"/>
        <v>0.82608695652173914</v>
      </c>
      <c r="S14" s="500">
        <f t="shared" si="4"/>
        <v>1</v>
      </c>
    </row>
    <row r="15" spans="1:24">
      <c r="A15" s="332"/>
      <c r="B15" s="495"/>
      <c r="C15" s="332">
        <v>10071355</v>
      </c>
      <c r="D15" s="493" t="s">
        <v>120</v>
      </c>
      <c r="E15" s="332">
        <v>17</v>
      </c>
      <c r="F15" s="332">
        <v>23</v>
      </c>
      <c r="G15" s="520">
        <f t="shared" si="0"/>
        <v>0.73913043478260865</v>
      </c>
      <c r="H15" s="152"/>
      <c r="I15" s="491"/>
      <c r="K15" s="498">
        <v>10072184</v>
      </c>
      <c r="L15" s="498" t="s">
        <v>558</v>
      </c>
      <c r="M15" s="498" t="s">
        <v>87</v>
      </c>
      <c r="N15" s="498" t="s">
        <v>105</v>
      </c>
      <c r="O15" s="498"/>
      <c r="P15" s="580">
        <f t="shared" si="1"/>
        <v>33</v>
      </c>
      <c r="Q15" s="580">
        <f t="shared" si="2"/>
        <v>46</v>
      </c>
      <c r="R15" s="579">
        <f t="shared" si="3"/>
        <v>0.71739130434782605</v>
      </c>
      <c r="S15" s="500">
        <f t="shared" si="4"/>
        <v>0.8</v>
      </c>
    </row>
    <row r="16" spans="1:24">
      <c r="A16" s="332"/>
      <c r="B16" s="495"/>
      <c r="C16" s="332">
        <v>10072007</v>
      </c>
      <c r="D16" s="493" t="s">
        <v>617</v>
      </c>
      <c r="E16" s="332">
        <v>15</v>
      </c>
      <c r="F16" s="332">
        <v>23</v>
      </c>
      <c r="G16" s="520">
        <f t="shared" si="0"/>
        <v>0.65217391304347827</v>
      </c>
      <c r="H16" s="152"/>
      <c r="I16" s="491"/>
      <c r="K16" s="498">
        <v>10071355</v>
      </c>
      <c r="L16" s="498" t="s">
        <v>120</v>
      </c>
      <c r="M16" s="498" t="s">
        <v>87</v>
      </c>
      <c r="N16" s="498" t="s">
        <v>105</v>
      </c>
      <c r="O16" s="498"/>
      <c r="P16" s="580">
        <f t="shared" si="1"/>
        <v>34</v>
      </c>
      <c r="Q16" s="580">
        <f t="shared" si="2"/>
        <v>46</v>
      </c>
      <c r="R16" s="579">
        <f t="shared" si="3"/>
        <v>0.73913043478260865</v>
      </c>
      <c r="S16" s="500">
        <f t="shared" si="4"/>
        <v>0.8</v>
      </c>
    </row>
    <row r="17" spans="1:19">
      <c r="A17" s="332"/>
      <c r="B17" s="495"/>
      <c r="C17" s="332">
        <v>10072184</v>
      </c>
      <c r="D17" s="493" t="s">
        <v>558</v>
      </c>
      <c r="E17" s="332">
        <v>17</v>
      </c>
      <c r="F17" s="332">
        <v>23</v>
      </c>
      <c r="G17" s="520">
        <f t="shared" si="0"/>
        <v>0.73913043478260865</v>
      </c>
      <c r="H17" s="152"/>
      <c r="I17" s="491"/>
      <c r="K17" s="498">
        <v>10072007</v>
      </c>
      <c r="L17" s="498" t="s">
        <v>121</v>
      </c>
      <c r="M17" s="498" t="s">
        <v>87</v>
      </c>
      <c r="N17" s="498" t="s">
        <v>105</v>
      </c>
      <c r="O17" s="498"/>
      <c r="P17" s="580">
        <f t="shared" si="1"/>
        <v>31</v>
      </c>
      <c r="Q17" s="580">
        <f t="shared" si="2"/>
        <v>46</v>
      </c>
      <c r="R17" s="579">
        <f t="shared" si="3"/>
        <v>0.67391304347826086</v>
      </c>
      <c r="S17" s="500">
        <f t="shared" si="4"/>
        <v>0.6</v>
      </c>
    </row>
    <row r="18" spans="1:19">
      <c r="A18" s="332"/>
      <c r="B18" s="495"/>
      <c r="C18" s="332">
        <v>10071071</v>
      </c>
      <c r="D18" s="493" t="s">
        <v>420</v>
      </c>
      <c r="E18" s="332">
        <v>17</v>
      </c>
      <c r="F18" s="332">
        <v>23</v>
      </c>
      <c r="G18" s="520">
        <f t="shared" si="0"/>
        <v>0.73913043478260865</v>
      </c>
      <c r="H18" s="152"/>
      <c r="I18" s="491"/>
      <c r="K18" s="498"/>
      <c r="L18" s="498"/>
      <c r="M18" s="498"/>
      <c r="N18" s="498"/>
      <c r="O18" s="498"/>
      <c r="P18" s="580">
        <f t="shared" si="1"/>
        <v>0</v>
      </c>
      <c r="Q18" s="580">
        <f t="shared" si="2"/>
        <v>0</v>
      </c>
      <c r="R18" s="579" t="str">
        <f t="shared" si="3"/>
        <v>-</v>
      </c>
      <c r="S18" s="500" t="str">
        <f t="shared" si="4"/>
        <v>-</v>
      </c>
    </row>
    <row r="19" spans="1:19">
      <c r="A19" s="332"/>
      <c r="B19" s="495"/>
      <c r="C19" s="332">
        <v>10072471</v>
      </c>
      <c r="D19" s="493" t="s">
        <v>445</v>
      </c>
      <c r="E19" s="332">
        <v>16</v>
      </c>
      <c r="F19" s="332">
        <v>23</v>
      </c>
      <c r="G19" s="520">
        <f t="shared" si="0"/>
        <v>0.69565217391304346</v>
      </c>
    </row>
    <row r="20" spans="1:19">
      <c r="A20" s="332"/>
      <c r="B20" s="495"/>
      <c r="C20" s="332">
        <v>10072182</v>
      </c>
      <c r="D20" s="493" t="s">
        <v>480</v>
      </c>
      <c r="E20" s="332">
        <v>17</v>
      </c>
      <c r="F20" s="332">
        <v>23</v>
      </c>
      <c r="G20" s="520">
        <f t="shared" si="0"/>
        <v>0.73913043478260865</v>
      </c>
    </row>
    <row r="21" spans="1:19">
      <c r="A21" s="332"/>
      <c r="B21" s="495"/>
      <c r="C21" s="332">
        <v>10072222</v>
      </c>
      <c r="D21" s="493" t="s">
        <v>484</v>
      </c>
      <c r="E21" s="332">
        <v>19</v>
      </c>
      <c r="F21" s="332">
        <v>23</v>
      </c>
      <c r="G21" s="520">
        <f t="shared" si="0"/>
        <v>0.82608695652173914</v>
      </c>
    </row>
    <row r="22" spans="1:19">
      <c r="A22" s="332"/>
      <c r="B22" s="495"/>
      <c r="C22" s="332">
        <v>10072472</v>
      </c>
      <c r="D22" s="493" t="s">
        <v>493</v>
      </c>
      <c r="E22" s="332">
        <v>16</v>
      </c>
      <c r="F22" s="332">
        <v>23</v>
      </c>
      <c r="G22" s="520">
        <f t="shared" si="0"/>
        <v>0.69565217391304346</v>
      </c>
    </row>
    <row r="23" spans="1:19">
      <c r="A23" s="332"/>
      <c r="B23" s="495"/>
      <c r="C23" s="332">
        <v>10072069</v>
      </c>
      <c r="D23" s="493" t="s">
        <v>512</v>
      </c>
      <c r="E23" s="332" t="s">
        <v>618</v>
      </c>
      <c r="F23" s="332" t="s">
        <v>618</v>
      </c>
      <c r="G23" s="520" t="str">
        <f t="shared" si="0"/>
        <v>-</v>
      </c>
      <c r="K23" s="664">
        <v>10070828</v>
      </c>
      <c r="L23" s="664" t="s">
        <v>105</v>
      </c>
      <c r="M23" s="664" t="s">
        <v>266</v>
      </c>
      <c r="N23" s="664" t="s">
        <v>106</v>
      </c>
      <c r="O23" s="664" t="s">
        <v>106</v>
      </c>
      <c r="P23" s="511">
        <f>SUM(P2:P18)</f>
        <v>543</v>
      </c>
      <c r="Q23" s="511">
        <f>SUM(Q2:Q18)</f>
        <v>690</v>
      </c>
      <c r="R23" s="579">
        <f>IFERROR(P23/Q23,"-")</f>
        <v>0.78695652173913044</v>
      </c>
      <c r="S23" s="500">
        <f>IF(R23="-","-",IF(R23&gt;=80%,100%,IF(R23&gt;=70%,80%,IF(R23&gt;=60%,60%,0%))))</f>
        <v>0.8</v>
      </c>
    </row>
    <row r="24" spans="1:19">
      <c r="A24" s="332"/>
      <c r="B24" s="495"/>
      <c r="C24" s="332">
        <v>10072097</v>
      </c>
      <c r="D24" s="493" t="s">
        <v>517</v>
      </c>
      <c r="E24" s="332">
        <v>19</v>
      </c>
      <c r="F24" s="332">
        <v>23</v>
      </c>
      <c r="G24" s="520">
        <f t="shared" si="0"/>
        <v>0.82608695652173914</v>
      </c>
    </row>
    <row r="25" spans="1:19">
      <c r="A25" s="332"/>
      <c r="B25" s="495"/>
      <c r="C25" s="332">
        <v>10072077</v>
      </c>
      <c r="D25" s="493" t="s">
        <v>521</v>
      </c>
      <c r="E25" s="332">
        <v>17</v>
      </c>
      <c r="F25" s="332">
        <v>23</v>
      </c>
      <c r="G25" s="520">
        <f t="shared" si="0"/>
        <v>0.73913043478260865</v>
      </c>
    </row>
    <row r="26" spans="1:19">
      <c r="A26" s="332"/>
      <c r="B26" s="495"/>
      <c r="C26" s="332">
        <v>10071617</v>
      </c>
      <c r="D26" s="493" t="s">
        <v>527</v>
      </c>
      <c r="E26" s="332">
        <v>17</v>
      </c>
      <c r="F26" s="332">
        <v>23</v>
      </c>
      <c r="G26" s="520">
        <f t="shared" si="0"/>
        <v>0.73913043478260865</v>
      </c>
    </row>
    <row r="27" spans="1:19">
      <c r="A27" s="332"/>
      <c r="B27" s="495"/>
      <c r="C27" s="332">
        <v>10072215</v>
      </c>
      <c r="D27" s="493" t="s">
        <v>528</v>
      </c>
      <c r="E27" s="332">
        <v>18</v>
      </c>
      <c r="F27" s="332">
        <v>23</v>
      </c>
      <c r="G27" s="520">
        <f t="shared" si="0"/>
        <v>0.78260869565217395</v>
      </c>
    </row>
    <row r="28" spans="1:19">
      <c r="A28" s="332"/>
      <c r="B28" s="495"/>
      <c r="C28" s="332">
        <v>10072213</v>
      </c>
      <c r="D28" s="493" t="s">
        <v>536</v>
      </c>
      <c r="E28" s="332">
        <v>18</v>
      </c>
      <c r="F28" s="332">
        <v>23</v>
      </c>
      <c r="G28" s="520">
        <f t="shared" si="0"/>
        <v>0.78260869565217395</v>
      </c>
    </row>
    <row r="29" spans="1:19">
      <c r="A29" s="332"/>
      <c r="B29" s="495"/>
      <c r="C29" s="332">
        <v>10071055</v>
      </c>
      <c r="D29" s="493" t="s">
        <v>550</v>
      </c>
      <c r="E29" s="332">
        <v>18</v>
      </c>
      <c r="F29" s="332">
        <v>23</v>
      </c>
      <c r="G29" s="520">
        <f t="shared" si="0"/>
        <v>0.78260869565217395</v>
      </c>
    </row>
    <row r="30" spans="1:19">
      <c r="A30" s="332"/>
      <c r="B30" s="495"/>
      <c r="C30" s="332">
        <v>10070996</v>
      </c>
      <c r="D30" s="493" t="s">
        <v>552</v>
      </c>
      <c r="E30" s="332">
        <v>17</v>
      </c>
      <c r="F30" s="332">
        <v>23</v>
      </c>
      <c r="G30" s="520">
        <f t="shared" si="0"/>
        <v>0.73913043478260865</v>
      </c>
    </row>
    <row r="31" spans="1:19">
      <c r="A31" s="332"/>
      <c r="B31" s="495"/>
      <c r="C31" s="332">
        <v>10071355</v>
      </c>
      <c r="D31" s="493" t="s">
        <v>120</v>
      </c>
      <c r="E31" s="332">
        <v>17</v>
      </c>
      <c r="F31" s="332">
        <v>23</v>
      </c>
      <c r="G31" s="520">
        <f t="shared" si="0"/>
        <v>0.73913043478260865</v>
      </c>
    </row>
    <row r="32" spans="1:19">
      <c r="A32" s="332"/>
      <c r="B32" s="495"/>
      <c r="C32" s="332">
        <v>10072007</v>
      </c>
      <c r="D32" s="493" t="s">
        <v>617</v>
      </c>
      <c r="E32" s="332">
        <v>16</v>
      </c>
      <c r="F32" s="332">
        <v>23</v>
      </c>
      <c r="G32" s="520">
        <f t="shared" si="0"/>
        <v>0.69565217391304346</v>
      </c>
    </row>
    <row r="33" spans="1:7">
      <c r="A33" s="332"/>
      <c r="B33" s="495"/>
      <c r="C33" s="332">
        <v>10072184</v>
      </c>
      <c r="D33" s="493" t="s">
        <v>558</v>
      </c>
      <c r="E33" s="332">
        <v>16</v>
      </c>
      <c r="F33" s="332">
        <v>23</v>
      </c>
      <c r="G33" s="520">
        <f t="shared" si="0"/>
        <v>0.69565217391304346</v>
      </c>
    </row>
  </sheetData>
  <mergeCells count="1">
    <mergeCell ref="W1:X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00B0F0"/>
  </sheetPr>
  <dimension ref="A1:XEL26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6" style="2" bestFit="1" customWidth="1"/>
    <col min="2" max="2" width="12.7109375" style="2" bestFit="1" customWidth="1"/>
    <col min="3" max="3" width="29.5703125" style="2" bestFit="1" customWidth="1"/>
    <col min="4" max="4" width="27.5703125" style="2" customWidth="1"/>
    <col min="5" max="5" width="25.28515625" style="2" customWidth="1"/>
    <col min="6" max="6" width="22.7109375" style="2" customWidth="1"/>
    <col min="7" max="7" width="30" style="2" customWidth="1"/>
    <col min="8" max="8" width="20.42578125" style="2" hidden="1" customWidth="1"/>
    <col min="9" max="9" width="10.85546875" style="4" hidden="1" customWidth="1"/>
    <col min="10" max="10" width="18.140625" style="2" hidden="1" customWidth="1"/>
    <col min="11" max="11" width="13.42578125" style="5" hidden="1" customWidth="1"/>
    <col min="12" max="12" width="12.7109375" style="2" bestFit="1" customWidth="1"/>
    <col min="13" max="13" width="9.140625" style="2" customWidth="1"/>
    <col min="14" max="14" width="12.28515625" bestFit="1" customWidth="1"/>
    <col min="15" max="15" width="17.140625" style="84" bestFit="1" customWidth="1"/>
    <col min="16" max="16" width="12.28515625" style="84" bestFit="1" customWidth="1"/>
    <col min="17" max="17" width="20.5703125" bestFit="1" customWidth="1"/>
    <col min="18" max="18" width="19.28515625" style="71" bestFit="1" customWidth="1"/>
    <col min="19" max="19" width="27.5703125" bestFit="1" customWidth="1"/>
    <col min="20" max="32" width="0" hidden="1" customWidth="1"/>
    <col min="33" max="33" width="8.140625" bestFit="1" customWidth="1"/>
    <col min="34" max="34" width="12.7109375" bestFit="1" customWidth="1"/>
    <col min="35" max="35" width="29.5703125" bestFit="1" customWidth="1"/>
    <col min="36" max="36" width="27.5703125" customWidth="1"/>
    <col min="37" max="37" width="25.28515625" customWidth="1"/>
    <col min="38" max="38" width="22.7109375" customWidth="1"/>
    <col min="39" max="39" width="30" customWidth="1"/>
    <col min="40" max="40" width="20.42578125" customWidth="1"/>
    <col min="41" max="41" width="7.5703125" style="84" bestFit="1" customWidth="1"/>
    <col min="42" max="42" width="9.140625" style="84"/>
    <col min="43" max="43" width="19.140625" style="84" bestFit="1" customWidth="1"/>
    <col min="45" max="45" width="4.42578125" hidden="1" customWidth="1"/>
    <col min="46" max="46" width="12.7109375" hidden="1" customWidth="1"/>
    <col min="47" max="47" width="29.5703125" hidden="1" customWidth="1"/>
    <col min="48" max="48" width="27.5703125" hidden="1" customWidth="1"/>
    <col min="49" max="49" width="25.28515625" hidden="1" customWidth="1"/>
    <col min="50" max="50" width="22.7109375" hidden="1" customWidth="1"/>
    <col min="51" max="51" width="30" hidden="1" customWidth="1"/>
    <col min="52" max="52" width="20.42578125" hidden="1" customWidth="1"/>
    <col min="53" max="53" width="35.5703125" hidden="1" customWidth="1"/>
    <col min="54" max="54" width="0" hidden="1" customWidth="1"/>
    <col min="55" max="55" width="10.28515625" hidden="1" customWidth="1"/>
    <col min="56" max="56" width="0" style="2" hidden="1" customWidth="1"/>
    <col min="57" max="57" width="12.5703125" hidden="1" customWidth="1"/>
    <col min="58" max="58" width="10.140625" hidden="1" customWidth="1"/>
    <col min="59" max="59" width="16.42578125" hidden="1" customWidth="1"/>
    <col min="60" max="60" width="18" hidden="1" customWidth="1"/>
    <col min="61" max="61" width="20.28515625" hidden="1" customWidth="1"/>
    <col min="62" max="62" width="26.140625" hidden="1" customWidth="1"/>
    <col min="63" max="63" width="22.140625" hidden="1" customWidth="1"/>
    <col min="64" max="64" width="21" hidden="1" customWidth="1"/>
    <col min="65" max="65" width="16.85546875" hidden="1" customWidth="1"/>
    <col min="66" max="66" width="8.140625" hidden="1" customWidth="1"/>
    <col min="67" max="67" width="24" hidden="1" customWidth="1"/>
    <col min="68" max="68" width="26.42578125" hidden="1" customWidth="1"/>
    <col min="69" max="69" width="32.140625" hidden="1" customWidth="1"/>
    <col min="70" max="83" width="0" hidden="1" customWidth="1"/>
    <col min="84" max="84" width="27.5703125" hidden="1" customWidth="1"/>
    <col min="86" max="86" width="9.28515625" bestFit="1" customWidth="1"/>
    <col min="87" max="87" width="22.140625" bestFit="1" customWidth="1"/>
    <col min="88" max="92" width="7" bestFit="1" customWidth="1"/>
    <col min="93" max="93" width="6" bestFit="1" customWidth="1"/>
    <col min="94" max="94" width="11.7109375" style="84" bestFit="1" customWidth="1"/>
    <col min="95" max="95" width="8.140625" bestFit="1" customWidth="1"/>
    <col min="99" max="99" width="7" bestFit="1" customWidth="1"/>
  </cols>
  <sheetData>
    <row r="1" spans="1:99" ht="17.100000000000001" customHeight="1">
      <c r="AG1" s="753" t="s">
        <v>619</v>
      </c>
      <c r="AH1" s="754"/>
      <c r="AI1" s="754"/>
      <c r="AJ1" s="754"/>
      <c r="AK1" s="754"/>
      <c r="AL1" s="754"/>
      <c r="AM1" s="754"/>
      <c r="AN1" s="754"/>
      <c r="AO1" s="755"/>
      <c r="AP1" s="755"/>
      <c r="AS1" s="750"/>
      <c r="AT1" s="751"/>
      <c r="AU1" s="751"/>
      <c r="AV1" s="751"/>
      <c r="AW1" s="751"/>
      <c r="AX1" s="751"/>
      <c r="AY1" s="751"/>
      <c r="AZ1" s="751"/>
      <c r="BA1" s="752"/>
      <c r="BD1"/>
      <c r="CH1" s="757" t="s">
        <v>32</v>
      </c>
      <c r="CI1" s="757"/>
      <c r="CJ1" s="273" t="s">
        <v>620</v>
      </c>
      <c r="CK1" s="273" t="s">
        <v>621</v>
      </c>
      <c r="CL1" s="273" t="s">
        <v>622</v>
      </c>
      <c r="CM1" s="273" t="s">
        <v>623</v>
      </c>
      <c r="CN1" s="273" t="s">
        <v>624</v>
      </c>
      <c r="CO1" s="274" t="s">
        <v>590</v>
      </c>
      <c r="CP1" s="274" t="s">
        <v>34</v>
      </c>
      <c r="CQ1" s="274" t="s">
        <v>625</v>
      </c>
      <c r="CU1" s="274" t="s">
        <v>34</v>
      </c>
    </row>
    <row r="2" spans="1:99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69</v>
      </c>
      <c r="H2" s="1" t="s">
        <v>70</v>
      </c>
      <c r="I2" s="6" t="s">
        <v>71</v>
      </c>
      <c r="J2" s="7" t="s">
        <v>72</v>
      </c>
      <c r="K2" s="12" t="s">
        <v>73</v>
      </c>
      <c r="L2" s="665" t="s">
        <v>626</v>
      </c>
      <c r="M2" s="665" t="s">
        <v>627</v>
      </c>
      <c r="N2" s="665" t="s">
        <v>628</v>
      </c>
      <c r="O2" s="85" t="s">
        <v>629</v>
      </c>
      <c r="P2" s="655" t="s">
        <v>360</v>
      </c>
      <c r="Q2" s="191" t="s">
        <v>630</v>
      </c>
      <c r="R2" s="72" t="s">
        <v>631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69</v>
      </c>
      <c r="AN2" s="1" t="s">
        <v>70</v>
      </c>
      <c r="AO2" s="158" t="s">
        <v>626</v>
      </c>
      <c r="AP2" s="158" t="s">
        <v>627</v>
      </c>
      <c r="AQ2" s="570" t="s">
        <v>632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69</v>
      </c>
      <c r="AZ2" s="1" t="s">
        <v>70</v>
      </c>
      <c r="BA2" s="18" t="s">
        <v>633</v>
      </c>
      <c r="BD2"/>
      <c r="CH2" s="644">
        <v>10071047</v>
      </c>
      <c r="CI2" s="644" t="s">
        <v>240</v>
      </c>
      <c r="CJ2" s="645">
        <v>9</v>
      </c>
      <c r="CK2" s="645">
        <v>15</v>
      </c>
      <c r="CL2" s="645">
        <v>22</v>
      </c>
      <c r="CM2" s="645">
        <v>10</v>
      </c>
      <c r="CN2" s="645">
        <v>5</v>
      </c>
      <c r="CO2" s="645">
        <v>61</v>
      </c>
      <c r="CP2" s="275">
        <v>63</v>
      </c>
      <c r="CQ2" s="646">
        <v>0.96830000000000005</v>
      </c>
      <c r="CU2" s="275"/>
    </row>
    <row r="3" spans="1:99">
      <c r="A3" s="664">
        <v>1</v>
      </c>
      <c r="B3" s="466">
        <f>AH3</f>
        <v>10071775</v>
      </c>
      <c r="C3" s="92" t="str">
        <f>IFERROR(VLOOKUP($B3,RESOURCES!$C:$L,MATCH('PRODUCTIVITY RAW'!C$2,RESOURCES!$C$3:$L$3,0),FALSE),"-")</f>
        <v>FABICON, JOHN GABRIEL T.</v>
      </c>
      <c r="D3" s="92" t="str">
        <f>IFERROR(VLOOKUP($B3,RESOURCES!$C:$L,MATCH('PRODUCTIVITY RAW'!D$2,RESOURCES!$C$3:$L$3,0),FALSE),"-")</f>
        <v>Web Designer</v>
      </c>
      <c r="E3" s="92" t="str">
        <f>IFERROR(VLOOKUP($B3,RESOURCES!$C:$L,MATCH('PRODUCTIVITY RAW'!E$2,RESOURCES!$C$3:$L$3,0),FALSE),"-")</f>
        <v>REYES, Arthur</v>
      </c>
      <c r="F3" s="92" t="str">
        <f>IFERROR(VLOOKUP($B3,RESOURCES!$C:$L,MATCH('PRODUCTIVITY RAW'!F$2,RESOURCES!$C$3:$L$3,0),FALSE),"-")</f>
        <v>MENDOZA, Carlo</v>
      </c>
      <c r="G3" s="92" t="str">
        <f>IFERROR(VLOOKUP($B3,RESOURCES!$C:$L,MATCH('PRODUCTIVITY RAW'!G$2,RESOURCES!$C$3:$L$3,0),FALSE),"-")</f>
        <v>MENDOZA, Carlo</v>
      </c>
      <c r="H3" s="92" t="str">
        <f>IFERROR(VLOOKUP($B3,RESOURCES!$C:$L,MATCH('PRODUCTIVITY RAW'!H$2,RESOURCES!$C$3:$L$3,0),FALSE),"-")</f>
        <v>Ventanilla, Mike</v>
      </c>
      <c r="I3" s="8"/>
      <c r="J3" s="8"/>
      <c r="K3" s="9" t="str">
        <f>IFERROR(VLOOKUP($B3,RESOURCES!$C:$L,MATCH('PRODUCTIVITY RAW'!K$2,RESOURCES!$C$3:$L$3,0),FALSE),"-")</f>
        <v>Expert</v>
      </c>
      <c r="L3" s="21">
        <f t="shared" ref="L3:L66" si="0">IFERROR(VLOOKUP($B3,$AH:$AO,8,FALSE),"-")</f>
        <v>132.15000000000003</v>
      </c>
      <c r="M3" s="21">
        <f t="shared" ref="M3:M66" si="1">IFERROR(VLOOKUP($B3,$AH:$AP,9,FALSE),"-")</f>
        <v>97.6</v>
      </c>
      <c r="N3" s="21">
        <f>IFERROR(M3/7.5,"-")</f>
        <v>13.013333333333332</v>
      </c>
      <c r="O3" s="86">
        <f>IFERROR(L3/N3,"-")</f>
        <v>10.154969262295086</v>
      </c>
      <c r="P3" s="86">
        <f>IFERROR(VLOOKUP($D3,KPI!$V:$AN,2,FALSE),"-")</f>
        <v>8</v>
      </c>
      <c r="Q3" s="32">
        <f>IFERROR(IF((L3/R3)&gt;1,1,L3/R3),"-")</f>
        <v>1</v>
      </c>
      <c r="R3" s="185">
        <f>IFERROR((P3*N3)-SUMIFS($AQ:$AQ,$AH:$AH,$B3),"-")</f>
        <v>102.30666666666666</v>
      </c>
      <c r="S3" s="89" t="str">
        <f>D3</f>
        <v>Web Designer</v>
      </c>
      <c r="AG3" s="664">
        <v>1</v>
      </c>
      <c r="AH3" s="664">
        <v>10071775</v>
      </c>
      <c r="AI3" s="664" t="s">
        <v>82</v>
      </c>
      <c r="AJ3" s="92" t="s">
        <v>83</v>
      </c>
      <c r="AK3" s="92" t="s">
        <v>84</v>
      </c>
      <c r="AL3" s="92" t="s">
        <v>85</v>
      </c>
      <c r="AM3" s="92" t="s">
        <v>85</v>
      </c>
      <c r="AN3" s="92" t="s">
        <v>86</v>
      </c>
      <c r="AO3" s="157">
        <v>132.15000000000003</v>
      </c>
      <c r="AP3" s="157">
        <v>97.6</v>
      </c>
      <c r="AQ3" s="571">
        <v>1.8</v>
      </c>
      <c r="AS3" s="664">
        <v>1</v>
      </c>
      <c r="AT3" s="664"/>
      <c r="AU3" s="664"/>
      <c r="AV3" s="92" t="str">
        <f>IFERROR(VLOOKUP($AT3,RESOURCES!$C:$L,MATCH('PRODUCTIVITY RAW'!AV$2,RESOURCES!$C$3:$L$3,0),FALSE),"-")</f>
        <v>-</v>
      </c>
      <c r="AW3" s="92" t="str">
        <f>IFERROR(VLOOKUP($AT3,RESOURCES!$C:$L,MATCH('PRODUCTIVITY RAW'!AW$2,RESOURCES!$C$3:$L$3,0),FALSE),"-")</f>
        <v>-</v>
      </c>
      <c r="AX3" s="92" t="str">
        <f>IFERROR(VLOOKUP($AT3,RESOURCES!$C:$L,MATCH('PRODUCTIVITY RAW'!AX$2,RESOURCES!$C$3:$L$3,0),FALSE),"-")</f>
        <v>-</v>
      </c>
      <c r="AY3" s="92" t="str">
        <f>IFERROR(VLOOKUP($AT3,RESOURCES!$C:$L,MATCH('PRODUCTIVITY RAW'!AY$2,RESOURCES!$C$3:$L$3,0),FALSE),"-")</f>
        <v>-</v>
      </c>
      <c r="AZ3" s="92" t="str">
        <f>IFERROR(VLOOKUP($AT3,RESOURCES!$C:$L,MATCH('PRODUCTIVITY RAW'!AZ$2,RESOURCES!$C$3:$L$3,0),FALSE),"-")</f>
        <v>-</v>
      </c>
      <c r="BA3" s="20"/>
      <c r="BD3"/>
      <c r="CH3" s="644">
        <v>10072023</v>
      </c>
      <c r="CI3" s="644" t="s">
        <v>246</v>
      </c>
      <c r="CJ3" s="645">
        <v>9</v>
      </c>
      <c r="CK3" s="645">
        <v>22</v>
      </c>
      <c r="CL3" s="645">
        <v>21</v>
      </c>
      <c r="CM3" s="645">
        <v>4</v>
      </c>
      <c r="CN3" s="645" t="s">
        <v>14</v>
      </c>
      <c r="CO3" s="645">
        <v>56</v>
      </c>
      <c r="CP3" s="275">
        <v>63</v>
      </c>
      <c r="CQ3" s="646">
        <v>0.88890000000000002</v>
      </c>
      <c r="CU3" s="275"/>
    </row>
    <row r="4" spans="1:99">
      <c r="A4" s="664">
        <f>A3+1</f>
        <v>2</v>
      </c>
      <c r="B4" s="466">
        <f t="shared" ref="B4:B67" si="2">AH4</f>
        <v>10072158</v>
      </c>
      <c r="C4" s="92" t="str">
        <f>IFERROR(VLOOKUP($B4,RESOURCES!$C:$L,MATCH('PRODUCTIVITY RAW'!C$2,RESOURCES!$C$3:$L$3,0),FALSE),"-")</f>
        <v>CONSTANTINO, DIANA ROSE C.</v>
      </c>
      <c r="D4" s="92" t="str">
        <f>IFERROR(VLOOKUP($B4,RESOURCES!$C:$L,MATCH('PRODUCTIVITY RAW'!D$2,RESOURCES!$C$3:$L$3,0),FALSE),"-")</f>
        <v>Web Designer</v>
      </c>
      <c r="E4" s="92" t="str">
        <f>IFERROR(VLOOKUP($B4,RESOURCES!$C:$L,MATCH('PRODUCTIVITY RAW'!E$2,RESOURCES!$C$3:$L$3,0),FALSE),"-")</f>
        <v>REYES, Arthur</v>
      </c>
      <c r="F4" s="92" t="str">
        <f>IFERROR(VLOOKUP($B4,RESOURCES!$C:$L,MATCH('PRODUCTIVITY RAW'!F$2,RESOURCES!$C$3:$L$3,0),FALSE),"-")</f>
        <v>MENDOZA, Carlo</v>
      </c>
      <c r="G4" s="92" t="str">
        <f>IFERROR(VLOOKUP($B4,RESOURCES!$C:$L,MATCH('PRODUCTIVITY RAW'!G$2,RESOURCES!$C$3:$L$3,0),FALSE),"-")</f>
        <v>MENDOZA, Carlo</v>
      </c>
      <c r="H4" s="92" t="str">
        <f>IFERROR(VLOOKUP($B4,RESOURCES!$C:$L,MATCH('PRODUCTIVITY RAW'!H$2,RESOURCES!$C$3:$L$3,0),FALSE),"-")</f>
        <v>Ventanilla, Mike</v>
      </c>
      <c r="I4" s="8"/>
      <c r="J4" s="8"/>
      <c r="K4" s="9" t="str">
        <f>IFERROR(VLOOKUP($B4,RESOURCES!$C:$L,MATCH('PRODUCTIVITY RAW'!K$2,RESOURCES!$C$3:$L$3,0),FALSE),"-")</f>
        <v>Expert</v>
      </c>
      <c r="L4" s="21">
        <f t="shared" si="0"/>
        <v>135.40000000000003</v>
      </c>
      <c r="M4" s="21">
        <f t="shared" si="1"/>
        <v>91.5</v>
      </c>
      <c r="N4" s="21">
        <f t="shared" ref="N4:N67" si="3">IFERROR(M4/7.5,"-")</f>
        <v>12.2</v>
      </c>
      <c r="O4" s="86">
        <f t="shared" ref="O4:O67" si="4">IFERROR(L4/N4,"-")</f>
        <v>11.098360655737709</v>
      </c>
      <c r="P4" s="86">
        <f>IFERROR(VLOOKUP($D4,KPI!$V:$AN,2,FALSE),"-")</f>
        <v>8</v>
      </c>
      <c r="Q4" s="32">
        <f t="shared" ref="Q4:Q67" si="5">IFERROR(IF((L4/R4)&gt;1,1,L4/R4),"-")</f>
        <v>1</v>
      </c>
      <c r="R4" s="185">
        <f t="shared" ref="R4:R67" si="6">IFERROR((P4*N4)-SUMIFS($AQ:$AQ,$AH:$AH,$B4),"-")</f>
        <v>97.6</v>
      </c>
      <c r="S4" s="89" t="str">
        <f t="shared" ref="S4:S67" si="7">D4</f>
        <v>Web Designer</v>
      </c>
      <c r="AG4" s="664">
        <v>2</v>
      </c>
      <c r="AH4" s="664">
        <v>10072158</v>
      </c>
      <c r="AI4" s="664" t="s">
        <v>89</v>
      </c>
      <c r="AJ4" s="92" t="s">
        <v>83</v>
      </c>
      <c r="AK4" s="92" t="s">
        <v>84</v>
      </c>
      <c r="AL4" s="92" t="s">
        <v>85</v>
      </c>
      <c r="AM4" s="92" t="s">
        <v>85</v>
      </c>
      <c r="AN4" s="92" t="s">
        <v>86</v>
      </c>
      <c r="AO4" s="157">
        <v>135.40000000000003</v>
      </c>
      <c r="AP4" s="157">
        <v>91.5</v>
      </c>
      <c r="AQ4" s="571">
        <v>0</v>
      </c>
      <c r="AS4" s="664">
        <f>AS3+1</f>
        <v>2</v>
      </c>
      <c r="AT4" s="664"/>
      <c r="AU4" s="664"/>
      <c r="AV4" s="92" t="str">
        <f>IFERROR(VLOOKUP($AT4,RESOURCES!$C:$L,MATCH('PRODUCTIVITY RAW'!AV$2,RESOURCES!$C$3:$L$3,0),FALSE),"-")</f>
        <v>-</v>
      </c>
      <c r="AW4" s="92" t="str">
        <f>IFERROR(VLOOKUP($AT4,RESOURCES!$C:$L,MATCH('PRODUCTIVITY RAW'!AW$2,RESOURCES!$C$3:$L$3,0),FALSE),"-")</f>
        <v>-</v>
      </c>
      <c r="AX4" s="92" t="str">
        <f>IFERROR(VLOOKUP($AT4,RESOURCES!$C:$L,MATCH('PRODUCTIVITY RAW'!AX$2,RESOURCES!$C$3:$L$3,0),FALSE),"-")</f>
        <v>-</v>
      </c>
      <c r="AY4" s="92" t="str">
        <f>IFERROR(VLOOKUP($AT4,RESOURCES!$C:$L,MATCH('PRODUCTIVITY RAW'!AY$2,RESOURCES!$C$3:$L$3,0),FALSE),"-")</f>
        <v>-</v>
      </c>
      <c r="AZ4" s="92" t="str">
        <f>IFERROR(VLOOKUP($AT4,RESOURCES!$C:$L,MATCH('PRODUCTIVITY RAW'!AZ$2,RESOURCES!$C$3:$L$3,0),FALSE),"-")</f>
        <v>-</v>
      </c>
      <c r="BA4" s="20"/>
      <c r="BD4"/>
      <c r="CH4" s="644">
        <v>10072592</v>
      </c>
      <c r="CI4" s="644" t="s">
        <v>247</v>
      </c>
      <c r="CJ4" s="645">
        <v>10</v>
      </c>
      <c r="CK4" s="645">
        <v>22</v>
      </c>
      <c r="CL4" s="645">
        <v>22</v>
      </c>
      <c r="CM4" s="645">
        <v>5</v>
      </c>
      <c r="CN4" s="645">
        <v>4</v>
      </c>
      <c r="CO4" s="645">
        <v>63</v>
      </c>
      <c r="CP4" s="275">
        <v>63</v>
      </c>
      <c r="CQ4" s="646">
        <v>1</v>
      </c>
      <c r="CU4" s="275"/>
    </row>
    <row r="5" spans="1:99">
      <c r="A5" s="664">
        <f t="shared" ref="A5:A68" si="8">A4+1</f>
        <v>3</v>
      </c>
      <c r="B5" s="466">
        <f t="shared" si="2"/>
        <v>10071899</v>
      </c>
      <c r="C5" s="92" t="str">
        <f>IFERROR(VLOOKUP($B5,RESOURCES!$C:$L,MATCH('PRODUCTIVITY RAW'!C$2,RESOURCES!$C$3:$L$3,0),FALSE),"-")</f>
        <v>CRUZ, MA.BETTINA M.</v>
      </c>
      <c r="D5" s="92" t="str">
        <f>IFERROR(VLOOKUP($B5,RESOURCES!$C:$L,MATCH('PRODUCTIVITY RAW'!D$2,RESOURCES!$C$3:$L$3,0),FALSE),"-")</f>
        <v>Web Designer</v>
      </c>
      <c r="E5" s="92" t="str">
        <f>IFERROR(VLOOKUP($B5,RESOURCES!$C:$L,MATCH('PRODUCTIVITY RAW'!E$2,RESOURCES!$C$3:$L$3,0),FALSE),"-")</f>
        <v>REYES, Arthur</v>
      </c>
      <c r="F5" s="92" t="str">
        <f>IFERROR(VLOOKUP($B5,RESOURCES!$C:$L,MATCH('PRODUCTIVITY RAW'!F$2,RESOURCES!$C$3:$L$3,0),FALSE),"-")</f>
        <v>MENDOZA, Carlo</v>
      </c>
      <c r="G5" s="92" t="str">
        <f>IFERROR(VLOOKUP($B5,RESOURCES!$C:$L,MATCH('PRODUCTIVITY RAW'!G$2,RESOURCES!$C$3:$L$3,0),FALSE),"-")</f>
        <v>MENDOZA, Carlo</v>
      </c>
      <c r="H5" s="92" t="str">
        <f>IFERROR(VLOOKUP($B5,RESOURCES!$C:$L,MATCH('PRODUCTIVITY RAW'!H$2,RESOURCES!$C$3:$L$3,0),FALSE),"-")</f>
        <v>Ventanilla, Mike</v>
      </c>
      <c r="I5" s="8"/>
      <c r="J5" s="8"/>
      <c r="K5" s="9" t="str">
        <f>IFERROR(VLOOKUP($B5,RESOURCES!$C:$L,MATCH('PRODUCTIVITY RAW'!K$2,RESOURCES!$C$3:$L$3,0),FALSE),"-")</f>
        <v>Expert</v>
      </c>
      <c r="L5" s="21">
        <f t="shared" si="0"/>
        <v>61.85</v>
      </c>
      <c r="M5" s="21">
        <f t="shared" si="1"/>
        <v>79.3</v>
      </c>
      <c r="N5" s="21">
        <f t="shared" si="3"/>
        <v>10.573333333333332</v>
      </c>
      <c r="O5" s="86">
        <f t="shared" si="4"/>
        <v>5.849621689785625</v>
      </c>
      <c r="P5" s="86">
        <f>IFERROR(VLOOKUP($D5,KPI!$V:$AN,2,FALSE),"-")</f>
        <v>8</v>
      </c>
      <c r="Q5" s="32">
        <f t="shared" si="5"/>
        <v>0.73995055032700596</v>
      </c>
      <c r="R5" s="185">
        <f t="shared" si="6"/>
        <v>83.586666666666659</v>
      </c>
      <c r="S5" s="89" t="str">
        <f t="shared" si="7"/>
        <v>Web Designer</v>
      </c>
      <c r="AG5" s="664">
        <v>3</v>
      </c>
      <c r="AH5" s="664">
        <v>10071899</v>
      </c>
      <c r="AI5" s="664" t="s">
        <v>92</v>
      </c>
      <c r="AJ5" s="92" t="s">
        <v>83</v>
      </c>
      <c r="AK5" s="92" t="s">
        <v>84</v>
      </c>
      <c r="AL5" s="92" t="s">
        <v>85</v>
      </c>
      <c r="AM5" s="92" t="s">
        <v>85</v>
      </c>
      <c r="AN5" s="92" t="s">
        <v>86</v>
      </c>
      <c r="AO5" s="157">
        <v>61.85</v>
      </c>
      <c r="AP5" s="157">
        <v>79.3</v>
      </c>
      <c r="AQ5" s="571">
        <v>1</v>
      </c>
      <c r="AS5" s="664">
        <f t="shared" ref="AS5:AS68" si="9">AS4+1</f>
        <v>3</v>
      </c>
      <c r="AT5" s="664"/>
      <c r="AU5" s="664"/>
      <c r="AV5" s="92" t="str">
        <f>IFERROR(VLOOKUP($AT5,RESOURCES!$C:$L,MATCH('PRODUCTIVITY RAW'!AV$2,RESOURCES!$C$3:$L$3,0),FALSE),"-")</f>
        <v>-</v>
      </c>
      <c r="AW5" s="92" t="str">
        <f>IFERROR(VLOOKUP($AT5,RESOURCES!$C:$L,MATCH('PRODUCTIVITY RAW'!AW$2,RESOURCES!$C$3:$L$3,0),FALSE),"-")</f>
        <v>-</v>
      </c>
      <c r="AX5" s="92" t="str">
        <f>IFERROR(VLOOKUP($AT5,RESOURCES!$C:$L,MATCH('PRODUCTIVITY RAW'!AX$2,RESOURCES!$C$3:$L$3,0),FALSE),"-")</f>
        <v>-</v>
      </c>
      <c r="AY5" s="92" t="str">
        <f>IFERROR(VLOOKUP($AT5,RESOURCES!$C:$L,MATCH('PRODUCTIVITY RAW'!AY$2,RESOURCES!$C$3:$L$3,0),FALSE),"-")</f>
        <v>-</v>
      </c>
      <c r="AZ5" s="92" t="str">
        <f>IFERROR(VLOOKUP($AT5,RESOURCES!$C:$L,MATCH('PRODUCTIVITY RAW'!AZ$2,RESOURCES!$C$3:$L$3,0),FALSE),"-")</f>
        <v>-</v>
      </c>
      <c r="BA5" s="20"/>
      <c r="BD5"/>
      <c r="CH5" s="644">
        <v>10071902</v>
      </c>
      <c r="CI5" s="644" t="s">
        <v>243</v>
      </c>
      <c r="CJ5" s="645">
        <v>11</v>
      </c>
      <c r="CK5" s="645">
        <v>20</v>
      </c>
      <c r="CL5" s="645">
        <v>30</v>
      </c>
      <c r="CM5" s="645">
        <v>4</v>
      </c>
      <c r="CN5" s="645" t="s">
        <v>14</v>
      </c>
      <c r="CO5" s="645">
        <v>65</v>
      </c>
      <c r="CP5" s="275">
        <v>63</v>
      </c>
      <c r="CQ5" s="646">
        <v>1.0317000000000001</v>
      </c>
      <c r="CU5" s="275"/>
    </row>
    <row r="6" spans="1:99">
      <c r="A6" s="664">
        <f t="shared" si="8"/>
        <v>4</v>
      </c>
      <c r="B6" s="466">
        <f t="shared" si="2"/>
        <v>10071594</v>
      </c>
      <c r="C6" s="92" t="str">
        <f>IFERROR(VLOOKUP($B6,RESOURCES!$C:$L,MATCH('PRODUCTIVITY RAW'!C$2,RESOURCES!$C$3:$L$3,0),FALSE),"-")</f>
        <v>DICTADO, FRANCISMEL M.</v>
      </c>
      <c r="D6" s="92" t="str">
        <f>IFERROR(VLOOKUP($B6,RESOURCES!$C:$L,MATCH('PRODUCTIVITY RAW'!D$2,RESOURCES!$C$3:$L$3,0),FALSE),"-")</f>
        <v>Web Designer</v>
      </c>
      <c r="E6" s="92" t="str">
        <f>IFERROR(VLOOKUP($B6,RESOURCES!$C:$L,MATCH('PRODUCTIVITY RAW'!E$2,RESOURCES!$C$3:$L$3,0),FALSE),"-")</f>
        <v>REYES, Arthur</v>
      </c>
      <c r="F6" s="92" t="str">
        <f>IFERROR(VLOOKUP($B6,RESOURCES!$C:$L,MATCH('PRODUCTIVITY RAW'!F$2,RESOURCES!$C$3:$L$3,0),FALSE),"-")</f>
        <v>MENDOZA, Carlo</v>
      </c>
      <c r="G6" s="92" t="str">
        <f>IFERROR(VLOOKUP($B6,RESOURCES!$C:$L,MATCH('PRODUCTIVITY RAW'!G$2,RESOURCES!$C$3:$L$3,0),FALSE),"-")</f>
        <v>MENDOZA, Carlo</v>
      </c>
      <c r="H6" s="92" t="str">
        <f>IFERROR(VLOOKUP($B6,RESOURCES!$C:$L,MATCH('PRODUCTIVITY RAW'!H$2,RESOURCES!$C$3:$L$3,0),FALSE),"-")</f>
        <v>Ventanilla, Mike</v>
      </c>
      <c r="I6" s="8"/>
      <c r="J6" s="8"/>
      <c r="K6" s="9" t="str">
        <f>IFERROR(VLOOKUP($B6,RESOURCES!$C:$L,MATCH('PRODUCTIVITY RAW'!K$2,RESOURCES!$C$3:$L$3,0),FALSE),"-")</f>
        <v>Expert</v>
      </c>
      <c r="L6" s="21">
        <f t="shared" si="0"/>
        <v>108.80000000000005</v>
      </c>
      <c r="M6" s="21">
        <f t="shared" si="1"/>
        <v>103.69999999999999</v>
      </c>
      <c r="N6" s="21">
        <f t="shared" si="3"/>
        <v>13.826666666666664</v>
      </c>
      <c r="O6" s="86">
        <f t="shared" si="4"/>
        <v>7.8688524590163986</v>
      </c>
      <c r="P6" s="86">
        <f>IFERROR(VLOOKUP($D6,KPI!$V:$AN,2,FALSE),"-")</f>
        <v>8</v>
      </c>
      <c r="Q6" s="32">
        <f t="shared" si="5"/>
        <v>0.98360655737704983</v>
      </c>
      <c r="R6" s="185">
        <f t="shared" si="6"/>
        <v>110.61333333333332</v>
      </c>
      <c r="S6" s="89" t="str">
        <f t="shared" si="7"/>
        <v>Web Designer</v>
      </c>
      <c r="AG6" s="664">
        <v>4</v>
      </c>
      <c r="AH6" s="664">
        <v>10071594</v>
      </c>
      <c r="AI6" s="664" t="s">
        <v>93</v>
      </c>
      <c r="AJ6" s="92" t="s">
        <v>83</v>
      </c>
      <c r="AK6" s="92" t="s">
        <v>84</v>
      </c>
      <c r="AL6" s="92" t="s">
        <v>85</v>
      </c>
      <c r="AM6" s="92" t="s">
        <v>85</v>
      </c>
      <c r="AN6" s="92" t="s">
        <v>86</v>
      </c>
      <c r="AO6" s="157">
        <v>108.80000000000005</v>
      </c>
      <c r="AP6" s="157">
        <v>103.69999999999999</v>
      </c>
      <c r="AQ6" s="571">
        <v>0</v>
      </c>
      <c r="AS6" s="664">
        <f t="shared" si="9"/>
        <v>4</v>
      </c>
      <c r="AT6" s="664"/>
      <c r="AU6" s="664"/>
      <c r="AV6" s="92" t="str">
        <f>IFERROR(VLOOKUP($AT6,RESOURCES!$C:$L,MATCH('PRODUCTIVITY RAW'!AV$2,RESOURCES!$C$3:$L$3,0),FALSE),"-")</f>
        <v>-</v>
      </c>
      <c r="AW6" s="92" t="str">
        <f>IFERROR(VLOOKUP($AT6,RESOURCES!$C:$L,MATCH('PRODUCTIVITY RAW'!AW$2,RESOURCES!$C$3:$L$3,0),FALSE),"-")</f>
        <v>-</v>
      </c>
      <c r="AX6" s="92" t="str">
        <f>IFERROR(VLOOKUP($AT6,RESOURCES!$C:$L,MATCH('PRODUCTIVITY RAW'!AX$2,RESOURCES!$C$3:$L$3,0),FALSE),"-")</f>
        <v>-</v>
      </c>
      <c r="AY6" s="92" t="str">
        <f>IFERROR(VLOOKUP($AT6,RESOURCES!$C:$L,MATCH('PRODUCTIVITY RAW'!AY$2,RESOURCES!$C$3:$L$3,0),FALSE),"-")</f>
        <v>-</v>
      </c>
      <c r="AZ6" s="92" t="str">
        <f>IFERROR(VLOOKUP($AT6,RESOURCES!$C:$L,MATCH('PRODUCTIVITY RAW'!AZ$2,RESOURCES!$C$3:$L$3,0),FALSE),"-")</f>
        <v>-</v>
      </c>
      <c r="BA6" s="20"/>
      <c r="BD6"/>
      <c r="CH6" s="644">
        <v>10071190</v>
      </c>
      <c r="CI6" s="644" t="s">
        <v>242</v>
      </c>
      <c r="CJ6" s="645">
        <v>8</v>
      </c>
      <c r="CK6" s="645">
        <v>16</v>
      </c>
      <c r="CL6" s="645" t="s">
        <v>14</v>
      </c>
      <c r="CM6" s="645">
        <v>9</v>
      </c>
      <c r="CN6" s="645">
        <v>5</v>
      </c>
      <c r="CO6" s="645">
        <v>38</v>
      </c>
      <c r="CP6" s="647">
        <v>45</v>
      </c>
      <c r="CQ6" s="646">
        <v>0.84440000000000004</v>
      </c>
      <c r="CU6" s="275"/>
    </row>
    <row r="7" spans="1:99">
      <c r="A7" s="664">
        <f t="shared" si="8"/>
        <v>5</v>
      </c>
      <c r="B7" s="466">
        <f t="shared" si="2"/>
        <v>10071592</v>
      </c>
      <c r="C7" s="92" t="str">
        <f>IFERROR(VLOOKUP($B7,RESOURCES!$C:$L,MATCH('PRODUCTIVITY RAW'!C$2,RESOURCES!$C$3:$L$3,0),FALSE),"-")</f>
        <v>MACALALAD, ANGELICA A.</v>
      </c>
      <c r="D7" s="92" t="str">
        <f>IFERROR(VLOOKUP($B7,RESOURCES!$C:$L,MATCH('PRODUCTIVITY RAW'!D$2,RESOURCES!$C$3:$L$3,0),FALSE),"-")</f>
        <v>Web Designer</v>
      </c>
      <c r="E7" s="92" t="str">
        <f>IFERROR(VLOOKUP($B7,RESOURCES!$C:$L,MATCH('PRODUCTIVITY RAW'!E$2,RESOURCES!$C$3:$L$3,0),FALSE),"-")</f>
        <v>REYES, Arthur</v>
      </c>
      <c r="F7" s="92" t="str">
        <f>IFERROR(VLOOKUP($B7,RESOURCES!$C:$L,MATCH('PRODUCTIVITY RAW'!F$2,RESOURCES!$C$3:$L$3,0),FALSE),"-")</f>
        <v>MENDOZA, Carlo</v>
      </c>
      <c r="G7" s="92" t="str">
        <f>IFERROR(VLOOKUP($B7,RESOURCES!$C:$L,MATCH('PRODUCTIVITY RAW'!G$2,RESOURCES!$C$3:$L$3,0),FALSE),"-")</f>
        <v>MENDOZA, Carlo</v>
      </c>
      <c r="H7" s="92" t="str">
        <f>IFERROR(VLOOKUP($B7,RESOURCES!$C:$L,MATCH('PRODUCTIVITY RAW'!H$2,RESOURCES!$C$3:$L$3,0),FALSE),"-")</f>
        <v>Ventanilla, Mike</v>
      </c>
      <c r="I7" s="8"/>
      <c r="J7" s="8"/>
      <c r="K7" s="9" t="str">
        <f>IFERROR(VLOOKUP($B7,RESOURCES!$C:$L,MATCH('PRODUCTIVITY RAW'!K$2,RESOURCES!$C$3:$L$3,0),FALSE),"-")</f>
        <v>Expert</v>
      </c>
      <c r="L7" s="21">
        <f t="shared" si="0"/>
        <v>208.34</v>
      </c>
      <c r="M7" s="21">
        <f t="shared" si="1"/>
        <v>109.8</v>
      </c>
      <c r="N7" s="21">
        <f t="shared" si="3"/>
        <v>14.639999999999999</v>
      </c>
      <c r="O7" s="86">
        <f t="shared" si="4"/>
        <v>14.230874316939891</v>
      </c>
      <c r="P7" s="86">
        <f>IFERROR(VLOOKUP($D7,KPI!$V:$AN,2,FALSE),"-")</f>
        <v>8</v>
      </c>
      <c r="Q7" s="32">
        <f t="shared" si="5"/>
        <v>1</v>
      </c>
      <c r="R7" s="185">
        <f t="shared" si="6"/>
        <v>116.11999999999999</v>
      </c>
      <c r="S7" s="89" t="str">
        <f t="shared" si="7"/>
        <v>Web Designer</v>
      </c>
      <c r="AG7" s="664">
        <v>5</v>
      </c>
      <c r="AH7" s="664">
        <v>10071592</v>
      </c>
      <c r="AI7" s="664" t="s">
        <v>94</v>
      </c>
      <c r="AJ7" s="92" t="s">
        <v>83</v>
      </c>
      <c r="AK7" s="92" t="s">
        <v>84</v>
      </c>
      <c r="AL7" s="92" t="s">
        <v>85</v>
      </c>
      <c r="AM7" s="92" t="s">
        <v>85</v>
      </c>
      <c r="AN7" s="92" t="s">
        <v>86</v>
      </c>
      <c r="AO7" s="157">
        <v>208.34</v>
      </c>
      <c r="AP7" s="157">
        <v>109.8</v>
      </c>
      <c r="AQ7" s="571">
        <v>1</v>
      </c>
      <c r="AS7" s="664">
        <f t="shared" si="9"/>
        <v>5</v>
      </c>
      <c r="AT7" s="664"/>
      <c r="AU7" s="664"/>
      <c r="AV7" s="92" t="str">
        <f>IFERROR(VLOOKUP($AT7,RESOURCES!$C:$L,MATCH('PRODUCTIVITY RAW'!AV$2,RESOURCES!$C$3:$L$3,0),FALSE),"-")</f>
        <v>-</v>
      </c>
      <c r="AW7" s="92" t="str">
        <f>IFERROR(VLOOKUP($AT7,RESOURCES!$C:$L,MATCH('PRODUCTIVITY RAW'!AW$2,RESOURCES!$C$3:$L$3,0),FALSE),"-")</f>
        <v>-</v>
      </c>
      <c r="AX7" s="92" t="str">
        <f>IFERROR(VLOOKUP($AT7,RESOURCES!$C:$L,MATCH('PRODUCTIVITY RAW'!AX$2,RESOURCES!$C$3:$L$3,0),FALSE),"-")</f>
        <v>-</v>
      </c>
      <c r="AY7" s="92" t="str">
        <f>IFERROR(VLOOKUP($AT7,RESOURCES!$C:$L,MATCH('PRODUCTIVITY RAW'!AY$2,RESOURCES!$C$3:$L$3,0),FALSE),"-")</f>
        <v>-</v>
      </c>
      <c r="AZ7" s="92" t="str">
        <f>IFERROR(VLOOKUP($AT7,RESOURCES!$C:$L,MATCH('PRODUCTIVITY RAW'!AZ$2,RESOURCES!$C$3:$L$3,0),FALSE),"-")</f>
        <v>-</v>
      </c>
      <c r="BA7" s="20"/>
      <c r="BD7"/>
      <c r="CH7" s="644">
        <v>10072441</v>
      </c>
      <c r="CI7" s="644" t="s">
        <v>250</v>
      </c>
      <c r="CJ7" s="645">
        <v>9</v>
      </c>
      <c r="CK7" s="645">
        <v>14</v>
      </c>
      <c r="CL7" s="645" t="s">
        <v>14</v>
      </c>
      <c r="CM7" s="645">
        <v>5</v>
      </c>
      <c r="CN7" s="645" t="s">
        <v>14</v>
      </c>
      <c r="CO7" s="645">
        <v>28</v>
      </c>
      <c r="CP7" s="647">
        <v>45</v>
      </c>
      <c r="CQ7" s="646">
        <v>0.62219999999999998</v>
      </c>
      <c r="CU7" s="275"/>
    </row>
    <row r="8" spans="1:99">
      <c r="A8" s="664">
        <f t="shared" si="8"/>
        <v>6</v>
      </c>
      <c r="B8" s="466">
        <f t="shared" si="2"/>
        <v>10072228</v>
      </c>
      <c r="C8" s="92" t="str">
        <f>IFERROR(VLOOKUP($B8,RESOURCES!$C:$L,MATCH('PRODUCTIVITY RAW'!C$2,RESOURCES!$C$3:$L$3,0),FALSE),"-")</f>
        <v>MALIMBAN, ANICA JAHNA B.</v>
      </c>
      <c r="D8" s="92" t="str">
        <f>IFERROR(VLOOKUP($B8,RESOURCES!$C:$L,MATCH('PRODUCTIVITY RAW'!D$2,RESOURCES!$C$3:$L$3,0),FALSE),"-")</f>
        <v>Web Designer</v>
      </c>
      <c r="E8" s="92" t="str">
        <f>IFERROR(VLOOKUP($B8,RESOURCES!$C:$L,MATCH('PRODUCTIVITY RAW'!E$2,RESOURCES!$C$3:$L$3,0),FALSE),"-")</f>
        <v>REYES, Arthur</v>
      </c>
      <c r="F8" s="92" t="str">
        <f>IFERROR(VLOOKUP($B8,RESOURCES!$C:$L,MATCH('PRODUCTIVITY RAW'!F$2,RESOURCES!$C$3:$L$3,0),FALSE),"-")</f>
        <v>MENDOZA, Carlo</v>
      </c>
      <c r="G8" s="92" t="str">
        <f>IFERROR(VLOOKUP($B8,RESOURCES!$C:$L,MATCH('PRODUCTIVITY RAW'!G$2,RESOURCES!$C$3:$L$3,0),FALSE),"-")</f>
        <v>MENDOZA, Carlo</v>
      </c>
      <c r="H8" s="92" t="str">
        <f>IFERROR(VLOOKUP($B8,RESOURCES!$C:$L,MATCH('PRODUCTIVITY RAW'!H$2,RESOURCES!$C$3:$L$3,0),FALSE),"-")</f>
        <v>Ventanilla, Mike</v>
      </c>
      <c r="I8" s="8"/>
      <c r="J8" s="8"/>
      <c r="K8" s="9" t="str">
        <f>IFERROR(VLOOKUP($B8,RESOURCES!$C:$L,MATCH('PRODUCTIVITY RAW'!K$2,RESOURCES!$C$3:$L$3,0),FALSE),"-")</f>
        <v>Expert</v>
      </c>
      <c r="L8" s="21">
        <f t="shared" si="0"/>
        <v>85.800000000000011</v>
      </c>
      <c r="M8" s="21">
        <f t="shared" si="1"/>
        <v>91.5</v>
      </c>
      <c r="N8" s="21">
        <f t="shared" si="3"/>
        <v>12.2</v>
      </c>
      <c r="O8" s="86">
        <f t="shared" si="4"/>
        <v>7.032786885245903</v>
      </c>
      <c r="P8" s="86">
        <f>IFERROR(VLOOKUP($D8,KPI!$V:$AN,2,FALSE),"-")</f>
        <v>8</v>
      </c>
      <c r="Q8" s="32">
        <f t="shared" si="5"/>
        <v>0.88819875776397528</v>
      </c>
      <c r="R8" s="185">
        <f t="shared" si="6"/>
        <v>96.6</v>
      </c>
      <c r="S8" s="89" t="str">
        <f t="shared" si="7"/>
        <v>Web Designer</v>
      </c>
      <c r="AG8" s="664">
        <v>6</v>
      </c>
      <c r="AH8" s="664">
        <v>10072228</v>
      </c>
      <c r="AI8" s="664" t="s">
        <v>95</v>
      </c>
      <c r="AJ8" s="92" t="s">
        <v>83</v>
      </c>
      <c r="AK8" s="92" t="s">
        <v>84</v>
      </c>
      <c r="AL8" s="92" t="s">
        <v>85</v>
      </c>
      <c r="AM8" s="92" t="s">
        <v>85</v>
      </c>
      <c r="AN8" s="92" t="s">
        <v>86</v>
      </c>
      <c r="AO8" s="157">
        <v>85.800000000000011</v>
      </c>
      <c r="AP8" s="157">
        <v>91.5</v>
      </c>
      <c r="AQ8" s="571">
        <v>1</v>
      </c>
      <c r="AS8" s="664">
        <f t="shared" si="9"/>
        <v>6</v>
      </c>
      <c r="AT8" s="664"/>
      <c r="AU8" s="664"/>
      <c r="AV8" s="92" t="str">
        <f>IFERROR(VLOOKUP($AT8,RESOURCES!$C:$L,MATCH('PRODUCTIVITY RAW'!AV$2,RESOURCES!$C$3:$L$3,0),FALSE),"-")</f>
        <v>-</v>
      </c>
      <c r="AW8" s="92" t="str">
        <f>IFERROR(VLOOKUP($AT8,RESOURCES!$C:$L,MATCH('PRODUCTIVITY RAW'!AW$2,RESOURCES!$C$3:$L$3,0),FALSE),"-")</f>
        <v>-</v>
      </c>
      <c r="AX8" s="92" t="str">
        <f>IFERROR(VLOOKUP($AT8,RESOURCES!$C:$L,MATCH('PRODUCTIVITY RAW'!AX$2,RESOURCES!$C$3:$L$3,0),FALSE),"-")</f>
        <v>-</v>
      </c>
      <c r="AY8" s="92" t="str">
        <f>IFERROR(VLOOKUP($AT8,RESOURCES!$C:$L,MATCH('PRODUCTIVITY RAW'!AY$2,RESOURCES!$C$3:$L$3,0),FALSE),"-")</f>
        <v>-</v>
      </c>
      <c r="AZ8" s="92" t="str">
        <f>IFERROR(VLOOKUP($AT8,RESOURCES!$C:$L,MATCH('PRODUCTIVITY RAW'!AZ$2,RESOURCES!$C$3:$L$3,0),FALSE),"-")</f>
        <v>-</v>
      </c>
      <c r="BA8" s="20"/>
      <c r="BD8"/>
      <c r="CH8" s="644">
        <v>10072604</v>
      </c>
      <c r="CI8" s="644" t="s">
        <v>248</v>
      </c>
      <c r="CJ8" s="645" t="s">
        <v>14</v>
      </c>
      <c r="CK8" s="645">
        <v>16</v>
      </c>
      <c r="CL8" s="645">
        <v>17</v>
      </c>
      <c r="CM8" s="645">
        <v>4</v>
      </c>
      <c r="CN8" s="645">
        <v>5</v>
      </c>
      <c r="CO8" s="645">
        <v>42</v>
      </c>
      <c r="CP8" s="647">
        <v>45</v>
      </c>
      <c r="CQ8" s="646">
        <v>0.93330000000000002</v>
      </c>
      <c r="CU8" s="275"/>
    </row>
    <row r="9" spans="1:99">
      <c r="A9" s="664">
        <f t="shared" si="8"/>
        <v>7</v>
      </c>
      <c r="B9" s="466">
        <f t="shared" si="2"/>
        <v>10072161</v>
      </c>
      <c r="C9" s="92" t="str">
        <f>IFERROR(VLOOKUP($B9,RESOURCES!$C:$L,MATCH('PRODUCTIVITY RAW'!C$2,RESOURCES!$C$3:$L$3,0),FALSE),"-")</f>
        <v>MEDRANO, ROUSELLE</v>
      </c>
      <c r="D9" s="92" t="str">
        <f>IFERROR(VLOOKUP($B9,RESOURCES!$C:$L,MATCH('PRODUCTIVITY RAW'!D$2,RESOURCES!$C$3:$L$3,0),FALSE),"-")</f>
        <v>Web Designer</v>
      </c>
      <c r="E9" s="92" t="str">
        <f>IFERROR(VLOOKUP($B9,RESOURCES!$C:$L,MATCH('PRODUCTIVITY RAW'!E$2,RESOURCES!$C$3:$L$3,0),FALSE),"-")</f>
        <v>REYES, Arthur</v>
      </c>
      <c r="F9" s="92" t="str">
        <f>IFERROR(VLOOKUP($B9,RESOURCES!$C:$L,MATCH('PRODUCTIVITY RAW'!F$2,RESOURCES!$C$3:$L$3,0),FALSE),"-")</f>
        <v>MENDOZA, Carlo</v>
      </c>
      <c r="G9" s="92" t="str">
        <f>IFERROR(VLOOKUP($B9,RESOURCES!$C:$L,MATCH('PRODUCTIVITY RAW'!G$2,RESOURCES!$C$3:$L$3,0),FALSE),"-")</f>
        <v>MENDOZA, Carlo</v>
      </c>
      <c r="H9" s="92" t="str">
        <f>IFERROR(VLOOKUP($B9,RESOURCES!$C:$L,MATCH('PRODUCTIVITY RAW'!H$2,RESOURCES!$C$3:$L$3,0),FALSE),"-")</f>
        <v>Ventanilla, Mike</v>
      </c>
      <c r="I9" s="8"/>
      <c r="J9" s="8"/>
      <c r="K9" s="9" t="str">
        <f>IFERROR(VLOOKUP($B9,RESOURCES!$C:$L,MATCH('PRODUCTIVITY RAW'!K$2,RESOURCES!$C$3:$L$3,0),FALSE),"-")</f>
        <v>Expert</v>
      </c>
      <c r="L9" s="21" t="str">
        <f t="shared" si="0"/>
        <v>-</v>
      </c>
      <c r="M9" s="21">
        <f t="shared" si="1"/>
        <v>0</v>
      </c>
      <c r="N9" s="21">
        <f t="shared" si="3"/>
        <v>0</v>
      </c>
      <c r="O9" s="86" t="str">
        <f t="shared" si="4"/>
        <v>-</v>
      </c>
      <c r="P9" s="86">
        <f>IFERROR(VLOOKUP($D9,KPI!$V:$AN,2,FALSE),"-")</f>
        <v>8</v>
      </c>
      <c r="Q9" s="32" t="str">
        <f t="shared" si="5"/>
        <v>-</v>
      </c>
      <c r="R9" s="185">
        <f t="shared" si="6"/>
        <v>0</v>
      </c>
      <c r="S9" s="89" t="str">
        <f t="shared" si="7"/>
        <v>Web Designer</v>
      </c>
      <c r="AG9" s="664">
        <v>7</v>
      </c>
      <c r="AH9" s="664">
        <v>10072161</v>
      </c>
      <c r="AI9" s="664" t="s">
        <v>96</v>
      </c>
      <c r="AJ9" s="92" t="s">
        <v>83</v>
      </c>
      <c r="AK9" s="92" t="s">
        <v>84</v>
      </c>
      <c r="AL9" s="92" t="s">
        <v>85</v>
      </c>
      <c r="AM9" s="92" t="s">
        <v>85</v>
      </c>
      <c r="AN9" s="92" t="s">
        <v>86</v>
      </c>
      <c r="AO9" s="157" t="s">
        <v>14</v>
      </c>
      <c r="AP9" s="157">
        <v>0</v>
      </c>
      <c r="AQ9" s="571">
        <v>0</v>
      </c>
      <c r="AS9" s="664">
        <f t="shared" si="9"/>
        <v>7</v>
      </c>
      <c r="AT9" s="664"/>
      <c r="AU9" s="664"/>
      <c r="AV9" s="92" t="str">
        <f>IFERROR(VLOOKUP($AT9,RESOURCES!$C:$L,MATCH('PRODUCTIVITY RAW'!AV$2,RESOURCES!$C$3:$L$3,0),FALSE),"-")</f>
        <v>-</v>
      </c>
      <c r="AW9" s="92" t="str">
        <f>IFERROR(VLOOKUP($AT9,RESOURCES!$C:$L,MATCH('PRODUCTIVITY RAW'!AW$2,RESOURCES!$C$3:$L$3,0),FALSE),"-")</f>
        <v>-</v>
      </c>
      <c r="AX9" s="92" t="str">
        <f>IFERROR(VLOOKUP($AT9,RESOURCES!$C:$L,MATCH('PRODUCTIVITY RAW'!AX$2,RESOURCES!$C$3:$L$3,0),FALSE),"-")</f>
        <v>-</v>
      </c>
      <c r="AY9" s="92" t="str">
        <f>IFERROR(VLOOKUP($AT9,RESOURCES!$C:$L,MATCH('PRODUCTIVITY RAW'!AY$2,RESOURCES!$C$3:$L$3,0),FALSE),"-")</f>
        <v>-</v>
      </c>
      <c r="AZ9" s="92" t="str">
        <f>IFERROR(VLOOKUP($AT9,RESOURCES!$C:$L,MATCH('PRODUCTIVITY RAW'!AZ$2,RESOURCES!$C$3:$L$3,0),FALSE),"-")</f>
        <v>-</v>
      </c>
      <c r="BA9" s="20"/>
      <c r="BD9"/>
      <c r="CH9" s="644">
        <v>10072203</v>
      </c>
      <c r="CI9" s="644" t="s">
        <v>251</v>
      </c>
      <c r="CJ9" s="645">
        <v>8</v>
      </c>
      <c r="CK9" s="645">
        <v>12</v>
      </c>
      <c r="CL9" s="645">
        <v>16</v>
      </c>
      <c r="CM9" s="645">
        <v>15</v>
      </c>
      <c r="CN9" s="645" t="s">
        <v>14</v>
      </c>
      <c r="CO9" s="645">
        <v>51</v>
      </c>
      <c r="CP9" s="275">
        <v>63</v>
      </c>
      <c r="CQ9" s="646">
        <v>0.8095</v>
      </c>
      <c r="CU9" s="275"/>
    </row>
    <row r="10" spans="1:99">
      <c r="A10" s="664">
        <f t="shared" si="8"/>
        <v>8</v>
      </c>
      <c r="B10" s="466">
        <f t="shared" si="2"/>
        <v>10071147</v>
      </c>
      <c r="C10" s="92" t="str">
        <f>IFERROR(VLOOKUP($B10,RESOURCES!$C:$L,MATCH('PRODUCTIVITY RAW'!C$2,RESOURCES!$C$3:$L$3,0),FALSE),"-")</f>
        <v>MORADA, JEROME F.</v>
      </c>
      <c r="D10" s="92" t="str">
        <f>IFERROR(VLOOKUP($B10,RESOURCES!$C:$L,MATCH('PRODUCTIVITY RAW'!D$2,RESOURCES!$C$3:$L$3,0),FALSE),"-")</f>
        <v>Web Designer</v>
      </c>
      <c r="E10" s="92" t="str">
        <f>IFERROR(VLOOKUP($B10,RESOURCES!$C:$L,MATCH('PRODUCTIVITY RAW'!E$2,RESOURCES!$C$3:$L$3,0),FALSE),"-")</f>
        <v>REYES, Arthur</v>
      </c>
      <c r="F10" s="92" t="str">
        <f>IFERROR(VLOOKUP($B10,RESOURCES!$C:$L,MATCH('PRODUCTIVITY RAW'!F$2,RESOURCES!$C$3:$L$3,0),FALSE),"-")</f>
        <v>MENDOZA, Carlo</v>
      </c>
      <c r="G10" s="92" t="str">
        <f>IFERROR(VLOOKUP($B10,RESOURCES!$C:$L,MATCH('PRODUCTIVITY RAW'!G$2,RESOURCES!$C$3:$L$3,0),FALSE),"-")</f>
        <v>MENDOZA, Carlo</v>
      </c>
      <c r="H10" s="92" t="str">
        <f>IFERROR(VLOOKUP($B10,RESOURCES!$C:$L,MATCH('PRODUCTIVITY RAW'!H$2,RESOURCES!$C$3:$L$3,0),FALSE),"-")</f>
        <v>Ventanilla, Mike</v>
      </c>
      <c r="I10" s="8"/>
      <c r="J10" s="8"/>
      <c r="K10" s="9" t="str">
        <f>IFERROR(VLOOKUP($B10,RESOURCES!$C:$L,MATCH('PRODUCTIVITY RAW'!K$2,RESOURCES!$C$3:$L$3,0),FALSE),"-")</f>
        <v>Expert</v>
      </c>
      <c r="L10" s="21">
        <f t="shared" si="0"/>
        <v>72.900000000000006</v>
      </c>
      <c r="M10" s="21">
        <f t="shared" si="1"/>
        <v>105</v>
      </c>
      <c r="N10" s="21">
        <f t="shared" si="3"/>
        <v>14</v>
      </c>
      <c r="O10" s="86">
        <f t="shared" si="4"/>
        <v>5.2071428571428573</v>
      </c>
      <c r="P10" s="86">
        <f>IFERROR(VLOOKUP($D10,KPI!$V:$AN,2,FALSE),"-")</f>
        <v>8</v>
      </c>
      <c r="Q10" s="32">
        <f t="shared" si="5"/>
        <v>0.65479041916167668</v>
      </c>
      <c r="R10" s="185">
        <f t="shared" si="6"/>
        <v>111.33333333333333</v>
      </c>
      <c r="S10" s="89" t="str">
        <f t="shared" si="7"/>
        <v>Web Designer</v>
      </c>
      <c r="AG10" s="664">
        <v>8</v>
      </c>
      <c r="AH10" s="664">
        <v>10071147</v>
      </c>
      <c r="AI10" s="664" t="s">
        <v>97</v>
      </c>
      <c r="AJ10" s="92" t="s">
        <v>83</v>
      </c>
      <c r="AK10" s="92" t="s">
        <v>84</v>
      </c>
      <c r="AL10" s="92" t="s">
        <v>85</v>
      </c>
      <c r="AM10" s="92" t="s">
        <v>85</v>
      </c>
      <c r="AN10" s="92" t="s">
        <v>86</v>
      </c>
      <c r="AO10" s="157">
        <v>72.900000000000006</v>
      </c>
      <c r="AP10" s="157">
        <v>105</v>
      </c>
      <c r="AQ10" s="571">
        <v>0.66666666666666663</v>
      </c>
      <c r="AS10" s="664">
        <f t="shared" si="9"/>
        <v>8</v>
      </c>
      <c r="AT10" s="664"/>
      <c r="AU10" s="664"/>
      <c r="AV10" s="92" t="str">
        <f>IFERROR(VLOOKUP($AT10,RESOURCES!$C:$L,MATCH('PRODUCTIVITY RAW'!AV$2,RESOURCES!$C$3:$L$3,0),FALSE),"-")</f>
        <v>-</v>
      </c>
      <c r="AW10" s="92" t="str">
        <f>IFERROR(VLOOKUP($AT10,RESOURCES!$C:$L,MATCH('PRODUCTIVITY RAW'!AW$2,RESOURCES!$C$3:$L$3,0),FALSE),"-")</f>
        <v>-</v>
      </c>
      <c r="AX10" s="92" t="str">
        <f>IFERROR(VLOOKUP($AT10,RESOURCES!$C:$L,MATCH('PRODUCTIVITY RAW'!AX$2,RESOURCES!$C$3:$L$3,0),FALSE),"-")</f>
        <v>-</v>
      </c>
      <c r="AY10" s="92" t="str">
        <f>IFERROR(VLOOKUP($AT10,RESOURCES!$C:$L,MATCH('PRODUCTIVITY RAW'!AY$2,RESOURCES!$C$3:$L$3,0),FALSE),"-")</f>
        <v>-</v>
      </c>
      <c r="AZ10" s="92" t="str">
        <f>IFERROR(VLOOKUP($AT10,RESOURCES!$C:$L,MATCH('PRODUCTIVITY RAW'!AZ$2,RESOURCES!$C$3:$L$3,0),FALSE),"-")</f>
        <v>-</v>
      </c>
      <c r="BA10" s="20"/>
      <c r="BD10"/>
      <c r="CH10" s="644">
        <v>10072613</v>
      </c>
      <c r="CI10" s="644" t="s">
        <v>249</v>
      </c>
      <c r="CJ10" s="645">
        <v>9</v>
      </c>
      <c r="CK10" s="645">
        <v>13</v>
      </c>
      <c r="CL10" s="645">
        <v>18</v>
      </c>
      <c r="CM10" s="645">
        <v>12</v>
      </c>
      <c r="CN10" s="645">
        <v>7</v>
      </c>
      <c r="CO10" s="645">
        <v>59</v>
      </c>
      <c r="CP10" s="275">
        <v>63</v>
      </c>
      <c r="CQ10" s="646">
        <v>0.9365</v>
      </c>
      <c r="CU10" s="275"/>
    </row>
    <row r="11" spans="1:99">
      <c r="A11" s="664">
        <f t="shared" si="8"/>
        <v>9</v>
      </c>
      <c r="B11" s="466">
        <f t="shared" si="2"/>
        <v>10072105</v>
      </c>
      <c r="C11" s="92" t="str">
        <f>IFERROR(VLOOKUP($B11,RESOURCES!$C:$L,MATCH('PRODUCTIVITY RAW'!C$2,RESOURCES!$C$3:$L$3,0),FALSE),"-")</f>
        <v>VILLABRIGA, DARYL E.</v>
      </c>
      <c r="D11" s="92" t="str">
        <f>IFERROR(VLOOKUP($B11,RESOURCES!$C:$L,MATCH('PRODUCTIVITY RAW'!D$2,RESOURCES!$C$3:$L$3,0),FALSE),"-")</f>
        <v>Web Designer</v>
      </c>
      <c r="E11" s="92" t="str">
        <f>IFERROR(VLOOKUP($B11,RESOURCES!$C:$L,MATCH('PRODUCTIVITY RAW'!E$2,RESOURCES!$C$3:$L$3,0),FALSE),"-")</f>
        <v>REYES, Arthur</v>
      </c>
      <c r="F11" s="92" t="str">
        <f>IFERROR(VLOOKUP($B11,RESOURCES!$C:$L,MATCH('PRODUCTIVITY RAW'!F$2,RESOURCES!$C$3:$L$3,0),FALSE),"-")</f>
        <v>MENDOZA, Carlo</v>
      </c>
      <c r="G11" s="92" t="str">
        <f>IFERROR(VLOOKUP($B11,RESOURCES!$C:$L,MATCH('PRODUCTIVITY RAW'!G$2,RESOURCES!$C$3:$L$3,0),FALSE),"-")</f>
        <v>MENDOZA, Carlo</v>
      </c>
      <c r="H11" s="92" t="str">
        <f>IFERROR(VLOOKUP($B11,RESOURCES!$C:$L,MATCH('PRODUCTIVITY RAW'!H$2,RESOURCES!$C$3:$L$3,0),FALSE),"-")</f>
        <v>Ventanilla, Mike</v>
      </c>
      <c r="I11" s="8"/>
      <c r="J11" s="8"/>
      <c r="K11" s="9" t="str">
        <f>IFERROR(VLOOKUP($B11,RESOURCES!$C:$L,MATCH('PRODUCTIVITY RAW'!K$2,RESOURCES!$C$3:$L$3,0),FALSE),"-")</f>
        <v>Expert</v>
      </c>
      <c r="L11" s="21">
        <f t="shared" si="0"/>
        <v>78.020000000000024</v>
      </c>
      <c r="M11" s="21">
        <f t="shared" si="1"/>
        <v>127.5</v>
      </c>
      <c r="N11" s="21">
        <f t="shared" si="3"/>
        <v>17</v>
      </c>
      <c r="O11" s="86">
        <f t="shared" si="4"/>
        <v>4.5894117647058836</v>
      </c>
      <c r="P11" s="86">
        <f>IFERROR(VLOOKUP($D11,KPI!$V:$AN,2,FALSE),"-")</f>
        <v>8</v>
      </c>
      <c r="Q11" s="32">
        <f t="shared" si="5"/>
        <v>0.57367647058823545</v>
      </c>
      <c r="R11" s="185">
        <f t="shared" si="6"/>
        <v>136</v>
      </c>
      <c r="S11" s="89" t="str">
        <f t="shared" si="7"/>
        <v>Web Designer</v>
      </c>
      <c r="AG11" s="664">
        <v>9</v>
      </c>
      <c r="AH11" s="664">
        <v>10072105</v>
      </c>
      <c r="AI11" s="664" t="s">
        <v>98</v>
      </c>
      <c r="AJ11" s="92" t="s">
        <v>83</v>
      </c>
      <c r="AK11" s="92" t="s">
        <v>84</v>
      </c>
      <c r="AL11" s="92" t="s">
        <v>85</v>
      </c>
      <c r="AM11" s="92" t="s">
        <v>85</v>
      </c>
      <c r="AN11" s="92" t="s">
        <v>86</v>
      </c>
      <c r="AO11" s="157">
        <v>78.020000000000024</v>
      </c>
      <c r="AP11" s="157">
        <v>127.5</v>
      </c>
      <c r="AQ11" s="571">
        <v>0</v>
      </c>
      <c r="AS11" s="664">
        <f t="shared" si="9"/>
        <v>9</v>
      </c>
      <c r="AT11" s="664"/>
      <c r="AU11" s="664"/>
      <c r="AV11" s="92" t="str">
        <f>IFERROR(VLOOKUP($AT11,RESOURCES!$C:$L,MATCH('PRODUCTIVITY RAW'!AV$2,RESOURCES!$C$3:$L$3,0),FALSE),"-")</f>
        <v>-</v>
      </c>
      <c r="AW11" s="92" t="str">
        <f>IFERROR(VLOOKUP($AT11,RESOURCES!$C:$L,MATCH('PRODUCTIVITY RAW'!AW$2,RESOURCES!$C$3:$L$3,0),FALSE),"-")</f>
        <v>-</v>
      </c>
      <c r="AX11" s="92" t="str">
        <f>IFERROR(VLOOKUP($AT11,RESOURCES!$C:$L,MATCH('PRODUCTIVITY RAW'!AX$2,RESOURCES!$C$3:$L$3,0),FALSE),"-")</f>
        <v>-</v>
      </c>
      <c r="AY11" s="92" t="str">
        <f>IFERROR(VLOOKUP($AT11,RESOURCES!$C:$L,MATCH('PRODUCTIVITY RAW'!AY$2,RESOURCES!$C$3:$L$3,0),FALSE),"-")</f>
        <v>-</v>
      </c>
      <c r="AZ11" s="92" t="str">
        <f>IFERROR(VLOOKUP($AT11,RESOURCES!$C:$L,MATCH('PRODUCTIVITY RAW'!AZ$2,RESOURCES!$C$3:$L$3,0),FALSE),"-")</f>
        <v>-</v>
      </c>
      <c r="BA11" s="20"/>
      <c r="BD11"/>
      <c r="CH11" s="644">
        <v>10071428</v>
      </c>
      <c r="CI11" s="644" t="s">
        <v>252</v>
      </c>
      <c r="CJ11" s="645">
        <v>4</v>
      </c>
      <c r="CK11" s="645">
        <v>11</v>
      </c>
      <c r="CL11" s="645">
        <v>10</v>
      </c>
      <c r="CM11" s="645">
        <v>9</v>
      </c>
      <c r="CN11" s="645">
        <v>4</v>
      </c>
      <c r="CO11" s="645">
        <v>38</v>
      </c>
      <c r="CP11" s="275">
        <v>63</v>
      </c>
      <c r="CQ11" s="646">
        <v>0.60319999999999996</v>
      </c>
      <c r="CU11" s="275"/>
    </row>
    <row r="12" spans="1:99" ht="15.75" customHeight="1">
      <c r="A12" s="664">
        <f t="shared" si="8"/>
        <v>10</v>
      </c>
      <c r="B12" s="466">
        <f t="shared" si="2"/>
        <v>10072206</v>
      </c>
      <c r="C12" s="92" t="str">
        <f>IFERROR(VLOOKUP($B12,RESOURCES!$C:$L,MATCH('PRODUCTIVITY RAW'!C$2,RESOURCES!$C$3:$L$3,0),FALSE),"-")</f>
        <v>RABANERA, JOMAR G.</v>
      </c>
      <c r="D12" s="92" t="str">
        <f>IFERROR(VLOOKUP($B12,RESOURCES!$C:$L,MATCH('PRODUCTIVITY RAW'!D$2,RESOURCES!$C$3:$L$3,0),FALSE),"-")</f>
        <v>Web Designer</v>
      </c>
      <c r="E12" s="92" t="str">
        <f>IFERROR(VLOOKUP($B12,RESOURCES!$C:$L,MATCH('PRODUCTIVITY RAW'!E$2,RESOURCES!$C$3:$L$3,0),FALSE),"-")</f>
        <v>REYES, Arthur</v>
      </c>
      <c r="F12" s="92" t="str">
        <f>IFERROR(VLOOKUP($B12,RESOURCES!$C:$L,MATCH('PRODUCTIVITY RAW'!F$2,RESOURCES!$C$3:$L$3,0),FALSE),"-")</f>
        <v>MENDOZA, Carlo</v>
      </c>
      <c r="G12" s="92" t="str">
        <f>IFERROR(VLOOKUP($B12,RESOURCES!$C:$L,MATCH('PRODUCTIVITY RAW'!G$2,RESOURCES!$C$3:$L$3,0),FALSE),"-")</f>
        <v>MENDOZA, Carlo</v>
      </c>
      <c r="H12" s="92" t="str">
        <f>IFERROR(VLOOKUP($B12,RESOURCES!$C:$L,MATCH('PRODUCTIVITY RAW'!H$2,RESOURCES!$C$3:$L$3,0),FALSE),"-")</f>
        <v>Ventanilla, Mike</v>
      </c>
      <c r="I12" s="8"/>
      <c r="J12" s="8"/>
      <c r="K12" s="9" t="str">
        <f>IFERROR(VLOOKUP($B12,RESOURCES!$C:$L,MATCH('PRODUCTIVITY RAW'!K$2,RESOURCES!$C$3:$L$3,0),FALSE),"-")</f>
        <v>Beginner</v>
      </c>
      <c r="L12" s="21">
        <f t="shared" si="0"/>
        <v>109.03000000000003</v>
      </c>
      <c r="M12" s="21">
        <f t="shared" si="1"/>
        <v>142.5</v>
      </c>
      <c r="N12" s="21">
        <f t="shared" si="3"/>
        <v>19</v>
      </c>
      <c r="O12" s="86">
        <f t="shared" si="4"/>
        <v>5.7384210526315806</v>
      </c>
      <c r="P12" s="86">
        <f>IFERROR(VLOOKUP($D12,KPI!$V:$AN,2,FALSE),"-")</f>
        <v>8</v>
      </c>
      <c r="Q12" s="32">
        <f t="shared" si="5"/>
        <v>0.72205298013245056</v>
      </c>
      <c r="R12" s="185">
        <f t="shared" si="6"/>
        <v>151</v>
      </c>
      <c r="S12" s="89" t="str">
        <f t="shared" si="7"/>
        <v>Web Designer</v>
      </c>
      <c r="AG12" s="664">
        <v>10</v>
      </c>
      <c r="AH12" s="664">
        <v>10072206</v>
      </c>
      <c r="AI12" s="664" t="s">
        <v>99</v>
      </c>
      <c r="AJ12" s="92" t="s">
        <v>83</v>
      </c>
      <c r="AK12" s="92" t="s">
        <v>84</v>
      </c>
      <c r="AL12" s="92" t="s">
        <v>85</v>
      </c>
      <c r="AM12" s="92" t="s">
        <v>85</v>
      </c>
      <c r="AN12" s="92" t="s">
        <v>86</v>
      </c>
      <c r="AO12" s="157">
        <v>109.03000000000003</v>
      </c>
      <c r="AP12" s="157">
        <v>142.5</v>
      </c>
      <c r="AQ12" s="571">
        <v>1</v>
      </c>
      <c r="AS12" s="664">
        <f t="shared" si="9"/>
        <v>10</v>
      </c>
      <c r="AT12" s="664"/>
      <c r="AU12" s="664"/>
      <c r="AV12" s="92" t="str">
        <f>IFERROR(VLOOKUP($AT12,RESOURCES!$C:$L,MATCH('PRODUCTIVITY RAW'!AV$2,RESOURCES!$C$3:$L$3,0),FALSE),"-")</f>
        <v>-</v>
      </c>
      <c r="AW12" s="92" t="str">
        <f>IFERROR(VLOOKUP($AT12,RESOURCES!$C:$L,MATCH('PRODUCTIVITY RAW'!AW$2,RESOURCES!$C$3:$L$3,0),FALSE),"-")</f>
        <v>-</v>
      </c>
      <c r="AX12" s="92" t="str">
        <f>IFERROR(VLOOKUP($AT12,RESOURCES!$C:$L,MATCH('PRODUCTIVITY RAW'!AX$2,RESOURCES!$C$3:$L$3,0),FALSE),"-")</f>
        <v>-</v>
      </c>
      <c r="AY12" s="92" t="str">
        <f>IFERROR(VLOOKUP($AT12,RESOURCES!$C:$L,MATCH('PRODUCTIVITY RAW'!AY$2,RESOURCES!$C$3:$L$3,0),FALSE),"-")</f>
        <v>-</v>
      </c>
      <c r="AZ12" s="92" t="str">
        <f>IFERROR(VLOOKUP($AT12,RESOURCES!$C:$L,MATCH('PRODUCTIVITY RAW'!AZ$2,RESOURCES!$C$3:$L$3,0),FALSE),"-")</f>
        <v>-</v>
      </c>
      <c r="BA12" s="20"/>
      <c r="BD12"/>
      <c r="CH12" s="644">
        <v>10072011</v>
      </c>
      <c r="CI12" s="644" t="s">
        <v>245</v>
      </c>
      <c r="CJ12" s="645">
        <v>13</v>
      </c>
      <c r="CK12" s="645">
        <v>21</v>
      </c>
      <c r="CL12" s="645">
        <v>26</v>
      </c>
      <c r="CM12" s="645">
        <v>3</v>
      </c>
      <c r="CN12" s="645">
        <v>1</v>
      </c>
      <c r="CO12" s="645">
        <v>64</v>
      </c>
      <c r="CP12" s="275">
        <v>63</v>
      </c>
      <c r="CQ12" s="646">
        <v>1.0159</v>
      </c>
      <c r="CU12" s="275"/>
    </row>
    <row r="13" spans="1:99" ht="15.75" thickBot="1">
      <c r="A13" s="664">
        <f t="shared" si="8"/>
        <v>11</v>
      </c>
      <c r="B13" s="466">
        <f t="shared" si="2"/>
        <v>10072031</v>
      </c>
      <c r="C13" s="92" t="str">
        <f>IFERROR(VLOOKUP($B13,RESOURCES!$C:$L,MATCH('PRODUCTIVITY RAW'!C$2,RESOURCES!$C$3:$L$3,0),FALSE),"-")</f>
        <v>GALANG, CARL ANTHONY M.</v>
      </c>
      <c r="D13" s="92" t="str">
        <f>IFERROR(VLOOKUP($B13,RESOURCES!$C:$L,MATCH('PRODUCTIVITY RAW'!D$2,RESOURCES!$C$3:$L$3,0),FALSE),"-")</f>
        <v>Web Designer</v>
      </c>
      <c r="E13" s="92" t="str">
        <f>IFERROR(VLOOKUP($B13,RESOURCES!$C:$L,MATCH('PRODUCTIVITY RAW'!E$2,RESOURCES!$C$3:$L$3,0),FALSE),"-")</f>
        <v>REYES, Arthur</v>
      </c>
      <c r="F13" s="92" t="str">
        <f>IFERROR(VLOOKUP($B13,RESOURCES!$C:$L,MATCH('PRODUCTIVITY RAW'!F$2,RESOURCES!$C$3:$L$3,0),FALSE),"-")</f>
        <v>MENDOZA, Carlo</v>
      </c>
      <c r="G13" s="92" t="str">
        <f>IFERROR(VLOOKUP($B13,RESOURCES!$C:$L,MATCH('PRODUCTIVITY RAW'!G$2,RESOURCES!$C$3:$L$3,0),FALSE),"-")</f>
        <v>MENDOZA, Carlo</v>
      </c>
      <c r="H13" s="92" t="str">
        <f>IFERROR(VLOOKUP($B13,RESOURCES!$C:$L,MATCH('PRODUCTIVITY RAW'!H$2,RESOURCES!$C$3:$L$3,0),FALSE),"-")</f>
        <v>Ventanilla, Mike</v>
      </c>
      <c r="I13" s="8"/>
      <c r="J13" s="8"/>
      <c r="K13" s="9" t="str">
        <f>IFERROR(VLOOKUP($B13,RESOURCES!$C:$L,MATCH('PRODUCTIVITY RAW'!K$2,RESOURCES!$C$3:$L$3,0),FALSE),"-")</f>
        <v>Expert</v>
      </c>
      <c r="L13" s="21">
        <f t="shared" si="0"/>
        <v>225.66000000000011</v>
      </c>
      <c r="M13" s="21">
        <f t="shared" si="1"/>
        <v>142.5</v>
      </c>
      <c r="N13" s="21">
        <f t="shared" si="3"/>
        <v>19</v>
      </c>
      <c r="O13" s="86">
        <f t="shared" si="4"/>
        <v>11.876842105263163</v>
      </c>
      <c r="P13" s="86">
        <f>IFERROR(VLOOKUP($D13,KPI!$V:$AN,2,FALSE),"-")</f>
        <v>8</v>
      </c>
      <c r="Q13" s="32">
        <f t="shared" si="5"/>
        <v>1</v>
      </c>
      <c r="R13" s="185">
        <f t="shared" si="6"/>
        <v>150.19999999999999</v>
      </c>
      <c r="S13" s="89" t="str">
        <f t="shared" si="7"/>
        <v>Web Designer</v>
      </c>
      <c r="AG13" s="664">
        <v>11</v>
      </c>
      <c r="AH13" s="664">
        <v>10072031</v>
      </c>
      <c r="AI13" s="664" t="s">
        <v>100</v>
      </c>
      <c r="AJ13" s="92" t="s">
        <v>83</v>
      </c>
      <c r="AK13" s="92" t="s">
        <v>84</v>
      </c>
      <c r="AL13" s="92" t="s">
        <v>85</v>
      </c>
      <c r="AM13" s="92" t="s">
        <v>85</v>
      </c>
      <c r="AN13" s="92" t="s">
        <v>86</v>
      </c>
      <c r="AO13" s="157">
        <v>225.66000000000011</v>
      </c>
      <c r="AP13" s="157">
        <v>142.5</v>
      </c>
      <c r="AQ13" s="571">
        <v>1.8</v>
      </c>
      <c r="AS13" s="664">
        <f t="shared" si="9"/>
        <v>11</v>
      </c>
      <c r="AT13" s="664"/>
      <c r="AU13" s="664"/>
      <c r="AV13" s="92" t="str">
        <f>IFERROR(VLOOKUP($AT13,RESOURCES!$C:$L,MATCH('PRODUCTIVITY RAW'!AV$2,RESOURCES!$C$3:$L$3,0),FALSE),"-")</f>
        <v>-</v>
      </c>
      <c r="AW13" s="92" t="str">
        <f>IFERROR(VLOOKUP($AT13,RESOURCES!$C:$L,MATCH('PRODUCTIVITY RAW'!AW$2,RESOURCES!$C$3:$L$3,0),FALSE),"-")</f>
        <v>-</v>
      </c>
      <c r="AX13" s="92" t="str">
        <f>IFERROR(VLOOKUP($AT13,RESOURCES!$C:$L,MATCH('PRODUCTIVITY RAW'!AX$2,RESOURCES!$C$3:$L$3,0),FALSE),"-")</f>
        <v>-</v>
      </c>
      <c r="AY13" s="92" t="str">
        <f>IFERROR(VLOOKUP($AT13,RESOURCES!$C:$L,MATCH('PRODUCTIVITY RAW'!AY$2,RESOURCES!$C$3:$L$3,0),FALSE),"-")</f>
        <v>-</v>
      </c>
      <c r="AZ13" s="92" t="str">
        <f>IFERROR(VLOOKUP($AT13,RESOURCES!$C:$L,MATCH('PRODUCTIVITY RAW'!AZ$2,RESOURCES!$C$3:$L$3,0),FALSE),"-")</f>
        <v>-</v>
      </c>
      <c r="BA13" s="20"/>
      <c r="CH13" s="648">
        <v>10072010</v>
      </c>
      <c r="CI13" s="648" t="s">
        <v>244</v>
      </c>
      <c r="CJ13" s="649">
        <v>10</v>
      </c>
      <c r="CK13" s="649">
        <v>9</v>
      </c>
      <c r="CL13" s="649">
        <v>24</v>
      </c>
      <c r="CM13" s="649">
        <v>16</v>
      </c>
      <c r="CN13" s="649">
        <v>6</v>
      </c>
      <c r="CO13" s="649">
        <v>65</v>
      </c>
      <c r="CP13" s="276">
        <v>65</v>
      </c>
      <c r="CQ13" s="650">
        <v>1</v>
      </c>
      <c r="CU13" s="275"/>
    </row>
    <row r="14" spans="1:99" ht="15.75" thickBot="1">
      <c r="A14" s="664">
        <f t="shared" si="8"/>
        <v>12</v>
      </c>
      <c r="B14" s="466">
        <f t="shared" si="2"/>
        <v>10070976</v>
      </c>
      <c r="C14" s="92" t="str">
        <f>IFERROR(VLOOKUP($B14,RESOURCES!$C:$L,MATCH('PRODUCTIVITY RAW'!C$2,RESOURCES!$C$3:$L$3,0),FALSE),"-")</f>
        <v>TRINIDAD, NESSER CARLO G.</v>
      </c>
      <c r="D14" s="92" t="str">
        <f>IFERROR(VLOOKUP($B14,RESOURCES!$C:$L,MATCH('PRODUCTIVITY RAW'!D$2,RESOURCES!$C$3:$L$3,0),FALSE),"-")</f>
        <v>Web Designer</v>
      </c>
      <c r="E14" s="92" t="str">
        <f>IFERROR(VLOOKUP($B14,RESOURCES!$C:$L,MATCH('PRODUCTIVITY RAW'!E$2,RESOURCES!$C$3:$L$3,0),FALSE),"-")</f>
        <v>REYES, Arthur</v>
      </c>
      <c r="F14" s="92" t="str">
        <f>IFERROR(VLOOKUP($B14,RESOURCES!$C:$L,MATCH('PRODUCTIVITY RAW'!F$2,RESOURCES!$C$3:$L$3,0),FALSE),"-")</f>
        <v>MENDOZA, Carlo</v>
      </c>
      <c r="G14" s="92" t="str">
        <f>IFERROR(VLOOKUP($B14,RESOURCES!$C:$L,MATCH('PRODUCTIVITY RAW'!G$2,RESOURCES!$C$3:$L$3,0),FALSE),"-")</f>
        <v>MENDOZA, Carlo</v>
      </c>
      <c r="H14" s="92" t="str">
        <f>IFERROR(VLOOKUP($B14,RESOURCES!$C:$L,MATCH('PRODUCTIVITY RAW'!H$2,RESOURCES!$C$3:$L$3,0),FALSE),"-")</f>
        <v>Ventanilla, Mike</v>
      </c>
      <c r="I14" s="8"/>
      <c r="J14" s="8"/>
      <c r="K14" s="9" t="str">
        <f>IFERROR(VLOOKUP($B14,RESOURCES!$C:$L,MATCH('PRODUCTIVITY RAW'!K$2,RESOURCES!$C$3:$L$3,0),FALSE),"-")</f>
        <v>Expert</v>
      </c>
      <c r="L14" s="21">
        <f t="shared" si="0"/>
        <v>107.2</v>
      </c>
      <c r="M14" s="21">
        <f t="shared" si="1"/>
        <v>112.5</v>
      </c>
      <c r="N14" s="21">
        <f t="shared" si="3"/>
        <v>15</v>
      </c>
      <c r="O14" s="86">
        <f t="shared" si="4"/>
        <v>7.1466666666666665</v>
      </c>
      <c r="P14" s="86">
        <f>IFERROR(VLOOKUP($D14,KPI!$V:$AN,2,FALSE),"-")</f>
        <v>8</v>
      </c>
      <c r="Q14" s="32">
        <f t="shared" si="5"/>
        <v>0.9008403361344538</v>
      </c>
      <c r="R14" s="185">
        <f t="shared" si="6"/>
        <v>119</v>
      </c>
      <c r="S14" s="89" t="str">
        <f t="shared" si="7"/>
        <v>Web Designer</v>
      </c>
      <c r="AG14" s="664">
        <v>12</v>
      </c>
      <c r="AH14" s="664">
        <v>10070976</v>
      </c>
      <c r="AI14" s="664" t="s">
        <v>101</v>
      </c>
      <c r="AJ14" s="92" t="s">
        <v>83</v>
      </c>
      <c r="AK14" s="92" t="s">
        <v>84</v>
      </c>
      <c r="AL14" s="92" t="s">
        <v>85</v>
      </c>
      <c r="AM14" s="92" t="s">
        <v>85</v>
      </c>
      <c r="AN14" s="92" t="s">
        <v>86</v>
      </c>
      <c r="AO14" s="157">
        <v>107.2</v>
      </c>
      <c r="AP14" s="157">
        <v>112.5</v>
      </c>
      <c r="AQ14" s="571">
        <v>1</v>
      </c>
      <c r="AS14" s="664">
        <f t="shared" si="9"/>
        <v>12</v>
      </c>
      <c r="AT14" s="664"/>
      <c r="AU14" s="664"/>
      <c r="AV14" s="92" t="str">
        <f>IFERROR(VLOOKUP($AT14,RESOURCES!$C:$L,MATCH('PRODUCTIVITY RAW'!AV$2,RESOURCES!$C$3:$L$3,0),FALSE),"-")</f>
        <v>-</v>
      </c>
      <c r="AW14" s="92" t="str">
        <f>IFERROR(VLOOKUP($AT14,RESOURCES!$C:$L,MATCH('PRODUCTIVITY RAW'!AW$2,RESOURCES!$C$3:$L$3,0),FALSE),"-")</f>
        <v>-</v>
      </c>
      <c r="AX14" s="92" t="str">
        <f>IFERROR(VLOOKUP($AT14,RESOURCES!$C:$L,MATCH('PRODUCTIVITY RAW'!AX$2,RESOURCES!$C$3:$L$3,0),FALSE),"-")</f>
        <v>-</v>
      </c>
      <c r="AY14" s="92" t="str">
        <f>IFERROR(VLOOKUP($AT14,RESOURCES!$C:$L,MATCH('PRODUCTIVITY RAW'!AY$2,RESOURCES!$C$3:$L$3,0),FALSE),"-")</f>
        <v>-</v>
      </c>
      <c r="AZ14" s="92" t="str">
        <f>IFERROR(VLOOKUP($AT14,RESOURCES!$C:$L,MATCH('PRODUCTIVITY RAW'!AZ$2,RESOURCES!$C$3:$L$3,0),FALSE),"-")</f>
        <v>-</v>
      </c>
      <c r="BA14" s="20"/>
      <c r="CH14" s="756" t="s">
        <v>634</v>
      </c>
      <c r="CI14" s="756"/>
      <c r="CJ14" s="651">
        <v>100</v>
      </c>
      <c r="CK14" s="651">
        <v>191</v>
      </c>
      <c r="CL14" s="651">
        <v>206</v>
      </c>
      <c r="CM14" s="651">
        <v>96</v>
      </c>
      <c r="CN14" s="651">
        <v>37</v>
      </c>
      <c r="CO14" s="651">
        <v>630</v>
      </c>
      <c r="CP14" s="277">
        <v>704</v>
      </c>
      <c r="CQ14" s="652">
        <v>0.89490000000000003</v>
      </c>
      <c r="CU14" s="276"/>
    </row>
    <row r="15" spans="1:99" ht="15.75" thickBot="1">
      <c r="A15" s="664">
        <f t="shared" si="8"/>
        <v>13</v>
      </c>
      <c r="B15" s="466">
        <f t="shared" si="2"/>
        <v>10072063</v>
      </c>
      <c r="C15" s="92" t="str">
        <f>IFERROR(VLOOKUP($B15,RESOURCES!$C:$L,MATCH('PRODUCTIVITY RAW'!C$2,RESOURCES!$C$3:$L$3,0),FALSE),"-")</f>
        <v>FABURADA, BOOZ JOSHUA V.</v>
      </c>
      <c r="D15" s="92" t="str">
        <f>IFERROR(VLOOKUP($B15,RESOURCES!$C:$L,MATCH('PRODUCTIVITY RAW'!D$2,RESOURCES!$C$3:$L$3,0),FALSE),"-")</f>
        <v>Web Designer</v>
      </c>
      <c r="E15" s="92" t="str">
        <f>IFERROR(VLOOKUP($B15,RESOURCES!$C:$L,MATCH('PRODUCTIVITY RAW'!E$2,RESOURCES!$C$3:$L$3,0),FALSE),"-")</f>
        <v>REYES, Arthur</v>
      </c>
      <c r="F15" s="92" t="str">
        <f>IFERROR(VLOOKUP($B15,RESOURCES!$C:$L,MATCH('PRODUCTIVITY RAW'!F$2,RESOURCES!$C$3:$L$3,0),FALSE),"-")</f>
        <v>MENDOZA, Carlo</v>
      </c>
      <c r="G15" s="92" t="str">
        <f>IFERROR(VLOOKUP($B15,RESOURCES!$C:$L,MATCH('PRODUCTIVITY RAW'!G$2,RESOURCES!$C$3:$L$3,0),FALSE),"-")</f>
        <v>MENDOZA, Carlo</v>
      </c>
      <c r="H15" s="92" t="str">
        <f>IFERROR(VLOOKUP($B15,RESOURCES!$C:$L,MATCH('PRODUCTIVITY RAW'!H$2,RESOURCES!$C$3:$L$3,0),FALSE),"-")</f>
        <v>Ventanilla, Mike</v>
      </c>
      <c r="I15" s="8"/>
      <c r="J15" s="8"/>
      <c r="K15" s="9" t="str">
        <f>IFERROR(VLOOKUP($B15,RESOURCES!$C:$L,MATCH('PRODUCTIVITY RAW'!K$2,RESOURCES!$C$3:$L$3,0),FALSE),"-")</f>
        <v>Expert</v>
      </c>
      <c r="L15" s="21">
        <f t="shared" si="0"/>
        <v>164.45000000000002</v>
      </c>
      <c r="M15" s="21">
        <f t="shared" si="1"/>
        <v>142.5</v>
      </c>
      <c r="N15" s="21">
        <f t="shared" si="3"/>
        <v>19</v>
      </c>
      <c r="O15" s="86">
        <f t="shared" si="4"/>
        <v>8.655263157894737</v>
      </c>
      <c r="P15" s="86">
        <f>IFERROR(VLOOKUP($D15,KPI!$V:$AN,2,FALSE),"-")</f>
        <v>8</v>
      </c>
      <c r="Q15" s="32">
        <f t="shared" si="5"/>
        <v>1</v>
      </c>
      <c r="R15" s="185">
        <f t="shared" si="6"/>
        <v>151</v>
      </c>
      <c r="S15" s="89" t="str">
        <f t="shared" si="7"/>
        <v>Web Designer</v>
      </c>
      <c r="AG15" s="664">
        <v>13</v>
      </c>
      <c r="AH15" s="664">
        <v>10072063</v>
      </c>
      <c r="AI15" s="664" t="s">
        <v>102</v>
      </c>
      <c r="AJ15" s="92" t="s">
        <v>83</v>
      </c>
      <c r="AK15" s="92" t="s">
        <v>84</v>
      </c>
      <c r="AL15" s="92" t="s">
        <v>85</v>
      </c>
      <c r="AM15" s="92" t="s">
        <v>85</v>
      </c>
      <c r="AN15" s="92" t="s">
        <v>86</v>
      </c>
      <c r="AO15" s="157">
        <v>164.45000000000002</v>
      </c>
      <c r="AP15" s="157">
        <v>142.5</v>
      </c>
      <c r="AQ15" s="571">
        <v>1</v>
      </c>
      <c r="AS15" s="664">
        <f t="shared" si="9"/>
        <v>13</v>
      </c>
      <c r="AT15" s="664"/>
      <c r="AU15" s="664"/>
      <c r="AV15" s="92" t="str">
        <f>IFERROR(VLOOKUP($AT15,RESOURCES!$C:$L,MATCH('PRODUCTIVITY RAW'!AV$2,RESOURCES!$C$3:$L$3,0),FALSE),"-")</f>
        <v>-</v>
      </c>
      <c r="AW15" s="92" t="str">
        <f>IFERROR(VLOOKUP($AT15,RESOURCES!$C:$L,MATCH('PRODUCTIVITY RAW'!AW$2,RESOURCES!$C$3:$L$3,0),FALSE),"-")</f>
        <v>-</v>
      </c>
      <c r="AX15" s="92" t="str">
        <f>IFERROR(VLOOKUP($AT15,RESOURCES!$C:$L,MATCH('PRODUCTIVITY RAW'!AX$2,RESOURCES!$C$3:$L$3,0),FALSE),"-")</f>
        <v>-</v>
      </c>
      <c r="AY15" s="92" t="str">
        <f>IFERROR(VLOOKUP($AT15,RESOURCES!$C:$L,MATCH('PRODUCTIVITY RAW'!AY$2,RESOURCES!$C$3:$L$3,0),FALSE),"-")</f>
        <v>-</v>
      </c>
      <c r="AZ15" s="92" t="str">
        <f>IFERROR(VLOOKUP($AT15,RESOURCES!$C:$L,MATCH('PRODUCTIVITY RAW'!AZ$2,RESOURCES!$C$3:$L$3,0),FALSE),"-")</f>
        <v>-</v>
      </c>
      <c r="BA15" s="20"/>
      <c r="CU15" s="277"/>
    </row>
    <row r="16" spans="1:99">
      <c r="A16" s="664">
        <f>A15+1</f>
        <v>14</v>
      </c>
      <c r="B16" s="466">
        <f t="shared" si="2"/>
        <v>10071750</v>
      </c>
      <c r="C16" s="92" t="str">
        <f>IFERROR(VLOOKUP($B16,RESOURCES!$C:$L,MATCH('PRODUCTIVITY RAW'!C$2,RESOURCES!$C$3:$L$3,0),FALSE),"-")</f>
        <v>VILLARMENTE, KIMBERLY S.</v>
      </c>
      <c r="D16" s="92" t="str">
        <f>IFERROR(VLOOKUP($B16,RESOURCES!$C:$L,MATCH('PRODUCTIVITY RAW'!D$2,RESOURCES!$C$3:$L$3,0),FALSE),"-")</f>
        <v>Web Designer</v>
      </c>
      <c r="E16" s="92" t="str">
        <f>IFERROR(VLOOKUP($B16,RESOURCES!$C:$L,MATCH('PRODUCTIVITY RAW'!E$2,RESOURCES!$C$3:$L$3,0),FALSE),"-")</f>
        <v>REYES, Arthur</v>
      </c>
      <c r="F16" s="92" t="str">
        <f>IFERROR(VLOOKUP($B16,RESOURCES!$C:$L,MATCH('PRODUCTIVITY RAW'!F$2,RESOURCES!$C$3:$L$3,0),FALSE),"-")</f>
        <v>MENDOZA, Carlo</v>
      </c>
      <c r="G16" s="92" t="str">
        <f>IFERROR(VLOOKUP($B16,RESOURCES!$C:$L,MATCH('PRODUCTIVITY RAW'!G$2,RESOURCES!$C$3:$L$3,0),FALSE),"-")</f>
        <v>MENDOZA, Carlo</v>
      </c>
      <c r="H16" s="92" t="str">
        <f>IFERROR(VLOOKUP($B16,RESOURCES!$C:$L,MATCH('PRODUCTIVITY RAW'!H$2,RESOURCES!$C$3:$L$3,0),FALSE),"-")</f>
        <v>Ventanilla, Mike</v>
      </c>
      <c r="I16" s="8"/>
      <c r="J16" s="8"/>
      <c r="K16" s="9" t="str">
        <f>IFERROR(VLOOKUP($B16,RESOURCES!$C:$L,MATCH('PRODUCTIVITY RAW'!K$2,RESOURCES!$C$3:$L$3,0),FALSE),"-")</f>
        <v>Expert</v>
      </c>
      <c r="L16" s="21">
        <f t="shared" si="0"/>
        <v>198.44000000000003</v>
      </c>
      <c r="M16" s="21">
        <f t="shared" si="1"/>
        <v>142.5</v>
      </c>
      <c r="N16" s="21">
        <f t="shared" si="3"/>
        <v>19</v>
      </c>
      <c r="O16" s="86">
        <f t="shared" si="4"/>
        <v>10.444210526315791</v>
      </c>
      <c r="P16" s="86">
        <f>IFERROR(VLOOKUP($D16,KPI!$V:$AN,2,FALSE),"-")</f>
        <v>8</v>
      </c>
      <c r="Q16" s="32">
        <f t="shared" si="5"/>
        <v>1</v>
      </c>
      <c r="R16" s="185">
        <f t="shared" si="6"/>
        <v>151</v>
      </c>
      <c r="S16" s="89" t="str">
        <f t="shared" si="7"/>
        <v>Web Designer</v>
      </c>
      <c r="AG16" s="664">
        <v>14</v>
      </c>
      <c r="AH16" s="664">
        <v>10071750</v>
      </c>
      <c r="AI16" s="664" t="s">
        <v>103</v>
      </c>
      <c r="AJ16" s="92" t="s">
        <v>83</v>
      </c>
      <c r="AK16" s="92" t="s">
        <v>84</v>
      </c>
      <c r="AL16" s="92" t="s">
        <v>85</v>
      </c>
      <c r="AM16" s="92" t="s">
        <v>85</v>
      </c>
      <c r="AN16" s="92" t="s">
        <v>86</v>
      </c>
      <c r="AO16" s="157">
        <v>198.44000000000003</v>
      </c>
      <c r="AP16" s="157">
        <v>142.5</v>
      </c>
      <c r="AQ16" s="571">
        <v>1</v>
      </c>
      <c r="AS16" s="664">
        <f t="shared" si="9"/>
        <v>14</v>
      </c>
      <c r="AT16" s="664"/>
      <c r="AU16" s="664"/>
      <c r="AV16" s="92" t="str">
        <f>IFERROR(VLOOKUP($AT16,RESOURCES!$C:$L,MATCH('PRODUCTIVITY RAW'!AV$2,RESOURCES!$C$3:$L$3,0),FALSE),"-")</f>
        <v>-</v>
      </c>
      <c r="AW16" s="92" t="str">
        <f>IFERROR(VLOOKUP($AT16,RESOURCES!$C:$L,MATCH('PRODUCTIVITY RAW'!AW$2,RESOURCES!$C$3:$L$3,0),FALSE),"-")</f>
        <v>-</v>
      </c>
      <c r="AX16" s="92" t="str">
        <f>IFERROR(VLOOKUP($AT16,RESOURCES!$C:$L,MATCH('PRODUCTIVITY RAW'!AX$2,RESOURCES!$C$3:$L$3,0),FALSE),"-")</f>
        <v>-</v>
      </c>
      <c r="AY16" s="92" t="str">
        <f>IFERROR(VLOOKUP($AT16,RESOURCES!$C:$L,MATCH('PRODUCTIVITY RAW'!AY$2,RESOURCES!$C$3:$L$3,0),FALSE),"-")</f>
        <v>-</v>
      </c>
      <c r="AZ16" s="92" t="str">
        <f>IFERROR(VLOOKUP($AT16,RESOURCES!$C:$L,MATCH('PRODUCTIVITY RAW'!AZ$2,RESOURCES!$C$3:$L$3,0),FALSE),"-")</f>
        <v>-</v>
      </c>
      <c r="BA16" s="20"/>
    </row>
    <row r="17" spans="1:96">
      <c r="A17" s="664">
        <f t="shared" si="8"/>
        <v>15</v>
      </c>
      <c r="B17" s="466">
        <f t="shared" si="2"/>
        <v>10071071</v>
      </c>
      <c r="C17" s="92" t="str">
        <f>IFERROR(VLOOKUP($B17,RESOURCES!$C:$L,MATCH('PRODUCTIVITY RAW'!C$2,RESOURCES!$C$3:$L$3,0),FALSE),"-")</f>
        <v>AMON, KATRINA D.</v>
      </c>
      <c r="D17" s="92" t="str">
        <f>IFERROR(VLOOKUP($B17,RESOURCES!$C:$L,MATCH('PRODUCTIVITY RAW'!D$2,RESOURCES!$C$3:$L$3,0),FALSE),"-")</f>
        <v>Proofreader</v>
      </c>
      <c r="E17" s="92" t="str">
        <f>IFERROR(VLOOKUP($B17,RESOURCES!$C:$L,MATCH('PRODUCTIVITY RAW'!E$2,RESOURCES!$C$3:$L$3,0),FALSE),"-")</f>
        <v>REMULLA, Apple</v>
      </c>
      <c r="F17" s="92" t="str">
        <f>IFERROR(VLOOKUP($B17,RESOURCES!$C:$L,MATCH('PRODUCTIVITY RAW'!F$2,RESOURCES!$C$3:$L$3,0),FALSE),"-")</f>
        <v>PASQUIN, Ryan</v>
      </c>
      <c r="G17" s="92" t="str">
        <f>IFERROR(VLOOKUP($B17,RESOURCES!$C:$L,MATCH('PRODUCTIVITY RAW'!G$2,RESOURCES!$C$3:$L$3,0),FALSE),"-")</f>
        <v>MENDOZA, Carlo</v>
      </c>
      <c r="H17" s="92" t="str">
        <f>IFERROR(VLOOKUP($B17,RESOURCES!$C:$L,MATCH('PRODUCTIVITY RAW'!H$2,RESOURCES!$C$3:$L$3,0),FALSE),"-")</f>
        <v>Ventanilla, Mike</v>
      </c>
      <c r="I17" s="8"/>
      <c r="J17" s="8"/>
      <c r="K17" s="9" t="str">
        <f>IFERROR(VLOOKUP($B17,RESOURCES!$C:$L,MATCH('PRODUCTIVITY RAW'!K$2,RESOURCES!$C$3:$L$3,0),FALSE),"-")</f>
        <v>Expert</v>
      </c>
      <c r="L17" s="21">
        <f t="shared" si="0"/>
        <v>44.399999999999963</v>
      </c>
      <c r="M17" s="21">
        <f t="shared" si="1"/>
        <v>120</v>
      </c>
      <c r="N17" s="21">
        <f t="shared" si="3"/>
        <v>16</v>
      </c>
      <c r="O17" s="86">
        <f t="shared" si="4"/>
        <v>2.7749999999999977</v>
      </c>
      <c r="P17" s="86">
        <f>IFERROR(VLOOKUP($D17,KPI!$V:$AN,2,FALSE),"-")</f>
        <v>3</v>
      </c>
      <c r="Q17" s="32">
        <f t="shared" si="5"/>
        <v>0.9582733812949632</v>
      </c>
      <c r="R17" s="185">
        <f t="shared" si="6"/>
        <v>46.333333333333336</v>
      </c>
      <c r="S17" s="89" t="str">
        <f t="shared" si="7"/>
        <v>Proofreader</v>
      </c>
      <c r="AG17" s="664">
        <v>15</v>
      </c>
      <c r="AH17" s="664">
        <v>10071071</v>
      </c>
      <c r="AI17" s="664" t="s">
        <v>104</v>
      </c>
      <c r="AJ17" s="92" t="s">
        <v>87</v>
      </c>
      <c r="AK17" s="92" t="s">
        <v>105</v>
      </c>
      <c r="AL17" s="92" t="s">
        <v>106</v>
      </c>
      <c r="AM17" s="92" t="s">
        <v>85</v>
      </c>
      <c r="AN17" s="92" t="s">
        <v>86</v>
      </c>
      <c r="AO17" s="157">
        <v>44.399999999999963</v>
      </c>
      <c r="AP17" s="157">
        <v>120</v>
      </c>
      <c r="AQ17" s="571">
        <v>1.6666666666666665</v>
      </c>
      <c r="AS17" s="664">
        <f t="shared" si="9"/>
        <v>15</v>
      </c>
      <c r="AT17" s="664"/>
      <c r="AU17" s="664"/>
      <c r="AV17" s="92" t="str">
        <f>IFERROR(VLOOKUP($AT17,RESOURCES!$C:$L,MATCH('PRODUCTIVITY RAW'!AV$2,RESOURCES!$C$3:$L$3,0),FALSE),"-")</f>
        <v>-</v>
      </c>
      <c r="AW17" s="92" t="str">
        <f>IFERROR(VLOOKUP($AT17,RESOURCES!$C:$L,MATCH('PRODUCTIVITY RAW'!AW$2,RESOURCES!$C$3:$L$3,0),FALSE),"-")</f>
        <v>-</v>
      </c>
      <c r="AX17" s="92" t="str">
        <f>IFERROR(VLOOKUP($AT17,RESOURCES!$C:$L,MATCH('PRODUCTIVITY RAW'!AX$2,RESOURCES!$C$3:$L$3,0),FALSE),"-")</f>
        <v>-</v>
      </c>
      <c r="AY17" s="92" t="str">
        <f>IFERROR(VLOOKUP($AT17,RESOURCES!$C:$L,MATCH('PRODUCTIVITY RAW'!AY$2,RESOURCES!$C$3:$L$3,0),FALSE),"-")</f>
        <v>-</v>
      </c>
      <c r="AZ17" s="92" t="str">
        <f>IFERROR(VLOOKUP($AT17,RESOURCES!$C:$L,MATCH('PRODUCTIVITY RAW'!AZ$2,RESOURCES!$C$3:$L$3,0),FALSE),"-")</f>
        <v>-</v>
      </c>
      <c r="BA17" s="20"/>
      <c r="CR17" s="15">
        <f>11/23</f>
        <v>0.47826086956521741</v>
      </c>
    </row>
    <row r="18" spans="1:96">
      <c r="A18" s="664">
        <f t="shared" si="8"/>
        <v>16</v>
      </c>
      <c r="B18" s="466">
        <f t="shared" si="2"/>
        <v>10072471</v>
      </c>
      <c r="C18" s="92" t="str">
        <f>IFERROR(VLOOKUP($B18,RESOURCES!$C:$L,MATCH('PRODUCTIVITY RAW'!C$2,RESOURCES!$C$3:$L$3,0),FALSE),"-")</f>
        <v>CONDES, GERALDINE L.</v>
      </c>
      <c r="D18" s="92" t="str">
        <f>IFERROR(VLOOKUP($B18,RESOURCES!$C:$L,MATCH('PRODUCTIVITY RAW'!D$2,RESOURCES!$C$3:$L$3,0),FALSE),"-")</f>
        <v>Proofreader</v>
      </c>
      <c r="E18" s="92" t="str">
        <f>IFERROR(VLOOKUP($B18,RESOURCES!$C:$L,MATCH('PRODUCTIVITY RAW'!E$2,RESOURCES!$C$3:$L$3,0),FALSE),"-")</f>
        <v>REMULLA, Apple</v>
      </c>
      <c r="F18" s="92" t="str">
        <f>IFERROR(VLOOKUP($B18,RESOURCES!$C:$L,MATCH('PRODUCTIVITY RAW'!F$2,RESOURCES!$C$3:$L$3,0),FALSE),"-")</f>
        <v>PASQUIN, Ryan</v>
      </c>
      <c r="G18" s="92" t="str">
        <f>IFERROR(VLOOKUP($B18,RESOURCES!$C:$L,MATCH('PRODUCTIVITY RAW'!G$2,RESOURCES!$C$3:$L$3,0),FALSE),"-")</f>
        <v>MENDOZA, Carlo</v>
      </c>
      <c r="H18" s="92" t="str">
        <f>IFERROR(VLOOKUP($B18,RESOURCES!$C:$L,MATCH('PRODUCTIVITY RAW'!H$2,RESOURCES!$C$3:$L$3,0),FALSE),"-")</f>
        <v>Ventanilla, Mike</v>
      </c>
      <c r="I18" s="8"/>
      <c r="J18" s="8"/>
      <c r="K18" s="9" t="str">
        <f>IFERROR(VLOOKUP($B18,RESOURCES!$C:$L,MATCH('PRODUCTIVITY RAW'!K$2,RESOURCES!$C$3:$L$3,0),FALSE),"-")</f>
        <v>Expert</v>
      </c>
      <c r="L18" s="21">
        <f t="shared" si="0"/>
        <v>65.199999999999918</v>
      </c>
      <c r="M18" s="21">
        <f t="shared" si="1"/>
        <v>105</v>
      </c>
      <c r="N18" s="21">
        <f t="shared" si="3"/>
        <v>14</v>
      </c>
      <c r="O18" s="86">
        <f t="shared" si="4"/>
        <v>4.6571428571428513</v>
      </c>
      <c r="P18" s="86">
        <f>IFERROR(VLOOKUP($D18,KPI!$V:$AN,2,FALSE),"-")</f>
        <v>3</v>
      </c>
      <c r="Q18" s="32">
        <f t="shared" si="5"/>
        <v>1</v>
      </c>
      <c r="R18" s="185">
        <f t="shared" si="6"/>
        <v>41.533333333333331</v>
      </c>
      <c r="S18" s="89" t="str">
        <f t="shared" si="7"/>
        <v>Proofreader</v>
      </c>
      <c r="AG18" s="664">
        <v>16</v>
      </c>
      <c r="AH18" s="664">
        <v>10072471</v>
      </c>
      <c r="AI18" s="664" t="s">
        <v>107</v>
      </c>
      <c r="AJ18" s="92" t="s">
        <v>87</v>
      </c>
      <c r="AK18" s="92" t="s">
        <v>105</v>
      </c>
      <c r="AL18" s="92" t="s">
        <v>106</v>
      </c>
      <c r="AM18" s="92" t="s">
        <v>85</v>
      </c>
      <c r="AN18" s="92" t="s">
        <v>86</v>
      </c>
      <c r="AO18" s="157">
        <v>65.199999999999918</v>
      </c>
      <c r="AP18" s="157">
        <v>105</v>
      </c>
      <c r="AQ18" s="571">
        <v>0.46666666666666667</v>
      </c>
      <c r="AS18" s="664">
        <f t="shared" si="9"/>
        <v>16</v>
      </c>
      <c r="AT18" s="664"/>
      <c r="AU18" s="664"/>
      <c r="AV18" s="92" t="str">
        <f>IFERROR(VLOOKUP($AT18,RESOURCES!$C:$L,MATCH('PRODUCTIVITY RAW'!AV$2,RESOURCES!$C$3:$L$3,0),FALSE),"-")</f>
        <v>-</v>
      </c>
      <c r="AW18" s="92" t="str">
        <f>IFERROR(VLOOKUP($AT18,RESOURCES!$C:$L,MATCH('PRODUCTIVITY RAW'!AW$2,RESOURCES!$C$3:$L$3,0),FALSE),"-")</f>
        <v>-</v>
      </c>
      <c r="AX18" s="92" t="str">
        <f>IFERROR(VLOOKUP($AT18,RESOURCES!$C:$L,MATCH('PRODUCTIVITY RAW'!AX$2,RESOURCES!$C$3:$L$3,0),FALSE),"-")</f>
        <v>-</v>
      </c>
      <c r="AY18" s="92" t="str">
        <f>IFERROR(VLOOKUP($AT18,RESOURCES!$C:$L,MATCH('PRODUCTIVITY RAW'!AY$2,RESOURCES!$C$3:$L$3,0),FALSE),"-")</f>
        <v>-</v>
      </c>
      <c r="AZ18" s="92" t="str">
        <f>IFERROR(VLOOKUP($AT18,RESOURCES!$C:$L,MATCH('PRODUCTIVITY RAW'!AZ$2,RESOURCES!$C$3:$L$3,0),FALSE),"-")</f>
        <v>-</v>
      </c>
      <c r="BA18" s="20"/>
    </row>
    <row r="19" spans="1:96">
      <c r="A19" s="664">
        <f t="shared" si="8"/>
        <v>17</v>
      </c>
      <c r="B19" s="466">
        <f t="shared" si="2"/>
        <v>10072182</v>
      </c>
      <c r="C19" s="92" t="str">
        <f>IFERROR(VLOOKUP($B19,RESOURCES!$C:$L,MATCH('PRODUCTIVITY RAW'!C$2,RESOURCES!$C$3:$L$3,0),FALSE),"-")</f>
        <v>GONZAGA, AYRA N.</v>
      </c>
      <c r="D19" s="92" t="str">
        <f>IFERROR(VLOOKUP($B19,RESOURCES!$C:$L,MATCH('PRODUCTIVITY RAW'!D$2,RESOURCES!$C$3:$L$3,0),FALSE),"-")</f>
        <v>Proofreader</v>
      </c>
      <c r="E19" s="92" t="str">
        <f>IFERROR(VLOOKUP($B19,RESOURCES!$C:$L,MATCH('PRODUCTIVITY RAW'!E$2,RESOURCES!$C$3:$L$3,0),FALSE),"-")</f>
        <v>REMULLA, Apple</v>
      </c>
      <c r="F19" s="92" t="str">
        <f>IFERROR(VLOOKUP($B19,RESOURCES!$C:$L,MATCH('PRODUCTIVITY RAW'!F$2,RESOURCES!$C$3:$L$3,0),FALSE),"-")</f>
        <v>PASQUIN, Ryan</v>
      </c>
      <c r="G19" s="92" t="str">
        <f>IFERROR(VLOOKUP($B19,RESOURCES!$C:$L,MATCH('PRODUCTIVITY RAW'!G$2,RESOURCES!$C$3:$L$3,0),FALSE),"-")</f>
        <v>MENDOZA, Carlo</v>
      </c>
      <c r="H19" s="92" t="str">
        <f>IFERROR(VLOOKUP($B19,RESOURCES!$C:$L,MATCH('PRODUCTIVITY RAW'!H$2,RESOURCES!$C$3:$L$3,0),FALSE),"-")</f>
        <v>Ventanilla, Mike</v>
      </c>
      <c r="I19" s="8"/>
      <c r="J19" s="8"/>
      <c r="K19" s="9" t="str">
        <f>IFERROR(VLOOKUP($B19,RESOURCES!$C:$L,MATCH('PRODUCTIVITY RAW'!K$2,RESOURCES!$C$3:$L$3,0),FALSE),"-")</f>
        <v>Expert</v>
      </c>
      <c r="L19" s="21">
        <f t="shared" si="0"/>
        <v>59.399999999999935</v>
      </c>
      <c r="M19" s="21">
        <f t="shared" si="1"/>
        <v>127.5</v>
      </c>
      <c r="N19" s="21">
        <f t="shared" si="3"/>
        <v>17</v>
      </c>
      <c r="O19" s="86">
        <f t="shared" si="4"/>
        <v>3.4941176470588196</v>
      </c>
      <c r="P19" s="86">
        <f>IFERROR(VLOOKUP($D19,KPI!$V:$AN,2,FALSE),"-")</f>
        <v>3</v>
      </c>
      <c r="Q19" s="32">
        <f t="shared" si="5"/>
        <v>1</v>
      </c>
      <c r="R19" s="185">
        <f t="shared" si="6"/>
        <v>49.93333333333333</v>
      </c>
      <c r="S19" s="89" t="str">
        <f t="shared" si="7"/>
        <v>Proofreader</v>
      </c>
      <c r="AG19" s="664">
        <v>17</v>
      </c>
      <c r="AH19" s="664">
        <v>10072182</v>
      </c>
      <c r="AI19" s="664" t="s">
        <v>108</v>
      </c>
      <c r="AJ19" s="92" t="s">
        <v>87</v>
      </c>
      <c r="AK19" s="92" t="s">
        <v>105</v>
      </c>
      <c r="AL19" s="92" t="s">
        <v>106</v>
      </c>
      <c r="AM19" s="92" t="s">
        <v>85</v>
      </c>
      <c r="AN19" s="92" t="s">
        <v>86</v>
      </c>
      <c r="AO19" s="157">
        <v>59.399999999999935</v>
      </c>
      <c r="AP19" s="157">
        <v>127.5</v>
      </c>
      <c r="AQ19" s="571">
        <v>1.0666666666666667</v>
      </c>
      <c r="AS19" s="664">
        <f t="shared" si="9"/>
        <v>17</v>
      </c>
      <c r="AT19" s="664"/>
      <c r="AU19" s="664"/>
      <c r="AV19" s="92" t="str">
        <f>IFERROR(VLOOKUP($AT19,RESOURCES!$C:$L,MATCH('PRODUCTIVITY RAW'!AV$2,RESOURCES!$C$3:$L$3,0),FALSE),"-")</f>
        <v>-</v>
      </c>
      <c r="AW19" s="92" t="str">
        <f>IFERROR(VLOOKUP($AT19,RESOURCES!$C:$L,MATCH('PRODUCTIVITY RAW'!AW$2,RESOURCES!$C$3:$L$3,0),FALSE),"-")</f>
        <v>-</v>
      </c>
      <c r="AX19" s="92" t="str">
        <f>IFERROR(VLOOKUP($AT19,RESOURCES!$C:$L,MATCH('PRODUCTIVITY RAW'!AX$2,RESOURCES!$C$3:$L$3,0),FALSE),"-")</f>
        <v>-</v>
      </c>
      <c r="AY19" s="92" t="str">
        <f>IFERROR(VLOOKUP($AT19,RESOURCES!$C:$L,MATCH('PRODUCTIVITY RAW'!AY$2,RESOURCES!$C$3:$L$3,0),FALSE),"-")</f>
        <v>-</v>
      </c>
      <c r="AZ19" s="92" t="str">
        <f>IFERROR(VLOOKUP($AT19,RESOURCES!$C:$L,MATCH('PRODUCTIVITY RAW'!AZ$2,RESOURCES!$C$3:$L$3,0),FALSE),"-")</f>
        <v>-</v>
      </c>
      <c r="BA19" s="20"/>
    </row>
    <row r="20" spans="1:96">
      <c r="A20" s="664">
        <f t="shared" si="8"/>
        <v>18</v>
      </c>
      <c r="B20" s="466">
        <f t="shared" si="2"/>
        <v>10072222</v>
      </c>
      <c r="C20" s="92" t="str">
        <f>IFERROR(VLOOKUP($B20,RESOURCES!$C:$L,MATCH('PRODUCTIVITY RAW'!C$2,RESOURCES!$C$3:$L$3,0),FALSE),"-")</f>
        <v>GUTIERREZ, JOSE ARMANDO K., II</v>
      </c>
      <c r="D20" s="92" t="str">
        <f>IFERROR(VLOOKUP($B20,RESOURCES!$C:$L,MATCH('PRODUCTIVITY RAW'!D$2,RESOURCES!$C$3:$L$3,0),FALSE),"-")</f>
        <v>Proofreader</v>
      </c>
      <c r="E20" s="92" t="str">
        <f>IFERROR(VLOOKUP($B20,RESOURCES!$C:$L,MATCH('PRODUCTIVITY RAW'!E$2,RESOURCES!$C$3:$L$3,0),FALSE),"-")</f>
        <v>REMULLA, Apple</v>
      </c>
      <c r="F20" s="92" t="str">
        <f>IFERROR(VLOOKUP($B20,RESOURCES!$C:$L,MATCH('PRODUCTIVITY RAW'!F$2,RESOURCES!$C$3:$L$3,0),FALSE),"-")</f>
        <v>PASQUIN, Ryan</v>
      </c>
      <c r="G20" s="92" t="str">
        <f>IFERROR(VLOOKUP($B20,RESOURCES!$C:$L,MATCH('PRODUCTIVITY RAW'!G$2,RESOURCES!$C$3:$L$3,0),FALSE),"-")</f>
        <v>MENDOZA, Carlo</v>
      </c>
      <c r="H20" s="92" t="str">
        <f>IFERROR(VLOOKUP($B20,RESOURCES!$C:$L,MATCH('PRODUCTIVITY RAW'!H$2,RESOURCES!$C$3:$L$3,0),FALSE),"-")</f>
        <v>Ventanilla, Mike</v>
      </c>
      <c r="I20" s="8"/>
      <c r="J20" s="8"/>
      <c r="K20" s="9" t="str">
        <f>IFERROR(VLOOKUP($B20,RESOURCES!$C:$L,MATCH('PRODUCTIVITY RAW'!K$2,RESOURCES!$C$3:$L$3,0),FALSE),"-")</f>
        <v>Expert</v>
      </c>
      <c r="L20" s="21">
        <f t="shared" si="0"/>
        <v>55.39999999999992</v>
      </c>
      <c r="M20" s="21">
        <f t="shared" si="1"/>
        <v>120</v>
      </c>
      <c r="N20" s="21">
        <f t="shared" si="3"/>
        <v>16</v>
      </c>
      <c r="O20" s="86">
        <f t="shared" si="4"/>
        <v>3.462499999999995</v>
      </c>
      <c r="P20" s="86">
        <f>IFERROR(VLOOKUP($D20,KPI!$V:$AN,2,FALSE),"-")</f>
        <v>3</v>
      </c>
      <c r="Q20" s="32">
        <f t="shared" si="5"/>
        <v>1</v>
      </c>
      <c r="R20" s="185">
        <f t="shared" si="6"/>
        <v>47.333333333333336</v>
      </c>
      <c r="S20" s="89" t="str">
        <f t="shared" si="7"/>
        <v>Proofreader</v>
      </c>
      <c r="AG20" s="664">
        <v>18</v>
      </c>
      <c r="AH20" s="664">
        <v>10072222</v>
      </c>
      <c r="AI20" s="664" t="s">
        <v>109</v>
      </c>
      <c r="AJ20" s="92" t="s">
        <v>87</v>
      </c>
      <c r="AK20" s="92" t="s">
        <v>105</v>
      </c>
      <c r="AL20" s="92" t="s">
        <v>106</v>
      </c>
      <c r="AM20" s="92" t="s">
        <v>85</v>
      </c>
      <c r="AN20" s="92" t="s">
        <v>86</v>
      </c>
      <c r="AO20" s="157">
        <v>55.39999999999992</v>
      </c>
      <c r="AP20" s="157">
        <v>120</v>
      </c>
      <c r="AQ20" s="571">
        <v>0.66666666666666674</v>
      </c>
      <c r="AS20" s="664">
        <f t="shared" si="9"/>
        <v>18</v>
      </c>
      <c r="AT20" s="664"/>
      <c r="AU20" s="664"/>
      <c r="AV20" s="92" t="str">
        <f>IFERROR(VLOOKUP($AT20,RESOURCES!$C:$L,MATCH('PRODUCTIVITY RAW'!AV$2,RESOURCES!$C$3:$L$3,0),FALSE),"-")</f>
        <v>-</v>
      </c>
      <c r="AW20" s="92" t="str">
        <f>IFERROR(VLOOKUP($AT20,RESOURCES!$C:$L,MATCH('PRODUCTIVITY RAW'!AW$2,RESOURCES!$C$3:$L$3,0),FALSE),"-")</f>
        <v>-</v>
      </c>
      <c r="AX20" s="92" t="str">
        <f>IFERROR(VLOOKUP($AT20,RESOURCES!$C:$L,MATCH('PRODUCTIVITY RAW'!AX$2,RESOURCES!$C$3:$L$3,0),FALSE),"-")</f>
        <v>-</v>
      </c>
      <c r="AY20" s="92" t="str">
        <f>IFERROR(VLOOKUP($AT20,RESOURCES!$C:$L,MATCH('PRODUCTIVITY RAW'!AY$2,RESOURCES!$C$3:$L$3,0),FALSE),"-")</f>
        <v>-</v>
      </c>
      <c r="AZ20" s="92" t="str">
        <f>IFERROR(VLOOKUP($AT20,RESOURCES!$C:$L,MATCH('PRODUCTIVITY RAW'!AZ$2,RESOURCES!$C$3:$L$3,0),FALSE),"-")</f>
        <v>-</v>
      </c>
      <c r="BA20" s="20"/>
    </row>
    <row r="21" spans="1:96">
      <c r="A21" s="664">
        <f t="shared" si="8"/>
        <v>19</v>
      </c>
      <c r="B21" s="466">
        <f t="shared" si="2"/>
        <v>10072472</v>
      </c>
      <c r="C21" s="92" t="str">
        <f>IFERROR(VLOOKUP($B21,RESOURCES!$C:$L,MATCH('PRODUCTIVITY RAW'!C$2,RESOURCES!$C$3:$L$3,0),FALSE),"-")</f>
        <v>LIAD, ANGELICA A.</v>
      </c>
      <c r="D21" s="92" t="str">
        <f>IFERROR(VLOOKUP($B21,RESOURCES!$C:$L,MATCH('PRODUCTIVITY RAW'!D$2,RESOURCES!$C$3:$L$3,0),FALSE),"-")</f>
        <v>Proofreader</v>
      </c>
      <c r="E21" s="92" t="str">
        <f>IFERROR(VLOOKUP($B21,RESOURCES!$C:$L,MATCH('PRODUCTIVITY RAW'!E$2,RESOURCES!$C$3:$L$3,0),FALSE),"-")</f>
        <v>REMULLA, Apple</v>
      </c>
      <c r="F21" s="92" t="str">
        <f>IFERROR(VLOOKUP($B21,RESOURCES!$C:$L,MATCH('PRODUCTIVITY RAW'!F$2,RESOURCES!$C$3:$L$3,0),FALSE),"-")</f>
        <v>PASQUIN, Ryan</v>
      </c>
      <c r="G21" s="92" t="str">
        <f>IFERROR(VLOOKUP($B21,RESOURCES!$C:$L,MATCH('PRODUCTIVITY RAW'!G$2,RESOURCES!$C$3:$L$3,0),FALSE),"-")</f>
        <v>MENDOZA, Carlo</v>
      </c>
      <c r="H21" s="92" t="str">
        <f>IFERROR(VLOOKUP($B21,RESOURCES!$C:$L,MATCH('PRODUCTIVITY RAW'!H$2,RESOURCES!$C$3:$L$3,0),FALSE),"-")</f>
        <v>Ventanilla, Mike</v>
      </c>
      <c r="I21" s="8"/>
      <c r="J21" s="8"/>
      <c r="K21" s="9" t="str">
        <f>IFERROR(VLOOKUP($B21,RESOURCES!$C:$L,MATCH('PRODUCTIVITY RAW'!K$2,RESOURCES!$C$3:$L$3,0),FALSE),"-")</f>
        <v>Expert</v>
      </c>
      <c r="L21" s="21">
        <f t="shared" si="0"/>
        <v>39.799999999999976</v>
      </c>
      <c r="M21" s="21">
        <f t="shared" si="1"/>
        <v>105</v>
      </c>
      <c r="N21" s="21">
        <f t="shared" si="3"/>
        <v>14</v>
      </c>
      <c r="O21" s="86">
        <f t="shared" si="4"/>
        <v>2.8428571428571412</v>
      </c>
      <c r="P21" s="86">
        <f>IFERROR(VLOOKUP($D21,KPI!$V:$AN,2,FALSE),"-")</f>
        <v>3</v>
      </c>
      <c r="Q21" s="32">
        <f t="shared" si="5"/>
        <v>0.99334442595673811</v>
      </c>
      <c r="R21" s="185">
        <f t="shared" si="6"/>
        <v>40.06666666666667</v>
      </c>
      <c r="S21" s="89" t="str">
        <f t="shared" si="7"/>
        <v>Proofreader</v>
      </c>
      <c r="AG21" s="664">
        <v>19</v>
      </c>
      <c r="AH21" s="664">
        <v>10072472</v>
      </c>
      <c r="AI21" s="664" t="s">
        <v>110</v>
      </c>
      <c r="AJ21" s="92" t="s">
        <v>87</v>
      </c>
      <c r="AK21" s="92" t="s">
        <v>105</v>
      </c>
      <c r="AL21" s="92" t="s">
        <v>106</v>
      </c>
      <c r="AM21" s="92" t="s">
        <v>85</v>
      </c>
      <c r="AN21" s="92" t="s">
        <v>86</v>
      </c>
      <c r="AO21" s="157">
        <v>39.799999999999976</v>
      </c>
      <c r="AP21" s="157">
        <v>105</v>
      </c>
      <c r="AQ21" s="571">
        <v>1.9333333333333331</v>
      </c>
      <c r="AS21" s="664">
        <f t="shared" si="9"/>
        <v>19</v>
      </c>
      <c r="AT21" s="664"/>
      <c r="AU21" s="664"/>
      <c r="AV21" s="92" t="str">
        <f>IFERROR(VLOOKUP($AT21,RESOURCES!$C:$L,MATCH('PRODUCTIVITY RAW'!AV$2,RESOURCES!$C$3:$L$3,0),FALSE),"-")</f>
        <v>-</v>
      </c>
      <c r="AW21" s="92" t="str">
        <f>IFERROR(VLOOKUP($AT21,RESOURCES!$C:$L,MATCH('PRODUCTIVITY RAW'!AW$2,RESOURCES!$C$3:$L$3,0),FALSE),"-")</f>
        <v>-</v>
      </c>
      <c r="AX21" s="92" t="str">
        <f>IFERROR(VLOOKUP($AT21,RESOURCES!$C:$L,MATCH('PRODUCTIVITY RAW'!AX$2,RESOURCES!$C$3:$L$3,0),FALSE),"-")</f>
        <v>-</v>
      </c>
      <c r="AY21" s="92" t="str">
        <f>IFERROR(VLOOKUP($AT21,RESOURCES!$C:$L,MATCH('PRODUCTIVITY RAW'!AY$2,RESOURCES!$C$3:$L$3,0),FALSE),"-")</f>
        <v>-</v>
      </c>
      <c r="AZ21" s="92" t="str">
        <f>IFERROR(VLOOKUP($AT21,RESOURCES!$C:$L,MATCH('PRODUCTIVITY RAW'!AZ$2,RESOURCES!$C$3:$L$3,0),FALSE),"-")</f>
        <v>-</v>
      </c>
      <c r="BA21" s="20"/>
    </row>
    <row r="22" spans="1:96">
      <c r="A22" s="664">
        <f t="shared" si="8"/>
        <v>20</v>
      </c>
      <c r="B22" s="466">
        <f t="shared" si="2"/>
        <v>10072069</v>
      </c>
      <c r="C22" s="92" t="str">
        <f>IFERROR(VLOOKUP($B22,RESOURCES!$C:$L,MATCH('PRODUCTIVITY RAW'!C$2,RESOURCES!$C$3:$L$3,0),FALSE),"-")</f>
        <v>MONZON, PAULINE JOYCE A.</v>
      </c>
      <c r="D22" s="92" t="str">
        <f>IFERROR(VLOOKUP($B22,RESOURCES!$C:$L,MATCH('PRODUCTIVITY RAW'!D$2,RESOURCES!$C$3:$L$3,0),FALSE),"-")</f>
        <v>Proofreader</v>
      </c>
      <c r="E22" s="92" t="str">
        <f>IFERROR(VLOOKUP($B22,RESOURCES!$C:$L,MATCH('PRODUCTIVITY RAW'!E$2,RESOURCES!$C$3:$L$3,0),FALSE),"-")</f>
        <v>REMULLA, Apple</v>
      </c>
      <c r="F22" s="92" t="str">
        <f>IFERROR(VLOOKUP($B22,RESOURCES!$C:$L,MATCH('PRODUCTIVITY RAW'!F$2,RESOURCES!$C$3:$L$3,0),FALSE),"-")</f>
        <v>PASQUIN, Ryan</v>
      </c>
      <c r="G22" s="92" t="str">
        <f>IFERROR(VLOOKUP($B22,RESOURCES!$C:$L,MATCH('PRODUCTIVITY RAW'!G$2,RESOURCES!$C$3:$L$3,0),FALSE),"-")</f>
        <v>MENDOZA, Carlo</v>
      </c>
      <c r="H22" s="92" t="str">
        <f>IFERROR(VLOOKUP($B22,RESOURCES!$C:$L,MATCH('PRODUCTIVITY RAW'!H$2,RESOURCES!$C$3:$L$3,0),FALSE),"-")</f>
        <v>Ventanilla, Mike</v>
      </c>
      <c r="I22" s="8"/>
      <c r="J22" s="8"/>
      <c r="K22" s="9" t="str">
        <f>IFERROR(VLOOKUP($B22,RESOURCES!$C:$L,MATCH('PRODUCTIVITY RAW'!K$2,RESOURCES!$C$3:$L$3,0),FALSE),"-")</f>
        <v>Expert</v>
      </c>
      <c r="L22" s="21">
        <f t="shared" si="0"/>
        <v>34.399999999999977</v>
      </c>
      <c r="M22" s="21">
        <f t="shared" si="1"/>
        <v>127.5</v>
      </c>
      <c r="N22" s="21">
        <f t="shared" si="3"/>
        <v>17</v>
      </c>
      <c r="O22" s="86">
        <f t="shared" si="4"/>
        <v>2.0235294117647045</v>
      </c>
      <c r="P22" s="86">
        <f>IFERROR(VLOOKUP($D22,KPI!$V:$AN,2,FALSE),"-")</f>
        <v>3</v>
      </c>
      <c r="Q22" s="32">
        <f t="shared" si="5"/>
        <v>0.6852589641434258</v>
      </c>
      <c r="R22" s="185">
        <f t="shared" si="6"/>
        <v>50.2</v>
      </c>
      <c r="S22" s="89" t="str">
        <f t="shared" si="7"/>
        <v>Proofreader</v>
      </c>
      <c r="AG22" s="664">
        <v>20</v>
      </c>
      <c r="AH22" s="664">
        <v>10072069</v>
      </c>
      <c r="AI22" s="664" t="s">
        <v>111</v>
      </c>
      <c r="AJ22" s="92" t="s">
        <v>87</v>
      </c>
      <c r="AK22" s="92" t="s">
        <v>105</v>
      </c>
      <c r="AL22" s="92" t="s">
        <v>106</v>
      </c>
      <c r="AM22" s="92" t="s">
        <v>85</v>
      </c>
      <c r="AN22" s="92" t="s">
        <v>86</v>
      </c>
      <c r="AO22" s="157">
        <v>34.399999999999977</v>
      </c>
      <c r="AP22" s="157">
        <v>127.5</v>
      </c>
      <c r="AQ22" s="571">
        <v>0.8</v>
      </c>
      <c r="AS22" s="664">
        <f t="shared" si="9"/>
        <v>20</v>
      </c>
      <c r="AT22" s="664"/>
      <c r="AU22" s="664"/>
      <c r="AV22" s="92" t="str">
        <f>IFERROR(VLOOKUP($AT22,RESOURCES!$C:$L,MATCH('PRODUCTIVITY RAW'!AV$2,RESOURCES!$C$3:$L$3,0),FALSE),"-")</f>
        <v>-</v>
      </c>
      <c r="AW22" s="92" t="str">
        <f>IFERROR(VLOOKUP($AT22,RESOURCES!$C:$L,MATCH('PRODUCTIVITY RAW'!AW$2,RESOURCES!$C$3:$L$3,0),FALSE),"-")</f>
        <v>-</v>
      </c>
      <c r="AX22" s="92" t="str">
        <f>IFERROR(VLOOKUP($AT22,RESOURCES!$C:$L,MATCH('PRODUCTIVITY RAW'!AX$2,RESOURCES!$C$3:$L$3,0),FALSE),"-")</f>
        <v>-</v>
      </c>
      <c r="AY22" s="92" t="str">
        <f>IFERROR(VLOOKUP($AT22,RESOURCES!$C:$L,MATCH('PRODUCTIVITY RAW'!AY$2,RESOURCES!$C$3:$L$3,0),FALSE),"-")</f>
        <v>-</v>
      </c>
      <c r="AZ22" s="92" t="str">
        <f>IFERROR(VLOOKUP($AT22,RESOURCES!$C:$L,MATCH('PRODUCTIVITY RAW'!AZ$2,RESOURCES!$C$3:$L$3,0),FALSE),"-")</f>
        <v>-</v>
      </c>
      <c r="BA22" s="20"/>
    </row>
    <row r="23" spans="1:96">
      <c r="A23" s="664">
        <f t="shared" si="8"/>
        <v>21</v>
      </c>
      <c r="B23" s="466">
        <f t="shared" si="2"/>
        <v>10072097</v>
      </c>
      <c r="C23" s="92" t="str">
        <f>IFERROR(VLOOKUP($B23,RESOURCES!$C:$L,MATCH('PRODUCTIVITY RAW'!C$2,RESOURCES!$C$3:$L$3,0),FALSE),"-")</f>
        <v>NAVAL, MARY GRACE M.</v>
      </c>
      <c r="D23" s="92" t="str">
        <f>IFERROR(VLOOKUP($B23,RESOURCES!$C:$L,MATCH('PRODUCTIVITY RAW'!D$2,RESOURCES!$C$3:$L$3,0),FALSE),"-")</f>
        <v>Proofreader</v>
      </c>
      <c r="E23" s="92" t="str">
        <f>IFERROR(VLOOKUP($B23,RESOURCES!$C:$L,MATCH('PRODUCTIVITY RAW'!E$2,RESOURCES!$C$3:$L$3,0),FALSE),"-")</f>
        <v>REMULLA, Apple</v>
      </c>
      <c r="F23" s="92" t="str">
        <f>IFERROR(VLOOKUP($B23,RESOURCES!$C:$L,MATCH('PRODUCTIVITY RAW'!F$2,RESOURCES!$C$3:$L$3,0),FALSE),"-")</f>
        <v>PASQUIN, Ryan</v>
      </c>
      <c r="G23" s="92" t="str">
        <f>IFERROR(VLOOKUP($B23,RESOURCES!$C:$L,MATCH('PRODUCTIVITY RAW'!G$2,RESOURCES!$C$3:$L$3,0),FALSE),"-")</f>
        <v>MENDOZA, Carlo</v>
      </c>
      <c r="H23" s="92" t="str">
        <f>IFERROR(VLOOKUP($B23,RESOURCES!$C:$L,MATCH('PRODUCTIVITY RAW'!H$2,RESOURCES!$C$3:$L$3,0),FALSE),"-")</f>
        <v>Ventanilla, Mike</v>
      </c>
      <c r="I23" s="8"/>
      <c r="J23" s="8"/>
      <c r="K23" s="9" t="str">
        <f>IFERROR(VLOOKUP($B23,RESOURCES!$C:$L,MATCH('PRODUCTIVITY RAW'!K$2,RESOURCES!$C$3:$L$3,0),FALSE),"-")</f>
        <v>Expert</v>
      </c>
      <c r="L23" s="21">
        <f t="shared" si="0"/>
        <v>51.099999999999945</v>
      </c>
      <c r="M23" s="21">
        <f t="shared" si="1"/>
        <v>120</v>
      </c>
      <c r="N23" s="21">
        <f t="shared" si="3"/>
        <v>16</v>
      </c>
      <c r="O23" s="86">
        <f t="shared" si="4"/>
        <v>3.1937499999999965</v>
      </c>
      <c r="P23" s="86">
        <f>IFERROR(VLOOKUP($D23,KPI!$V:$AN,2,FALSE),"-")</f>
        <v>3</v>
      </c>
      <c r="Q23" s="32">
        <f t="shared" si="5"/>
        <v>1</v>
      </c>
      <c r="R23" s="185">
        <f t="shared" si="6"/>
        <v>47.06666666666667</v>
      </c>
      <c r="S23" s="89" t="str">
        <f t="shared" si="7"/>
        <v>Proofreader</v>
      </c>
      <c r="AG23" s="664">
        <v>21</v>
      </c>
      <c r="AH23" s="664">
        <v>10072097</v>
      </c>
      <c r="AI23" s="664" t="s">
        <v>112</v>
      </c>
      <c r="AJ23" s="92" t="s">
        <v>87</v>
      </c>
      <c r="AK23" s="92" t="s">
        <v>105</v>
      </c>
      <c r="AL23" s="92" t="s">
        <v>106</v>
      </c>
      <c r="AM23" s="92" t="s">
        <v>85</v>
      </c>
      <c r="AN23" s="92" t="s">
        <v>86</v>
      </c>
      <c r="AO23" s="157">
        <v>51.099999999999945</v>
      </c>
      <c r="AP23" s="157">
        <v>120</v>
      </c>
      <c r="AQ23" s="571">
        <v>0.93333333333333335</v>
      </c>
      <c r="AS23" s="664">
        <f t="shared" si="9"/>
        <v>21</v>
      </c>
      <c r="AT23" s="664"/>
      <c r="AU23" s="664"/>
      <c r="AV23" s="92" t="str">
        <f>IFERROR(VLOOKUP($AT23,RESOURCES!$C:$L,MATCH('PRODUCTIVITY RAW'!AV$2,RESOURCES!$C$3:$L$3,0),FALSE),"-")</f>
        <v>-</v>
      </c>
      <c r="AW23" s="92" t="str">
        <f>IFERROR(VLOOKUP($AT23,RESOURCES!$C:$L,MATCH('PRODUCTIVITY RAW'!AW$2,RESOURCES!$C$3:$L$3,0),FALSE),"-")</f>
        <v>-</v>
      </c>
      <c r="AX23" s="92" t="str">
        <f>IFERROR(VLOOKUP($AT23,RESOURCES!$C:$L,MATCH('PRODUCTIVITY RAW'!AX$2,RESOURCES!$C$3:$L$3,0),FALSE),"-")</f>
        <v>-</v>
      </c>
      <c r="AY23" s="92" t="str">
        <f>IFERROR(VLOOKUP($AT23,RESOURCES!$C:$L,MATCH('PRODUCTIVITY RAW'!AY$2,RESOURCES!$C$3:$L$3,0),FALSE),"-")</f>
        <v>-</v>
      </c>
      <c r="AZ23" s="92" t="str">
        <f>IFERROR(VLOOKUP($AT23,RESOURCES!$C:$L,MATCH('PRODUCTIVITY RAW'!AZ$2,RESOURCES!$C$3:$L$3,0),FALSE),"-")</f>
        <v>-</v>
      </c>
      <c r="BA23" s="20"/>
    </row>
    <row r="24" spans="1:96">
      <c r="A24" s="664">
        <f t="shared" si="8"/>
        <v>22</v>
      </c>
      <c r="B24" s="466">
        <f t="shared" si="2"/>
        <v>10072077</v>
      </c>
      <c r="C24" s="92" t="str">
        <f>IFERROR(VLOOKUP($B24,RESOURCES!$C:$L,MATCH('PRODUCTIVITY RAW'!C$2,RESOURCES!$C$3:$L$3,0),FALSE),"-")</f>
        <v>OMAMBAC, JIMSEN P.</v>
      </c>
      <c r="D24" s="92" t="str">
        <f>IFERROR(VLOOKUP($B24,RESOURCES!$C:$L,MATCH('PRODUCTIVITY RAW'!D$2,RESOURCES!$C$3:$L$3,0),FALSE),"-")</f>
        <v>Proofreader</v>
      </c>
      <c r="E24" s="92" t="str">
        <f>IFERROR(VLOOKUP($B24,RESOURCES!$C:$L,MATCH('PRODUCTIVITY RAW'!E$2,RESOURCES!$C$3:$L$3,0),FALSE),"-")</f>
        <v>REMULLA, Apple</v>
      </c>
      <c r="F24" s="92" t="str">
        <f>IFERROR(VLOOKUP($B24,RESOURCES!$C:$L,MATCH('PRODUCTIVITY RAW'!F$2,RESOURCES!$C$3:$L$3,0),FALSE),"-")</f>
        <v>PASQUIN, Ryan</v>
      </c>
      <c r="G24" s="92" t="str">
        <f>IFERROR(VLOOKUP($B24,RESOURCES!$C:$L,MATCH('PRODUCTIVITY RAW'!G$2,RESOURCES!$C$3:$L$3,0),FALSE),"-")</f>
        <v>MENDOZA, Carlo</v>
      </c>
      <c r="H24" s="92" t="str">
        <f>IFERROR(VLOOKUP($B24,RESOURCES!$C:$L,MATCH('PRODUCTIVITY RAW'!H$2,RESOURCES!$C$3:$L$3,0),FALSE),"-")</f>
        <v>Ventanilla, Mike</v>
      </c>
      <c r="I24" s="8"/>
      <c r="J24" s="8"/>
      <c r="K24" s="9" t="str">
        <f>IFERROR(VLOOKUP($B24,RESOURCES!$C:$L,MATCH('PRODUCTIVITY RAW'!K$2,RESOURCES!$C$3:$L$3,0),FALSE),"-")</f>
        <v>Expert</v>
      </c>
      <c r="L24" s="21">
        <f t="shared" si="0"/>
        <v>70.199999999999974</v>
      </c>
      <c r="M24" s="21">
        <f t="shared" si="1"/>
        <v>135</v>
      </c>
      <c r="N24" s="21">
        <f t="shared" si="3"/>
        <v>18</v>
      </c>
      <c r="O24" s="86">
        <f t="shared" si="4"/>
        <v>3.8999999999999986</v>
      </c>
      <c r="P24" s="86">
        <f>IFERROR(VLOOKUP($D24,KPI!$V:$AN,2,FALSE),"-")</f>
        <v>3</v>
      </c>
      <c r="Q24" s="32">
        <f t="shared" si="5"/>
        <v>1</v>
      </c>
      <c r="R24" s="185">
        <f t="shared" si="6"/>
        <v>52.93333333333333</v>
      </c>
      <c r="S24" s="89" t="str">
        <f t="shared" si="7"/>
        <v>Proofreader</v>
      </c>
      <c r="AG24" s="664">
        <v>22</v>
      </c>
      <c r="AH24" s="664">
        <v>10072077</v>
      </c>
      <c r="AI24" s="664" t="s">
        <v>113</v>
      </c>
      <c r="AJ24" s="92" t="s">
        <v>87</v>
      </c>
      <c r="AK24" s="92" t="s">
        <v>105</v>
      </c>
      <c r="AL24" s="92" t="s">
        <v>106</v>
      </c>
      <c r="AM24" s="92" t="s">
        <v>85</v>
      </c>
      <c r="AN24" s="92" t="s">
        <v>86</v>
      </c>
      <c r="AO24" s="157">
        <v>70.199999999999974</v>
      </c>
      <c r="AP24" s="157">
        <v>135</v>
      </c>
      <c r="AQ24" s="571">
        <v>1.0666666666666667</v>
      </c>
      <c r="AS24" s="664">
        <f t="shared" si="9"/>
        <v>22</v>
      </c>
      <c r="AT24" s="664"/>
      <c r="AU24" s="664"/>
      <c r="AV24" s="92" t="str">
        <f>IFERROR(VLOOKUP($AT24,RESOURCES!$C:$L,MATCH('PRODUCTIVITY RAW'!AV$2,RESOURCES!$C$3:$L$3,0),FALSE),"-")</f>
        <v>-</v>
      </c>
      <c r="AW24" s="92" t="str">
        <f>IFERROR(VLOOKUP($AT24,RESOURCES!$C:$L,MATCH('PRODUCTIVITY RAW'!AW$2,RESOURCES!$C$3:$L$3,0),FALSE),"-")</f>
        <v>-</v>
      </c>
      <c r="AX24" s="92" t="str">
        <f>IFERROR(VLOOKUP($AT24,RESOURCES!$C:$L,MATCH('PRODUCTIVITY RAW'!AX$2,RESOURCES!$C$3:$L$3,0),FALSE),"-")</f>
        <v>-</v>
      </c>
      <c r="AY24" s="92" t="str">
        <f>IFERROR(VLOOKUP($AT24,RESOURCES!$C:$L,MATCH('PRODUCTIVITY RAW'!AY$2,RESOURCES!$C$3:$L$3,0),FALSE),"-")</f>
        <v>-</v>
      </c>
      <c r="AZ24" s="92" t="str">
        <f>IFERROR(VLOOKUP($AT24,RESOURCES!$C:$L,MATCH('PRODUCTIVITY RAW'!AZ$2,RESOURCES!$C$3:$L$3,0),FALSE),"-")</f>
        <v>-</v>
      </c>
      <c r="BA24" s="20"/>
    </row>
    <row r="25" spans="1:96">
      <c r="A25" s="664">
        <f t="shared" si="8"/>
        <v>23</v>
      </c>
      <c r="B25" s="466">
        <f t="shared" si="2"/>
        <v>10071617</v>
      </c>
      <c r="C25" s="92" t="str">
        <f>IFERROR(VLOOKUP($B25,RESOURCES!$C:$L,MATCH('PRODUCTIVITY RAW'!C$2,RESOURCES!$C$3:$L$3,0),FALSE),"-")</f>
        <v>PARRILLA, CRISTINA MAY E.</v>
      </c>
      <c r="D25" s="92" t="str">
        <f>IFERROR(VLOOKUP($B25,RESOURCES!$C:$L,MATCH('PRODUCTIVITY RAW'!D$2,RESOURCES!$C$3:$L$3,0),FALSE),"-")</f>
        <v>Proofreader</v>
      </c>
      <c r="E25" s="92" t="str">
        <f>IFERROR(VLOOKUP($B25,RESOURCES!$C:$L,MATCH('PRODUCTIVITY RAW'!E$2,RESOURCES!$C$3:$L$3,0),FALSE),"-")</f>
        <v>REMULLA, Apple</v>
      </c>
      <c r="F25" s="92" t="str">
        <f>IFERROR(VLOOKUP($B25,RESOURCES!$C:$L,MATCH('PRODUCTIVITY RAW'!F$2,RESOURCES!$C$3:$L$3,0),FALSE),"-")</f>
        <v>PASQUIN, Ryan</v>
      </c>
      <c r="G25" s="92" t="str">
        <f>IFERROR(VLOOKUP($B25,RESOURCES!$C:$L,MATCH('PRODUCTIVITY RAW'!G$2,RESOURCES!$C$3:$L$3,0),FALSE),"-")</f>
        <v>MENDOZA, Carlo</v>
      </c>
      <c r="H25" s="92" t="str">
        <f>IFERROR(VLOOKUP($B25,RESOURCES!$C:$L,MATCH('PRODUCTIVITY RAW'!H$2,RESOURCES!$C$3:$L$3,0),FALSE),"-")</f>
        <v>Ventanilla, Mike</v>
      </c>
      <c r="I25" s="8"/>
      <c r="J25" s="8"/>
      <c r="K25" s="9" t="str">
        <f>IFERROR(VLOOKUP($B25,RESOURCES!$C:$L,MATCH('PRODUCTIVITY RAW'!K$2,RESOURCES!$C$3:$L$3,0),FALSE),"-")</f>
        <v>Expert</v>
      </c>
      <c r="L25" s="21">
        <f t="shared" si="0"/>
        <v>45.19999999999996</v>
      </c>
      <c r="M25" s="21">
        <f t="shared" si="1"/>
        <v>135</v>
      </c>
      <c r="N25" s="21">
        <f t="shared" si="3"/>
        <v>18</v>
      </c>
      <c r="O25" s="86">
        <f t="shared" si="4"/>
        <v>2.5111111111111089</v>
      </c>
      <c r="P25" s="86">
        <f>IFERROR(VLOOKUP($D25,KPI!$V:$AN,2,FALSE),"-")</f>
        <v>3</v>
      </c>
      <c r="Q25" s="32">
        <f t="shared" si="5"/>
        <v>0.86590038314176165</v>
      </c>
      <c r="R25" s="185">
        <f t="shared" si="6"/>
        <v>52.2</v>
      </c>
      <c r="S25" s="89" t="str">
        <f t="shared" si="7"/>
        <v>Proofreader</v>
      </c>
      <c r="AG25" s="664">
        <v>23</v>
      </c>
      <c r="AH25" s="664">
        <v>10071617</v>
      </c>
      <c r="AI25" s="664" t="s">
        <v>114</v>
      </c>
      <c r="AJ25" s="92" t="s">
        <v>87</v>
      </c>
      <c r="AK25" s="92" t="s">
        <v>105</v>
      </c>
      <c r="AL25" s="92" t="s">
        <v>106</v>
      </c>
      <c r="AM25" s="92" t="s">
        <v>85</v>
      </c>
      <c r="AN25" s="92" t="s">
        <v>86</v>
      </c>
      <c r="AO25" s="157">
        <v>45.19999999999996</v>
      </c>
      <c r="AP25" s="157">
        <v>135</v>
      </c>
      <c r="AQ25" s="571">
        <v>1.7999999999999998</v>
      </c>
      <c r="AS25" s="664">
        <f t="shared" si="9"/>
        <v>23</v>
      </c>
      <c r="AT25" s="664"/>
      <c r="AU25" s="664"/>
      <c r="AV25" s="92" t="str">
        <f>IFERROR(VLOOKUP($AT25,RESOURCES!$C:$L,MATCH('PRODUCTIVITY RAW'!AV$2,RESOURCES!$C$3:$L$3,0),FALSE),"-")</f>
        <v>-</v>
      </c>
      <c r="AW25" s="92" t="str">
        <f>IFERROR(VLOOKUP($AT25,RESOURCES!$C:$L,MATCH('PRODUCTIVITY RAW'!AW$2,RESOURCES!$C$3:$L$3,0),FALSE),"-")</f>
        <v>-</v>
      </c>
      <c r="AX25" s="92" t="str">
        <f>IFERROR(VLOOKUP($AT25,RESOURCES!$C:$L,MATCH('PRODUCTIVITY RAW'!AX$2,RESOURCES!$C$3:$L$3,0),FALSE),"-")</f>
        <v>-</v>
      </c>
      <c r="AY25" s="92" t="str">
        <f>IFERROR(VLOOKUP($AT25,RESOURCES!$C:$L,MATCH('PRODUCTIVITY RAW'!AY$2,RESOURCES!$C$3:$L$3,0),FALSE),"-")</f>
        <v>-</v>
      </c>
      <c r="AZ25" s="92" t="str">
        <f>IFERROR(VLOOKUP($AT25,RESOURCES!$C:$L,MATCH('PRODUCTIVITY RAW'!AZ$2,RESOURCES!$C$3:$L$3,0),FALSE),"-")</f>
        <v>-</v>
      </c>
      <c r="BA25" s="20"/>
    </row>
    <row r="26" spans="1:96">
      <c r="A26" s="664">
        <f t="shared" si="8"/>
        <v>24</v>
      </c>
      <c r="B26" s="466">
        <f t="shared" si="2"/>
        <v>10072215</v>
      </c>
      <c r="C26" s="92" t="str">
        <f>IFERROR(VLOOKUP($B26,RESOURCES!$C:$L,MATCH('PRODUCTIVITY RAW'!C$2,RESOURCES!$C$3:$L$3,0),FALSE),"-")</f>
        <v>PASCUAL, CATHERINE A.</v>
      </c>
      <c r="D26" s="92" t="str">
        <f>IFERROR(VLOOKUP($B26,RESOURCES!$C:$L,MATCH('PRODUCTIVITY RAW'!D$2,RESOURCES!$C$3:$L$3,0),FALSE),"-")</f>
        <v>Proofreader</v>
      </c>
      <c r="E26" s="92" t="str">
        <f>IFERROR(VLOOKUP($B26,RESOURCES!$C:$L,MATCH('PRODUCTIVITY RAW'!E$2,RESOURCES!$C$3:$L$3,0),FALSE),"-")</f>
        <v>REMULLA, Apple</v>
      </c>
      <c r="F26" s="92" t="str">
        <f>IFERROR(VLOOKUP($B26,RESOURCES!$C:$L,MATCH('PRODUCTIVITY RAW'!F$2,RESOURCES!$C$3:$L$3,0),FALSE),"-")</f>
        <v>PASQUIN, Ryan</v>
      </c>
      <c r="G26" s="92" t="str">
        <f>IFERROR(VLOOKUP($B26,RESOURCES!$C:$L,MATCH('PRODUCTIVITY RAW'!G$2,RESOURCES!$C$3:$L$3,0),FALSE),"-")</f>
        <v>MENDOZA, Carlo</v>
      </c>
      <c r="H26" s="92" t="str">
        <f>IFERROR(VLOOKUP($B26,RESOURCES!$C:$L,MATCH('PRODUCTIVITY RAW'!H$2,RESOURCES!$C$3:$L$3,0),FALSE),"-")</f>
        <v>Ventanilla, Mike</v>
      </c>
      <c r="I26" s="8"/>
      <c r="J26" s="8"/>
      <c r="K26" s="9" t="str">
        <f>IFERROR(VLOOKUP($B26,RESOURCES!$C:$L,MATCH('PRODUCTIVITY RAW'!K$2,RESOURCES!$C$3:$L$3,0),FALSE),"-")</f>
        <v>Expert</v>
      </c>
      <c r="L26" s="21">
        <f t="shared" si="0"/>
        <v>53.399999999999956</v>
      </c>
      <c r="M26" s="21">
        <f t="shared" si="1"/>
        <v>135</v>
      </c>
      <c r="N26" s="21">
        <f t="shared" si="3"/>
        <v>18</v>
      </c>
      <c r="O26" s="86">
        <f t="shared" si="4"/>
        <v>2.9666666666666641</v>
      </c>
      <c r="P26" s="86">
        <f>IFERROR(VLOOKUP($D26,KPI!$V:$AN,2,FALSE),"-")</f>
        <v>3</v>
      </c>
      <c r="Q26" s="32">
        <f t="shared" si="5"/>
        <v>1</v>
      </c>
      <c r="R26" s="185">
        <f t="shared" si="6"/>
        <v>52.333333333333336</v>
      </c>
      <c r="S26" s="89" t="str">
        <f t="shared" si="7"/>
        <v>Proofreader</v>
      </c>
      <c r="AG26" s="664">
        <v>24</v>
      </c>
      <c r="AH26" s="664">
        <v>10072215</v>
      </c>
      <c r="AI26" s="664" t="s">
        <v>115</v>
      </c>
      <c r="AJ26" s="92" t="s">
        <v>87</v>
      </c>
      <c r="AK26" s="92" t="s">
        <v>105</v>
      </c>
      <c r="AL26" s="92" t="s">
        <v>106</v>
      </c>
      <c r="AM26" s="92" t="s">
        <v>85</v>
      </c>
      <c r="AN26" s="92" t="s">
        <v>86</v>
      </c>
      <c r="AO26" s="157">
        <v>53.399999999999956</v>
      </c>
      <c r="AP26" s="157">
        <v>135</v>
      </c>
      <c r="AQ26" s="571">
        <v>1.6666666666666665</v>
      </c>
      <c r="AS26" s="664">
        <f t="shared" si="9"/>
        <v>24</v>
      </c>
      <c r="AT26" s="664"/>
      <c r="AU26" s="664"/>
      <c r="AV26" s="92" t="str">
        <f>IFERROR(VLOOKUP($AT26,RESOURCES!$C:$L,MATCH('PRODUCTIVITY RAW'!AV$2,RESOURCES!$C$3:$L$3,0),FALSE),"-")</f>
        <v>-</v>
      </c>
      <c r="AW26" s="92" t="str">
        <f>IFERROR(VLOOKUP($AT26,RESOURCES!$C:$L,MATCH('PRODUCTIVITY RAW'!AW$2,RESOURCES!$C$3:$L$3,0),FALSE),"-")</f>
        <v>-</v>
      </c>
      <c r="AX26" s="92" t="str">
        <f>IFERROR(VLOOKUP($AT26,RESOURCES!$C:$L,MATCH('PRODUCTIVITY RAW'!AX$2,RESOURCES!$C$3:$L$3,0),FALSE),"-")</f>
        <v>-</v>
      </c>
      <c r="AY26" s="92" t="str">
        <f>IFERROR(VLOOKUP($AT26,RESOURCES!$C:$L,MATCH('PRODUCTIVITY RAW'!AY$2,RESOURCES!$C$3:$L$3,0),FALSE),"-")</f>
        <v>-</v>
      </c>
      <c r="AZ26" s="92" t="str">
        <f>IFERROR(VLOOKUP($AT26,RESOURCES!$C:$L,MATCH('PRODUCTIVITY RAW'!AZ$2,RESOURCES!$C$3:$L$3,0),FALSE),"-")</f>
        <v>-</v>
      </c>
      <c r="BA26" s="20"/>
    </row>
    <row r="27" spans="1:96">
      <c r="A27" s="664">
        <f t="shared" si="8"/>
        <v>25</v>
      </c>
      <c r="B27" s="466">
        <f t="shared" si="2"/>
        <v>10072213</v>
      </c>
      <c r="C27" s="92" t="str">
        <f>IFERROR(VLOOKUP($B27,RESOURCES!$C:$L,MATCH('PRODUCTIVITY RAW'!C$2,RESOURCES!$C$3:$L$3,0),FALSE),"-")</f>
        <v>RALLECA, MARY CARL DOROTEA M.</v>
      </c>
      <c r="D27" s="92" t="str">
        <f>IFERROR(VLOOKUP($B27,RESOURCES!$C:$L,MATCH('PRODUCTIVITY RAW'!D$2,RESOURCES!$C$3:$L$3,0),FALSE),"-")</f>
        <v>Proofreader</v>
      </c>
      <c r="E27" s="92" t="str">
        <f>IFERROR(VLOOKUP($B27,RESOURCES!$C:$L,MATCH('PRODUCTIVITY RAW'!E$2,RESOURCES!$C$3:$L$3,0),FALSE),"-")</f>
        <v>REMULLA, Apple</v>
      </c>
      <c r="F27" s="92" t="str">
        <f>IFERROR(VLOOKUP($B27,RESOURCES!$C:$L,MATCH('PRODUCTIVITY RAW'!F$2,RESOURCES!$C$3:$L$3,0),FALSE),"-")</f>
        <v>PASQUIN, Ryan</v>
      </c>
      <c r="G27" s="92" t="str">
        <f>IFERROR(VLOOKUP($B27,RESOURCES!$C:$L,MATCH('PRODUCTIVITY RAW'!G$2,RESOURCES!$C$3:$L$3,0),FALSE),"-")</f>
        <v>MENDOZA, Carlo</v>
      </c>
      <c r="H27" s="92" t="str">
        <f>IFERROR(VLOOKUP($B27,RESOURCES!$C:$L,MATCH('PRODUCTIVITY RAW'!H$2,RESOURCES!$C$3:$L$3,0),FALSE),"-")</f>
        <v>Ventanilla, Mike</v>
      </c>
      <c r="I27" s="8"/>
      <c r="J27" s="8"/>
      <c r="K27" s="9" t="str">
        <f>IFERROR(VLOOKUP($B27,RESOURCES!$C:$L,MATCH('PRODUCTIVITY RAW'!K$2,RESOURCES!$C$3:$L$3,0),FALSE),"-")</f>
        <v>Beginner</v>
      </c>
      <c r="L27" s="21">
        <f t="shared" si="0"/>
        <v>54.799999999999926</v>
      </c>
      <c r="M27" s="21">
        <f t="shared" si="1"/>
        <v>120</v>
      </c>
      <c r="N27" s="21">
        <f t="shared" si="3"/>
        <v>16</v>
      </c>
      <c r="O27" s="86">
        <f t="shared" si="4"/>
        <v>3.4249999999999954</v>
      </c>
      <c r="P27" s="86">
        <f>IFERROR(VLOOKUP($D27,KPI!$V:$AN,2,FALSE),"-")</f>
        <v>3</v>
      </c>
      <c r="Q27" s="32">
        <f t="shared" si="5"/>
        <v>1</v>
      </c>
      <c r="R27" s="185">
        <f t="shared" si="6"/>
        <v>47.2</v>
      </c>
      <c r="S27" s="89" t="str">
        <f t="shared" si="7"/>
        <v>Proofreader</v>
      </c>
      <c r="AG27" s="664">
        <v>25</v>
      </c>
      <c r="AH27" s="664">
        <v>10072213</v>
      </c>
      <c r="AI27" s="664" t="s">
        <v>116</v>
      </c>
      <c r="AJ27" s="92" t="s">
        <v>87</v>
      </c>
      <c r="AK27" s="92" t="s">
        <v>105</v>
      </c>
      <c r="AL27" s="92" t="s">
        <v>106</v>
      </c>
      <c r="AM27" s="92" t="s">
        <v>85</v>
      </c>
      <c r="AN27" s="92" t="s">
        <v>86</v>
      </c>
      <c r="AO27" s="157">
        <v>54.799999999999926</v>
      </c>
      <c r="AP27" s="157">
        <v>120</v>
      </c>
      <c r="AQ27" s="571">
        <v>0.8</v>
      </c>
      <c r="AS27" s="664">
        <f t="shared" si="9"/>
        <v>25</v>
      </c>
      <c r="AT27" s="664"/>
      <c r="AU27" s="664"/>
      <c r="AV27" s="92" t="str">
        <f>IFERROR(VLOOKUP($AT27,RESOURCES!$C:$L,MATCH('PRODUCTIVITY RAW'!AV$2,RESOURCES!$C$3:$L$3,0),FALSE),"-")</f>
        <v>-</v>
      </c>
      <c r="AW27" s="92" t="str">
        <f>IFERROR(VLOOKUP($AT27,RESOURCES!$C:$L,MATCH('PRODUCTIVITY RAW'!AW$2,RESOURCES!$C$3:$L$3,0),FALSE),"-")</f>
        <v>-</v>
      </c>
      <c r="AX27" s="92" t="str">
        <f>IFERROR(VLOOKUP($AT27,RESOURCES!$C:$L,MATCH('PRODUCTIVITY RAW'!AX$2,RESOURCES!$C$3:$L$3,0),FALSE),"-")</f>
        <v>-</v>
      </c>
      <c r="AY27" s="92" t="str">
        <f>IFERROR(VLOOKUP($AT27,RESOURCES!$C:$L,MATCH('PRODUCTIVITY RAW'!AY$2,RESOURCES!$C$3:$L$3,0),FALSE),"-")</f>
        <v>-</v>
      </c>
      <c r="AZ27" s="92" t="str">
        <f>IFERROR(VLOOKUP($AT27,RESOURCES!$C:$L,MATCH('PRODUCTIVITY RAW'!AZ$2,RESOURCES!$C$3:$L$3,0),FALSE),"-")</f>
        <v>-</v>
      </c>
      <c r="BA27" s="20"/>
    </row>
    <row r="28" spans="1:96">
      <c r="A28" s="664">
        <f t="shared" si="8"/>
        <v>26</v>
      </c>
      <c r="B28" s="466">
        <f t="shared" si="2"/>
        <v>10071055</v>
      </c>
      <c r="C28" s="92" t="str">
        <f>IFERROR(VLOOKUP($B28,RESOURCES!$C:$L,MATCH('PRODUCTIVITY RAW'!C$2,RESOURCES!$C$3:$L$3,0),FALSE),"-")</f>
        <v>SUAREZ, DANTE V.</v>
      </c>
      <c r="D28" s="92" t="str">
        <f>IFERROR(VLOOKUP($B28,RESOURCES!$C:$L,MATCH('PRODUCTIVITY RAW'!D$2,RESOURCES!$C$3:$L$3,0),FALSE),"-")</f>
        <v>Proofreader</v>
      </c>
      <c r="E28" s="92" t="str">
        <f>IFERROR(VLOOKUP($B28,RESOURCES!$C:$L,MATCH('PRODUCTIVITY RAW'!E$2,RESOURCES!$C$3:$L$3,0),FALSE),"-")</f>
        <v>REMULLA, Apple</v>
      </c>
      <c r="F28" s="92" t="str">
        <f>IFERROR(VLOOKUP($B28,RESOURCES!$C:$L,MATCH('PRODUCTIVITY RAW'!F$2,RESOURCES!$C$3:$L$3,0),FALSE),"-")</f>
        <v>PASQUIN, Ryan</v>
      </c>
      <c r="G28" s="92" t="str">
        <f>IFERROR(VLOOKUP($B28,RESOURCES!$C:$L,MATCH('PRODUCTIVITY RAW'!G$2,RESOURCES!$C$3:$L$3,0),FALSE),"-")</f>
        <v>MENDOZA, Carlo</v>
      </c>
      <c r="H28" s="92" t="str">
        <f>IFERROR(VLOOKUP($B28,RESOURCES!$C:$L,MATCH('PRODUCTIVITY RAW'!H$2,RESOURCES!$C$3:$L$3,0),FALSE),"-")</f>
        <v>Ventanilla, Mike</v>
      </c>
      <c r="I28" s="8"/>
      <c r="J28" s="8"/>
      <c r="K28" s="9" t="str">
        <f>IFERROR(VLOOKUP($B28,RESOURCES!$C:$L,MATCH('PRODUCTIVITY RAW'!K$2,RESOURCES!$C$3:$L$3,0),FALSE),"-")</f>
        <v>Beginner</v>
      </c>
      <c r="L28" s="21">
        <f t="shared" si="0"/>
        <v>58.599999999999916</v>
      </c>
      <c r="M28" s="21">
        <f t="shared" si="1"/>
        <v>127.5</v>
      </c>
      <c r="N28" s="21">
        <f t="shared" si="3"/>
        <v>17</v>
      </c>
      <c r="O28" s="86">
        <f t="shared" si="4"/>
        <v>3.4470588235294066</v>
      </c>
      <c r="P28" s="86">
        <f>IFERROR(VLOOKUP($D28,KPI!$V:$AN,2,FALSE),"-")</f>
        <v>3</v>
      </c>
      <c r="Q28" s="32">
        <f t="shared" si="5"/>
        <v>1</v>
      </c>
      <c r="R28" s="185">
        <f t="shared" si="6"/>
        <v>50.2</v>
      </c>
      <c r="S28" s="89" t="str">
        <f t="shared" si="7"/>
        <v>Proofreader</v>
      </c>
      <c r="AG28" s="664">
        <v>26</v>
      </c>
      <c r="AH28" s="664">
        <v>10071055</v>
      </c>
      <c r="AI28" s="664" t="s">
        <v>117</v>
      </c>
      <c r="AJ28" s="92" t="s">
        <v>87</v>
      </c>
      <c r="AK28" s="92" t="s">
        <v>105</v>
      </c>
      <c r="AL28" s="92" t="s">
        <v>106</v>
      </c>
      <c r="AM28" s="92" t="s">
        <v>85</v>
      </c>
      <c r="AN28" s="92" t="s">
        <v>86</v>
      </c>
      <c r="AO28" s="157">
        <v>58.599999999999916</v>
      </c>
      <c r="AP28" s="157">
        <v>127.5</v>
      </c>
      <c r="AQ28" s="571">
        <v>0.8</v>
      </c>
      <c r="AS28" s="664">
        <f t="shared" si="9"/>
        <v>26</v>
      </c>
      <c r="AT28" s="664"/>
      <c r="AU28" s="664"/>
      <c r="AV28" s="92" t="str">
        <f>IFERROR(VLOOKUP($AT28,RESOURCES!$C:$L,MATCH('PRODUCTIVITY RAW'!AV$2,RESOURCES!$C$3:$L$3,0),FALSE),"-")</f>
        <v>-</v>
      </c>
      <c r="AW28" s="92" t="str">
        <f>IFERROR(VLOOKUP($AT28,RESOURCES!$C:$L,MATCH('PRODUCTIVITY RAW'!AW$2,RESOURCES!$C$3:$L$3,0),FALSE),"-")</f>
        <v>-</v>
      </c>
      <c r="AX28" s="92" t="str">
        <f>IFERROR(VLOOKUP($AT28,RESOURCES!$C:$L,MATCH('PRODUCTIVITY RAW'!AX$2,RESOURCES!$C$3:$L$3,0),FALSE),"-")</f>
        <v>-</v>
      </c>
      <c r="AY28" s="92" t="str">
        <f>IFERROR(VLOOKUP($AT28,RESOURCES!$C:$L,MATCH('PRODUCTIVITY RAW'!AY$2,RESOURCES!$C$3:$L$3,0),FALSE),"-")</f>
        <v>-</v>
      </c>
      <c r="AZ28" s="92" t="str">
        <f>IFERROR(VLOOKUP($AT28,RESOURCES!$C:$L,MATCH('PRODUCTIVITY RAW'!AZ$2,RESOURCES!$C$3:$L$3,0),FALSE),"-")</f>
        <v>-</v>
      </c>
      <c r="BA28" s="20"/>
    </row>
    <row r="29" spans="1:96">
      <c r="A29" s="664">
        <f t="shared" si="8"/>
        <v>27</v>
      </c>
      <c r="B29" s="466">
        <f t="shared" si="2"/>
        <v>10070996</v>
      </c>
      <c r="C29" s="92" t="str">
        <f>IFERROR(VLOOKUP($B29,RESOURCES!$C:$L,MATCH('PRODUCTIVITY RAW'!C$2,RESOURCES!$C$3:$L$3,0),FALSE),"-")</f>
        <v>SURBONA, SEAN S.</v>
      </c>
      <c r="D29" s="92" t="str">
        <f>IFERROR(VLOOKUP($B29,RESOURCES!$C:$L,MATCH('PRODUCTIVITY RAW'!D$2,RESOURCES!$C$3:$L$3,0),FALSE),"-")</f>
        <v>Proofreader</v>
      </c>
      <c r="E29" s="92" t="str">
        <f>IFERROR(VLOOKUP($B29,RESOURCES!$C:$L,MATCH('PRODUCTIVITY RAW'!E$2,RESOURCES!$C$3:$L$3,0),FALSE),"-")</f>
        <v>REMULLA, Apple</v>
      </c>
      <c r="F29" s="92" t="str">
        <f>IFERROR(VLOOKUP($B29,RESOURCES!$C:$L,MATCH('PRODUCTIVITY RAW'!F$2,RESOURCES!$C$3:$L$3,0),FALSE),"-")</f>
        <v>PASQUIN, Ryan</v>
      </c>
      <c r="G29" s="92" t="str">
        <f>IFERROR(VLOOKUP($B29,RESOURCES!$C:$L,MATCH('PRODUCTIVITY RAW'!G$2,RESOURCES!$C$3:$L$3,0),FALSE),"-")</f>
        <v>MENDOZA, Carlo</v>
      </c>
      <c r="H29" s="92" t="str">
        <f>IFERROR(VLOOKUP($B29,RESOURCES!$C:$L,MATCH('PRODUCTIVITY RAW'!H$2,RESOURCES!$C$3:$L$3,0),FALSE),"-")</f>
        <v>Ventanilla, Mike</v>
      </c>
      <c r="I29" s="8"/>
      <c r="J29" s="8"/>
      <c r="K29" s="9" t="str">
        <f>IFERROR(VLOOKUP($B29,RESOURCES!$C:$L,MATCH('PRODUCTIVITY RAW'!K$2,RESOURCES!$C$3:$L$3,0),FALSE),"-")</f>
        <v>Expert</v>
      </c>
      <c r="L29" s="21">
        <f t="shared" si="0"/>
        <v>53.199999999999939</v>
      </c>
      <c r="M29" s="21">
        <f t="shared" si="1"/>
        <v>142.5</v>
      </c>
      <c r="N29" s="21">
        <f t="shared" si="3"/>
        <v>19</v>
      </c>
      <c r="O29" s="86">
        <f t="shared" si="4"/>
        <v>2.7999999999999967</v>
      </c>
      <c r="P29" s="86">
        <f>IFERROR(VLOOKUP($D29,KPI!$V:$AN,2,FALSE),"-")</f>
        <v>3</v>
      </c>
      <c r="Q29" s="32">
        <f t="shared" si="5"/>
        <v>0.96376811594202783</v>
      </c>
      <c r="R29" s="185">
        <f t="shared" si="6"/>
        <v>55.2</v>
      </c>
      <c r="S29" s="89" t="str">
        <f t="shared" si="7"/>
        <v>Proofreader</v>
      </c>
      <c r="AG29" s="664">
        <v>27</v>
      </c>
      <c r="AH29" s="664">
        <v>10070996</v>
      </c>
      <c r="AI29" s="664" t="s">
        <v>118</v>
      </c>
      <c r="AJ29" s="92" t="s">
        <v>87</v>
      </c>
      <c r="AK29" s="92" t="s">
        <v>105</v>
      </c>
      <c r="AL29" s="92" t="s">
        <v>106</v>
      </c>
      <c r="AM29" s="92" t="s">
        <v>85</v>
      </c>
      <c r="AN29" s="92" t="s">
        <v>86</v>
      </c>
      <c r="AO29" s="157">
        <v>53.199999999999939</v>
      </c>
      <c r="AP29" s="157">
        <v>142.5</v>
      </c>
      <c r="AQ29" s="571">
        <v>1.7999999999999998</v>
      </c>
      <c r="AS29" s="664">
        <f t="shared" si="9"/>
        <v>27</v>
      </c>
      <c r="AT29" s="664"/>
      <c r="AU29" s="664"/>
      <c r="AV29" s="92" t="str">
        <f>IFERROR(VLOOKUP($AT29,RESOURCES!$C:$L,MATCH('PRODUCTIVITY RAW'!AV$2,RESOURCES!$C$3:$L$3,0),FALSE),"-")</f>
        <v>-</v>
      </c>
      <c r="AW29" s="92" t="str">
        <f>IFERROR(VLOOKUP($AT29,RESOURCES!$C:$L,MATCH('PRODUCTIVITY RAW'!AW$2,RESOURCES!$C$3:$L$3,0),FALSE),"-")</f>
        <v>-</v>
      </c>
      <c r="AX29" s="92" t="str">
        <f>IFERROR(VLOOKUP($AT29,RESOURCES!$C:$L,MATCH('PRODUCTIVITY RAW'!AX$2,RESOURCES!$C$3:$L$3,0),FALSE),"-")</f>
        <v>-</v>
      </c>
      <c r="AY29" s="92" t="str">
        <f>IFERROR(VLOOKUP($AT29,RESOURCES!$C:$L,MATCH('PRODUCTIVITY RAW'!AY$2,RESOURCES!$C$3:$L$3,0),FALSE),"-")</f>
        <v>-</v>
      </c>
      <c r="AZ29" s="92" t="str">
        <f>IFERROR(VLOOKUP($AT29,RESOURCES!$C:$L,MATCH('PRODUCTIVITY RAW'!AZ$2,RESOURCES!$C$3:$L$3,0),FALSE),"-")</f>
        <v>-</v>
      </c>
      <c r="BA29" s="20"/>
    </row>
    <row r="30" spans="1:96">
      <c r="A30" s="664">
        <f t="shared" si="8"/>
        <v>28</v>
      </c>
      <c r="B30" s="466">
        <f t="shared" si="2"/>
        <v>10072184</v>
      </c>
      <c r="C30" s="92" t="str">
        <f>IFERROR(VLOOKUP($B30,RESOURCES!$C:$L,MATCH('PRODUCTIVITY RAW'!C$2,RESOURCES!$C$3:$L$3,0),FALSE),"-")</f>
        <v>VARGAS, WINNIE I.</v>
      </c>
      <c r="D30" s="92" t="str">
        <f>IFERROR(VLOOKUP($B30,RESOURCES!$C:$L,MATCH('PRODUCTIVITY RAW'!D$2,RESOURCES!$C$3:$L$3,0),FALSE),"-")</f>
        <v>Proofreader</v>
      </c>
      <c r="E30" s="92" t="str">
        <f>IFERROR(VLOOKUP($B30,RESOURCES!$C:$L,MATCH('PRODUCTIVITY RAW'!E$2,RESOURCES!$C$3:$L$3,0),FALSE),"-")</f>
        <v>REMULLA, Apple</v>
      </c>
      <c r="F30" s="92" t="str">
        <f>IFERROR(VLOOKUP($B30,RESOURCES!$C:$L,MATCH('PRODUCTIVITY RAW'!F$2,RESOURCES!$C$3:$L$3,0),FALSE),"-")</f>
        <v>PASQUIN, Ryan</v>
      </c>
      <c r="G30" s="92" t="str">
        <f>IFERROR(VLOOKUP($B30,RESOURCES!$C:$L,MATCH('PRODUCTIVITY RAW'!G$2,RESOURCES!$C$3:$L$3,0),FALSE),"-")</f>
        <v>MENDOZA, Carlo</v>
      </c>
      <c r="H30" s="92" t="str">
        <f>IFERROR(VLOOKUP($B30,RESOURCES!$C:$L,MATCH('PRODUCTIVITY RAW'!H$2,RESOURCES!$C$3:$L$3,0),FALSE),"-")</f>
        <v>Ventanilla, Mike</v>
      </c>
      <c r="I30" s="8"/>
      <c r="J30" s="8"/>
      <c r="K30" s="9" t="str">
        <f>IFERROR(VLOOKUP($B30,RESOURCES!$C:$L,MATCH('PRODUCTIVITY RAW'!K$2,RESOURCES!$C$3:$L$3,0),FALSE),"-")</f>
        <v>Expert</v>
      </c>
      <c r="L30" s="21">
        <f t="shared" si="0"/>
        <v>65.599999999999923</v>
      </c>
      <c r="M30" s="21">
        <f t="shared" si="1"/>
        <v>135</v>
      </c>
      <c r="N30" s="21">
        <f t="shared" si="3"/>
        <v>18</v>
      </c>
      <c r="O30" s="86">
        <f t="shared" si="4"/>
        <v>3.6444444444444404</v>
      </c>
      <c r="P30" s="86">
        <f>IFERROR(VLOOKUP($D30,KPI!$V:$AN,2,FALSE),"-")</f>
        <v>3</v>
      </c>
      <c r="Q30" s="32">
        <f t="shared" si="5"/>
        <v>1</v>
      </c>
      <c r="R30" s="185">
        <f t="shared" si="6"/>
        <v>52.2</v>
      </c>
      <c r="S30" s="89" t="str">
        <f t="shared" si="7"/>
        <v>Proofreader</v>
      </c>
      <c r="AG30" s="664">
        <v>28</v>
      </c>
      <c r="AH30" s="664">
        <v>10072184</v>
      </c>
      <c r="AI30" s="664" t="s">
        <v>119</v>
      </c>
      <c r="AJ30" s="92" t="s">
        <v>87</v>
      </c>
      <c r="AK30" s="92" t="s">
        <v>105</v>
      </c>
      <c r="AL30" s="92" t="s">
        <v>106</v>
      </c>
      <c r="AM30" s="92" t="s">
        <v>85</v>
      </c>
      <c r="AN30" s="92" t="s">
        <v>86</v>
      </c>
      <c r="AO30" s="157">
        <v>65.599999999999923</v>
      </c>
      <c r="AP30" s="157">
        <v>135</v>
      </c>
      <c r="AQ30" s="571">
        <v>1.7999999999999998</v>
      </c>
      <c r="AS30" s="664">
        <f t="shared" si="9"/>
        <v>28</v>
      </c>
      <c r="AT30" s="664"/>
      <c r="AU30" s="664"/>
      <c r="AV30" s="92" t="str">
        <f>IFERROR(VLOOKUP($AT30,RESOURCES!$C:$L,MATCH('PRODUCTIVITY RAW'!AV$2,RESOURCES!$C$3:$L$3,0),FALSE),"-")</f>
        <v>-</v>
      </c>
      <c r="AW30" s="92" t="str">
        <f>IFERROR(VLOOKUP($AT30,RESOURCES!$C:$L,MATCH('PRODUCTIVITY RAW'!AW$2,RESOURCES!$C$3:$L$3,0),FALSE),"-")</f>
        <v>-</v>
      </c>
      <c r="AX30" s="92" t="str">
        <f>IFERROR(VLOOKUP($AT30,RESOURCES!$C:$L,MATCH('PRODUCTIVITY RAW'!AX$2,RESOURCES!$C$3:$L$3,0),FALSE),"-")</f>
        <v>-</v>
      </c>
      <c r="AY30" s="92" t="str">
        <f>IFERROR(VLOOKUP($AT30,RESOURCES!$C:$L,MATCH('PRODUCTIVITY RAW'!AY$2,RESOURCES!$C$3:$L$3,0),FALSE),"-")</f>
        <v>-</v>
      </c>
      <c r="AZ30" s="92" t="str">
        <f>IFERROR(VLOOKUP($AT30,RESOURCES!$C:$L,MATCH('PRODUCTIVITY RAW'!AZ$2,RESOURCES!$C$3:$L$3,0),FALSE),"-")</f>
        <v>-</v>
      </c>
      <c r="BA30" s="20"/>
    </row>
    <row r="31" spans="1:96">
      <c r="A31" s="664">
        <f t="shared" si="8"/>
        <v>29</v>
      </c>
      <c r="B31" s="466">
        <f t="shared" si="2"/>
        <v>10071355</v>
      </c>
      <c r="C31" s="92" t="str">
        <f>IFERROR(VLOOKUP($B31,RESOURCES!$C:$L,MATCH('PRODUCTIVITY RAW'!C$2,RESOURCES!$C$3:$L$3,0),FALSE),"-")</f>
        <v>TEODOSIO, ERISE G.</v>
      </c>
      <c r="D31" s="92" t="str">
        <f>IFERROR(VLOOKUP($B31,RESOURCES!$C:$L,MATCH('PRODUCTIVITY RAW'!D$2,RESOURCES!$C$3:$L$3,0),FALSE),"-")</f>
        <v>Proofreader</v>
      </c>
      <c r="E31" s="92" t="str">
        <f>IFERROR(VLOOKUP($B31,RESOURCES!$C:$L,MATCH('PRODUCTIVITY RAW'!E$2,RESOURCES!$C$3:$L$3,0),FALSE),"-")</f>
        <v>REMULLA, Apple</v>
      </c>
      <c r="F31" s="92" t="str">
        <f>IFERROR(VLOOKUP($B31,RESOURCES!$C:$L,MATCH('PRODUCTIVITY RAW'!F$2,RESOURCES!$C$3:$L$3,0),FALSE),"-")</f>
        <v>PASQUIN, Ryan</v>
      </c>
      <c r="G31" s="92" t="str">
        <f>IFERROR(VLOOKUP($B31,RESOURCES!$C:$L,MATCH('PRODUCTIVITY RAW'!G$2,RESOURCES!$C$3:$L$3,0),FALSE),"-")</f>
        <v>MENDOZA, Carlo</v>
      </c>
      <c r="H31" s="92" t="str">
        <f>IFERROR(VLOOKUP($B31,RESOURCES!$C:$L,MATCH('PRODUCTIVITY RAW'!H$2,RESOURCES!$C$3:$L$3,0),FALSE),"-")</f>
        <v>Ventanilla, Mike</v>
      </c>
      <c r="I31" s="8"/>
      <c r="J31" s="8"/>
      <c r="K31" s="9" t="str">
        <f>IFERROR(VLOOKUP($B31,RESOURCES!$C:$L,MATCH('PRODUCTIVITY RAW'!K$2,RESOURCES!$C$3:$L$3,0),FALSE),"-")</f>
        <v>Expert</v>
      </c>
      <c r="L31" s="21">
        <f t="shared" si="0"/>
        <v>55.199999999999946</v>
      </c>
      <c r="M31" s="21">
        <f t="shared" si="1"/>
        <v>138.75</v>
      </c>
      <c r="N31" s="21">
        <f t="shared" si="3"/>
        <v>18.5</v>
      </c>
      <c r="O31" s="86">
        <f t="shared" si="4"/>
        <v>2.9837837837837808</v>
      </c>
      <c r="P31" s="86">
        <f>IFERROR(VLOOKUP($D31,KPI!$V:$AN,2,FALSE),"-")</f>
        <v>3</v>
      </c>
      <c r="Q31" s="32">
        <f t="shared" si="5"/>
        <v>1</v>
      </c>
      <c r="R31" s="185">
        <f t="shared" si="6"/>
        <v>53.833333333333336</v>
      </c>
      <c r="S31" s="89" t="str">
        <f t="shared" si="7"/>
        <v>Proofreader</v>
      </c>
      <c r="AG31" s="664">
        <v>29</v>
      </c>
      <c r="AH31" s="664">
        <v>10071355</v>
      </c>
      <c r="AI31" s="664" t="s">
        <v>120</v>
      </c>
      <c r="AJ31" s="92" t="s">
        <v>87</v>
      </c>
      <c r="AK31" s="92" t="s">
        <v>105</v>
      </c>
      <c r="AL31" s="92" t="s">
        <v>106</v>
      </c>
      <c r="AM31" s="92" t="s">
        <v>85</v>
      </c>
      <c r="AN31" s="92" t="s">
        <v>86</v>
      </c>
      <c r="AO31" s="157">
        <v>55.199999999999946</v>
      </c>
      <c r="AP31" s="157">
        <v>138.75</v>
      </c>
      <c r="AQ31" s="571">
        <v>1.6666666666666665</v>
      </c>
      <c r="AS31" s="664">
        <f t="shared" si="9"/>
        <v>29</v>
      </c>
      <c r="AT31" s="664"/>
      <c r="AU31" s="664"/>
      <c r="AV31" s="92" t="str">
        <f>IFERROR(VLOOKUP($AT31,RESOURCES!$C:$L,MATCH('PRODUCTIVITY RAW'!AV$2,RESOURCES!$C$3:$L$3,0),FALSE),"-")</f>
        <v>-</v>
      </c>
      <c r="AW31" s="92" t="str">
        <f>IFERROR(VLOOKUP($AT31,RESOURCES!$C:$L,MATCH('PRODUCTIVITY RAW'!AW$2,RESOURCES!$C$3:$L$3,0),FALSE),"-")</f>
        <v>-</v>
      </c>
      <c r="AX31" s="92" t="str">
        <f>IFERROR(VLOOKUP($AT31,RESOURCES!$C:$L,MATCH('PRODUCTIVITY RAW'!AX$2,RESOURCES!$C$3:$L$3,0),FALSE),"-")</f>
        <v>-</v>
      </c>
      <c r="AY31" s="92" t="str">
        <f>IFERROR(VLOOKUP($AT31,RESOURCES!$C:$L,MATCH('PRODUCTIVITY RAW'!AY$2,RESOURCES!$C$3:$L$3,0),FALSE),"-")</f>
        <v>-</v>
      </c>
      <c r="AZ31" s="92" t="str">
        <f>IFERROR(VLOOKUP($AT31,RESOURCES!$C:$L,MATCH('PRODUCTIVITY RAW'!AZ$2,RESOURCES!$C$3:$L$3,0),FALSE),"-")</f>
        <v>-</v>
      </c>
      <c r="BA31" s="20"/>
    </row>
    <row r="32" spans="1:96">
      <c r="A32" s="664">
        <f t="shared" si="8"/>
        <v>30</v>
      </c>
      <c r="B32" s="466">
        <f t="shared" si="2"/>
        <v>10072007</v>
      </c>
      <c r="C32" s="92" t="str">
        <f>IFERROR(VLOOKUP($B32,RESOURCES!$C:$L,MATCH('PRODUCTIVITY RAW'!C$2,RESOURCES!$C$3:$L$3,0),FALSE),"-")</f>
        <v>TOMO, IRAND ALYSSA B.</v>
      </c>
      <c r="D32" s="92" t="str">
        <f>IFERROR(VLOOKUP($B32,RESOURCES!$C:$L,MATCH('PRODUCTIVITY RAW'!D$2,RESOURCES!$C$3:$L$3,0),FALSE),"-")</f>
        <v>Proofreader</v>
      </c>
      <c r="E32" s="92" t="str">
        <f>IFERROR(VLOOKUP($B32,RESOURCES!$C:$L,MATCH('PRODUCTIVITY RAW'!E$2,RESOURCES!$C$3:$L$3,0),FALSE),"-")</f>
        <v>REMULLA, Apple</v>
      </c>
      <c r="F32" s="92" t="str">
        <f>IFERROR(VLOOKUP($B32,RESOURCES!$C:$L,MATCH('PRODUCTIVITY RAW'!F$2,RESOURCES!$C$3:$L$3,0),FALSE),"-")</f>
        <v>PASQUIN, Ryan</v>
      </c>
      <c r="G32" s="92" t="str">
        <f>IFERROR(VLOOKUP($B32,RESOURCES!$C:$L,MATCH('PRODUCTIVITY RAW'!G$2,RESOURCES!$C$3:$L$3,0),FALSE),"-")</f>
        <v>MENDOZA, Carlo</v>
      </c>
      <c r="H32" s="92" t="str">
        <f>IFERROR(VLOOKUP($B32,RESOURCES!$C:$L,MATCH('PRODUCTIVITY RAW'!H$2,RESOURCES!$C$3:$L$3,0),FALSE),"-")</f>
        <v>Ventanilla, Mike</v>
      </c>
      <c r="I32" s="8"/>
      <c r="J32" s="8"/>
      <c r="K32" s="9" t="str">
        <f>IFERROR(VLOOKUP($B32,RESOURCES!$C:$L,MATCH('PRODUCTIVITY RAW'!K$2,RESOURCES!$C$3:$L$3,0),FALSE),"-")</f>
        <v>Expert</v>
      </c>
      <c r="L32" s="21">
        <f t="shared" si="0"/>
        <v>51.399999999999935</v>
      </c>
      <c r="M32" s="21">
        <f t="shared" si="1"/>
        <v>135</v>
      </c>
      <c r="N32" s="21">
        <f t="shared" si="3"/>
        <v>18</v>
      </c>
      <c r="O32" s="86">
        <f t="shared" si="4"/>
        <v>2.8555555555555521</v>
      </c>
      <c r="P32" s="86">
        <f>IFERROR(VLOOKUP($D32,KPI!$V:$AN,2,FALSE),"-")</f>
        <v>3</v>
      </c>
      <c r="Q32" s="32">
        <f t="shared" si="5"/>
        <v>0.96374999999999877</v>
      </c>
      <c r="R32" s="185">
        <f t="shared" si="6"/>
        <v>53.333333333333336</v>
      </c>
      <c r="S32" s="89" t="str">
        <f t="shared" si="7"/>
        <v>Proofreader</v>
      </c>
      <c r="AG32" s="664">
        <v>30</v>
      </c>
      <c r="AH32" s="664">
        <v>10072007</v>
      </c>
      <c r="AI32" s="664" t="s">
        <v>121</v>
      </c>
      <c r="AJ32" s="92" t="s">
        <v>87</v>
      </c>
      <c r="AK32" s="92" t="s">
        <v>105</v>
      </c>
      <c r="AL32" s="92" t="s">
        <v>106</v>
      </c>
      <c r="AM32" s="92" t="s">
        <v>85</v>
      </c>
      <c r="AN32" s="92" t="s">
        <v>86</v>
      </c>
      <c r="AO32" s="157">
        <v>51.399999999999935</v>
      </c>
      <c r="AP32" s="157">
        <v>135</v>
      </c>
      <c r="AQ32" s="571">
        <v>0.66666666666666674</v>
      </c>
      <c r="AS32" s="664">
        <f t="shared" si="9"/>
        <v>30</v>
      </c>
      <c r="AT32" s="664"/>
      <c r="AU32" s="664"/>
      <c r="AV32" s="92" t="str">
        <f>IFERROR(VLOOKUP($AT32,RESOURCES!$C:$L,MATCH('PRODUCTIVITY RAW'!AV$2,RESOURCES!$C$3:$L$3,0),FALSE),"-")</f>
        <v>-</v>
      </c>
      <c r="AW32" s="92" t="str">
        <f>IFERROR(VLOOKUP($AT32,RESOURCES!$C:$L,MATCH('PRODUCTIVITY RAW'!AW$2,RESOURCES!$C$3:$L$3,0),FALSE),"-")</f>
        <v>-</v>
      </c>
      <c r="AX32" s="92" t="str">
        <f>IFERROR(VLOOKUP($AT32,RESOURCES!$C:$L,MATCH('PRODUCTIVITY RAW'!AX$2,RESOURCES!$C$3:$L$3,0),FALSE),"-")</f>
        <v>-</v>
      </c>
      <c r="AY32" s="92" t="str">
        <f>IFERROR(VLOOKUP($AT32,RESOURCES!$C:$L,MATCH('PRODUCTIVITY RAW'!AY$2,RESOURCES!$C$3:$L$3,0),FALSE),"-")</f>
        <v>-</v>
      </c>
      <c r="AZ32" s="92" t="str">
        <f>IFERROR(VLOOKUP($AT32,RESOURCES!$C:$L,MATCH('PRODUCTIVITY RAW'!AZ$2,RESOURCES!$C$3:$L$3,0),FALSE),"-")</f>
        <v>-</v>
      </c>
      <c r="BA32" s="20"/>
    </row>
    <row r="33" spans="1:53">
      <c r="A33" s="664">
        <f t="shared" si="8"/>
        <v>31</v>
      </c>
      <c r="B33" s="466">
        <f t="shared" si="2"/>
        <v>10072156</v>
      </c>
      <c r="C33" s="92" t="str">
        <f>IFERROR(VLOOKUP($B33,RESOURCES!$C:$L,MATCH('PRODUCTIVITY RAW'!C$2,RESOURCES!$C$3:$L$3,0),FALSE),"-")</f>
        <v>ANASTACIO, NICHOLE JAN A.</v>
      </c>
      <c r="D33" s="92" t="str">
        <f>IFERROR(VLOOKUP($B33,RESOURCES!$C:$L,MATCH('PRODUCTIVITY RAW'!D$2,RESOURCES!$C$3:$L$3,0),FALSE),"-")</f>
        <v>Internal Mods (PSI)</v>
      </c>
      <c r="E33" s="92" t="str">
        <f>IFERROR(VLOOKUP($B33,RESOURCES!$C:$L,MATCH('PRODUCTIVITY RAW'!E$2,RESOURCES!$C$3:$L$3,0),FALSE),"-")</f>
        <v>REGENCIA, Reymark</v>
      </c>
      <c r="F33" s="92" t="str">
        <f>IFERROR(VLOOKUP($B33,RESOURCES!$C:$L,MATCH('PRODUCTIVITY RAW'!F$2,RESOURCES!$C$3:$L$3,0),FALSE),"-")</f>
        <v>PASQUIN, Ryan</v>
      </c>
      <c r="G33" s="92" t="str">
        <f>IFERROR(VLOOKUP($B33,RESOURCES!$C:$L,MATCH('PRODUCTIVITY RAW'!G$2,RESOURCES!$C$3:$L$3,0),FALSE),"-")</f>
        <v>MENDOZA, Carlo</v>
      </c>
      <c r="H33" s="92" t="str">
        <f>IFERROR(VLOOKUP($B33,RESOURCES!$C:$L,MATCH('PRODUCTIVITY RAW'!H$2,RESOURCES!$C$3:$L$3,0),FALSE),"-")</f>
        <v>Ventanilla, Mike</v>
      </c>
      <c r="I33" s="8"/>
      <c r="J33" s="8"/>
      <c r="K33" s="9" t="str">
        <f>IFERROR(VLOOKUP($B33,RESOURCES!$C:$L,MATCH('PRODUCTIVITY RAW'!K$2,RESOURCES!$C$3:$L$3,0),FALSE),"-")</f>
        <v>Expert</v>
      </c>
      <c r="L33" s="21">
        <f t="shared" si="0"/>
        <v>125.74999999999997</v>
      </c>
      <c r="M33" s="21">
        <f t="shared" si="1"/>
        <v>112.5</v>
      </c>
      <c r="N33" s="21">
        <f t="shared" si="3"/>
        <v>15</v>
      </c>
      <c r="O33" s="86">
        <f t="shared" si="4"/>
        <v>8.3833333333333311</v>
      </c>
      <c r="P33" s="86">
        <f>IFERROR(VLOOKUP($D33,KPI!$V:$AN,2,FALSE),"-")</f>
        <v>10</v>
      </c>
      <c r="Q33" s="32">
        <f t="shared" si="5"/>
        <v>0.83833333333333315</v>
      </c>
      <c r="R33" s="185">
        <f t="shared" si="6"/>
        <v>150</v>
      </c>
      <c r="S33" s="89" t="str">
        <f t="shared" si="7"/>
        <v>Internal Mods (PSI)</v>
      </c>
      <c r="AG33" s="664">
        <v>31</v>
      </c>
      <c r="AH33" s="664">
        <v>10072156</v>
      </c>
      <c r="AI33" s="664" t="s">
        <v>122</v>
      </c>
      <c r="AJ33" s="92" t="s">
        <v>123</v>
      </c>
      <c r="AK33" s="92" t="s">
        <v>124</v>
      </c>
      <c r="AL33" s="92" t="s">
        <v>106</v>
      </c>
      <c r="AM33" s="92" t="s">
        <v>85</v>
      </c>
      <c r="AN33" s="92" t="s">
        <v>86</v>
      </c>
      <c r="AO33" s="157">
        <v>125.74999999999997</v>
      </c>
      <c r="AP33" s="157">
        <v>112.5</v>
      </c>
      <c r="AQ33" s="571">
        <v>0</v>
      </c>
      <c r="AS33" s="664">
        <f t="shared" si="9"/>
        <v>31</v>
      </c>
      <c r="AT33" s="664"/>
      <c r="AU33" s="664"/>
      <c r="AV33" s="92" t="str">
        <f>IFERROR(VLOOKUP($AT33,RESOURCES!$C:$L,MATCH('PRODUCTIVITY RAW'!AV$2,RESOURCES!$C$3:$L$3,0),FALSE),"-")</f>
        <v>-</v>
      </c>
      <c r="AW33" s="92" t="str">
        <f>IFERROR(VLOOKUP($AT33,RESOURCES!$C:$L,MATCH('PRODUCTIVITY RAW'!AW$2,RESOURCES!$C$3:$L$3,0),FALSE),"-")</f>
        <v>-</v>
      </c>
      <c r="AX33" s="92" t="str">
        <f>IFERROR(VLOOKUP($AT33,RESOURCES!$C:$L,MATCH('PRODUCTIVITY RAW'!AX$2,RESOURCES!$C$3:$L$3,0),FALSE),"-")</f>
        <v>-</v>
      </c>
      <c r="AY33" s="92" t="str">
        <f>IFERROR(VLOOKUP($AT33,RESOURCES!$C:$L,MATCH('PRODUCTIVITY RAW'!AY$2,RESOURCES!$C$3:$L$3,0),FALSE),"-")</f>
        <v>-</v>
      </c>
      <c r="AZ33" s="92" t="str">
        <f>IFERROR(VLOOKUP($AT33,RESOURCES!$C:$L,MATCH('PRODUCTIVITY RAW'!AZ$2,RESOURCES!$C$3:$L$3,0),FALSE),"-")</f>
        <v>-</v>
      </c>
      <c r="BA33" s="20"/>
    </row>
    <row r="34" spans="1:53">
      <c r="A34" s="664">
        <f t="shared" si="8"/>
        <v>32</v>
      </c>
      <c r="B34" s="466">
        <f t="shared" si="2"/>
        <v>10072301</v>
      </c>
      <c r="C34" s="92" t="str">
        <f>IFERROR(VLOOKUP($B34,RESOURCES!$C:$L,MATCH('PRODUCTIVITY RAW'!C$2,RESOURCES!$C$3:$L$3,0),FALSE),"-")</f>
        <v>ARCEO, LUKE ARVIN B.</v>
      </c>
      <c r="D34" s="92" t="str">
        <f>IFERROR(VLOOKUP($B34,RESOURCES!$C:$L,MATCH('PRODUCTIVITY RAW'!D$2,RESOURCES!$C$3:$L$3,0),FALSE),"-")</f>
        <v>Internal Mods (PSI)</v>
      </c>
      <c r="E34" s="92" t="str">
        <f>IFERROR(VLOOKUP($B34,RESOURCES!$C:$L,MATCH('PRODUCTIVITY RAW'!E$2,RESOURCES!$C$3:$L$3,0),FALSE),"-")</f>
        <v>REGENCIA, Reymark</v>
      </c>
      <c r="F34" s="92" t="str">
        <f>IFERROR(VLOOKUP($B34,RESOURCES!$C:$L,MATCH('PRODUCTIVITY RAW'!F$2,RESOURCES!$C$3:$L$3,0),FALSE),"-")</f>
        <v>PASQUIN, Ryan</v>
      </c>
      <c r="G34" s="92" t="str">
        <f>IFERROR(VLOOKUP($B34,RESOURCES!$C:$L,MATCH('PRODUCTIVITY RAW'!G$2,RESOURCES!$C$3:$L$3,0),FALSE),"-")</f>
        <v>MENDOZA, Carlo</v>
      </c>
      <c r="H34" s="92" t="str">
        <f>IFERROR(VLOOKUP($B34,RESOURCES!$C:$L,MATCH('PRODUCTIVITY RAW'!H$2,RESOURCES!$C$3:$L$3,0),FALSE),"-")</f>
        <v>Ventanilla, Mike</v>
      </c>
      <c r="I34" s="8"/>
      <c r="J34" s="8"/>
      <c r="K34" s="9" t="str">
        <f>IFERROR(VLOOKUP($B34,RESOURCES!$C:$L,MATCH('PRODUCTIVITY RAW'!K$2,RESOURCES!$C$3:$L$3,0),FALSE),"-")</f>
        <v>Expert</v>
      </c>
      <c r="L34" s="21">
        <f t="shared" si="0"/>
        <v>182.85000000000016</v>
      </c>
      <c r="M34" s="21">
        <f t="shared" si="1"/>
        <v>127.5</v>
      </c>
      <c r="N34" s="21">
        <f t="shared" si="3"/>
        <v>17</v>
      </c>
      <c r="O34" s="86">
        <f t="shared" si="4"/>
        <v>10.755882352941185</v>
      </c>
      <c r="P34" s="86">
        <f>IFERROR(VLOOKUP($D34,KPI!$V:$AN,2,FALSE),"-")</f>
        <v>10</v>
      </c>
      <c r="Q34" s="32">
        <f t="shared" si="5"/>
        <v>1</v>
      </c>
      <c r="R34" s="185">
        <f t="shared" si="6"/>
        <v>170</v>
      </c>
      <c r="S34" s="89" t="str">
        <f t="shared" si="7"/>
        <v>Internal Mods (PSI)</v>
      </c>
      <c r="AG34" s="664">
        <v>32</v>
      </c>
      <c r="AH34" s="664">
        <v>10072301</v>
      </c>
      <c r="AI34" s="664" t="s">
        <v>125</v>
      </c>
      <c r="AJ34" s="92" t="s">
        <v>123</v>
      </c>
      <c r="AK34" s="92" t="s">
        <v>124</v>
      </c>
      <c r="AL34" s="92" t="s">
        <v>106</v>
      </c>
      <c r="AM34" s="92" t="s">
        <v>85</v>
      </c>
      <c r="AN34" s="92" t="s">
        <v>86</v>
      </c>
      <c r="AO34" s="157">
        <v>182.85000000000016</v>
      </c>
      <c r="AP34" s="157">
        <v>127.5</v>
      </c>
      <c r="AQ34" s="571">
        <v>0</v>
      </c>
      <c r="AS34" s="664">
        <f t="shared" si="9"/>
        <v>32</v>
      </c>
      <c r="AT34" s="664"/>
      <c r="AU34" s="664"/>
      <c r="AV34" s="92" t="str">
        <f>IFERROR(VLOOKUP($AT34,RESOURCES!$C:$L,MATCH('PRODUCTIVITY RAW'!AV$2,RESOURCES!$C$3:$L$3,0),FALSE),"-")</f>
        <v>-</v>
      </c>
      <c r="AW34" s="92" t="str">
        <f>IFERROR(VLOOKUP($AT34,RESOURCES!$C:$L,MATCH('PRODUCTIVITY RAW'!AW$2,RESOURCES!$C$3:$L$3,0),FALSE),"-")</f>
        <v>-</v>
      </c>
      <c r="AX34" s="92" t="str">
        <f>IFERROR(VLOOKUP($AT34,RESOURCES!$C:$L,MATCH('PRODUCTIVITY RAW'!AX$2,RESOURCES!$C$3:$L$3,0),FALSE),"-")</f>
        <v>-</v>
      </c>
      <c r="AY34" s="92" t="str">
        <f>IFERROR(VLOOKUP($AT34,RESOURCES!$C:$L,MATCH('PRODUCTIVITY RAW'!AY$2,RESOURCES!$C$3:$L$3,0),FALSE),"-")</f>
        <v>-</v>
      </c>
      <c r="AZ34" s="92" t="str">
        <f>IFERROR(VLOOKUP($AT34,RESOURCES!$C:$L,MATCH('PRODUCTIVITY RAW'!AZ$2,RESOURCES!$C$3:$L$3,0),FALSE),"-")</f>
        <v>-</v>
      </c>
      <c r="BA34" s="20"/>
    </row>
    <row r="35" spans="1:53">
      <c r="A35" s="664">
        <f t="shared" si="8"/>
        <v>33</v>
      </c>
      <c r="B35" s="466">
        <f t="shared" si="2"/>
        <v>10071278</v>
      </c>
      <c r="C35" s="92" t="str">
        <f>IFERROR(VLOOKUP($B35,RESOURCES!$C:$L,MATCH('PRODUCTIVITY RAW'!C$2,RESOURCES!$C$3:$L$3,0),FALSE),"-")</f>
        <v>DE LEON, JESSNA MARIE</v>
      </c>
      <c r="D35" s="92" t="str">
        <f>IFERROR(VLOOKUP($B35,RESOURCES!$C:$L,MATCH('PRODUCTIVITY RAW'!D$2,RESOURCES!$C$3:$L$3,0),FALSE),"-")</f>
        <v>Internal Mods (PSI)</v>
      </c>
      <c r="E35" s="92" t="str">
        <f>IFERROR(VLOOKUP($B35,RESOURCES!$C:$L,MATCH('PRODUCTIVITY RAW'!E$2,RESOURCES!$C$3:$L$3,0),FALSE),"-")</f>
        <v>REGENCIA, Reymark</v>
      </c>
      <c r="F35" s="92" t="str">
        <f>IFERROR(VLOOKUP($B35,RESOURCES!$C:$L,MATCH('PRODUCTIVITY RAW'!F$2,RESOURCES!$C$3:$L$3,0),FALSE),"-")</f>
        <v>PASQUIN, Ryan</v>
      </c>
      <c r="G35" s="92" t="str">
        <f>IFERROR(VLOOKUP($B35,RESOURCES!$C:$L,MATCH('PRODUCTIVITY RAW'!G$2,RESOURCES!$C$3:$L$3,0),FALSE),"-")</f>
        <v>MENDOZA, Carlo</v>
      </c>
      <c r="H35" s="92" t="str">
        <f>IFERROR(VLOOKUP($B35,RESOURCES!$C:$L,MATCH('PRODUCTIVITY RAW'!H$2,RESOURCES!$C$3:$L$3,0),FALSE),"-")</f>
        <v>Ventanilla, Mike</v>
      </c>
      <c r="I35" s="8"/>
      <c r="J35" s="8"/>
      <c r="K35" s="9" t="str">
        <f>IFERROR(VLOOKUP($B35,RESOURCES!$C:$L,MATCH('PRODUCTIVITY RAW'!K$2,RESOURCES!$C$3:$L$3,0),FALSE),"-")</f>
        <v>Expert</v>
      </c>
      <c r="L35" s="21">
        <f t="shared" si="0"/>
        <v>238.25000000000031</v>
      </c>
      <c r="M35" s="21">
        <f t="shared" si="1"/>
        <v>142.5</v>
      </c>
      <c r="N35" s="21">
        <f t="shared" si="3"/>
        <v>19</v>
      </c>
      <c r="O35" s="86">
        <f t="shared" si="4"/>
        <v>12.539473684210543</v>
      </c>
      <c r="P35" s="86">
        <f>IFERROR(VLOOKUP($D35,KPI!$V:$AN,2,FALSE),"-")</f>
        <v>10</v>
      </c>
      <c r="Q35" s="32">
        <f t="shared" si="5"/>
        <v>1</v>
      </c>
      <c r="R35" s="185">
        <f t="shared" si="6"/>
        <v>190</v>
      </c>
      <c r="S35" s="89" t="str">
        <f t="shared" si="7"/>
        <v>Internal Mods (PSI)</v>
      </c>
      <c r="AG35" s="664">
        <v>33</v>
      </c>
      <c r="AH35" s="664">
        <v>10071278</v>
      </c>
      <c r="AI35" s="664" t="s">
        <v>126</v>
      </c>
      <c r="AJ35" s="92" t="s">
        <v>123</v>
      </c>
      <c r="AK35" s="92" t="s">
        <v>124</v>
      </c>
      <c r="AL35" s="92" t="s">
        <v>106</v>
      </c>
      <c r="AM35" s="92" t="s">
        <v>85</v>
      </c>
      <c r="AN35" s="92" t="s">
        <v>86</v>
      </c>
      <c r="AO35" s="157">
        <v>238.25000000000031</v>
      </c>
      <c r="AP35" s="157">
        <v>142.5</v>
      </c>
      <c r="AQ35" s="571">
        <v>0</v>
      </c>
      <c r="AS35" s="664">
        <f t="shared" si="9"/>
        <v>33</v>
      </c>
      <c r="AT35" s="664"/>
      <c r="AU35" s="664"/>
      <c r="AV35" s="92" t="str">
        <f>IFERROR(VLOOKUP($AT35,RESOURCES!$C:$L,MATCH('PRODUCTIVITY RAW'!AV$2,RESOURCES!$C$3:$L$3,0),FALSE),"-")</f>
        <v>-</v>
      </c>
      <c r="AW35" s="92" t="str">
        <f>IFERROR(VLOOKUP($AT35,RESOURCES!$C:$L,MATCH('PRODUCTIVITY RAW'!AW$2,RESOURCES!$C$3:$L$3,0),FALSE),"-")</f>
        <v>-</v>
      </c>
      <c r="AX35" s="92" t="str">
        <f>IFERROR(VLOOKUP($AT35,RESOURCES!$C:$L,MATCH('PRODUCTIVITY RAW'!AX$2,RESOURCES!$C$3:$L$3,0),FALSE),"-")</f>
        <v>-</v>
      </c>
      <c r="AY35" s="92" t="str">
        <f>IFERROR(VLOOKUP($AT35,RESOURCES!$C:$L,MATCH('PRODUCTIVITY RAW'!AY$2,RESOURCES!$C$3:$L$3,0),FALSE),"-")</f>
        <v>-</v>
      </c>
      <c r="AZ35" s="92" t="str">
        <f>IFERROR(VLOOKUP($AT35,RESOURCES!$C:$L,MATCH('PRODUCTIVITY RAW'!AZ$2,RESOURCES!$C$3:$L$3,0),FALSE),"-")</f>
        <v>-</v>
      </c>
      <c r="BA35" s="20"/>
    </row>
    <row r="36" spans="1:53">
      <c r="A36" s="664">
        <f t="shared" si="8"/>
        <v>34</v>
      </c>
      <c r="B36" s="466">
        <f t="shared" si="2"/>
        <v>10072207</v>
      </c>
      <c r="C36" s="92" t="str">
        <f>IFERROR(VLOOKUP($B36,RESOURCES!$C:$L,MATCH('PRODUCTIVITY RAW'!C$2,RESOURCES!$C$3:$L$3,0),FALSE),"-")</f>
        <v>DIAZ, SHIELA MARIE C.</v>
      </c>
      <c r="D36" s="92" t="str">
        <f>IFERROR(VLOOKUP($B36,RESOURCES!$C:$L,MATCH('PRODUCTIVITY RAW'!D$2,RESOURCES!$C$3:$L$3,0),FALSE),"-")</f>
        <v>Internal Mods (PSI)</v>
      </c>
      <c r="E36" s="92" t="str">
        <f>IFERROR(VLOOKUP($B36,RESOURCES!$C:$L,MATCH('PRODUCTIVITY RAW'!E$2,RESOURCES!$C$3:$L$3,0),FALSE),"-")</f>
        <v>REGENCIA, Reymark</v>
      </c>
      <c r="F36" s="92" t="str">
        <f>IFERROR(VLOOKUP($B36,RESOURCES!$C:$L,MATCH('PRODUCTIVITY RAW'!F$2,RESOURCES!$C$3:$L$3,0),FALSE),"-")</f>
        <v>PASQUIN, Ryan</v>
      </c>
      <c r="G36" s="92" t="str">
        <f>IFERROR(VLOOKUP($B36,RESOURCES!$C:$L,MATCH('PRODUCTIVITY RAW'!G$2,RESOURCES!$C$3:$L$3,0),FALSE),"-")</f>
        <v>MENDOZA, Carlo</v>
      </c>
      <c r="H36" s="92" t="str">
        <f>IFERROR(VLOOKUP($B36,RESOURCES!$C:$L,MATCH('PRODUCTIVITY RAW'!H$2,RESOURCES!$C$3:$L$3,0),FALSE),"-")</f>
        <v>Ventanilla, Mike</v>
      </c>
      <c r="I36" s="8"/>
      <c r="J36" s="8"/>
      <c r="K36" s="9" t="str">
        <f>IFERROR(VLOOKUP($B36,RESOURCES!$C:$L,MATCH('PRODUCTIVITY RAW'!K$2,RESOURCES!$C$3:$L$3,0),FALSE),"-")</f>
        <v>Expert</v>
      </c>
      <c r="L36" s="21">
        <f t="shared" si="0"/>
        <v>201.15000000000015</v>
      </c>
      <c r="M36" s="21">
        <f t="shared" si="1"/>
        <v>127.5</v>
      </c>
      <c r="N36" s="21">
        <f t="shared" si="3"/>
        <v>17</v>
      </c>
      <c r="O36" s="86">
        <f t="shared" si="4"/>
        <v>11.832352941176479</v>
      </c>
      <c r="P36" s="86">
        <f>IFERROR(VLOOKUP($D36,KPI!$V:$AN,2,FALSE),"-")</f>
        <v>10</v>
      </c>
      <c r="Q36" s="32">
        <f t="shared" si="5"/>
        <v>1</v>
      </c>
      <c r="R36" s="185">
        <f t="shared" si="6"/>
        <v>170</v>
      </c>
      <c r="S36" s="89" t="str">
        <f t="shared" si="7"/>
        <v>Internal Mods (PSI)</v>
      </c>
      <c r="AG36" s="664">
        <v>34</v>
      </c>
      <c r="AH36" s="664">
        <v>10072207</v>
      </c>
      <c r="AI36" s="664" t="s">
        <v>127</v>
      </c>
      <c r="AJ36" s="92" t="s">
        <v>123</v>
      </c>
      <c r="AK36" s="92" t="s">
        <v>124</v>
      </c>
      <c r="AL36" s="92" t="s">
        <v>106</v>
      </c>
      <c r="AM36" s="92" t="s">
        <v>85</v>
      </c>
      <c r="AN36" s="92" t="s">
        <v>86</v>
      </c>
      <c r="AO36" s="157">
        <v>201.15000000000015</v>
      </c>
      <c r="AP36" s="157">
        <v>127.5</v>
      </c>
      <c r="AQ36" s="571">
        <v>0</v>
      </c>
      <c r="AS36" s="664">
        <f t="shared" si="9"/>
        <v>34</v>
      </c>
      <c r="AT36" s="664"/>
      <c r="AU36" s="664"/>
      <c r="AV36" s="92" t="str">
        <f>IFERROR(VLOOKUP($AT36,RESOURCES!$C:$L,MATCH('PRODUCTIVITY RAW'!AV$2,RESOURCES!$C$3:$L$3,0),FALSE),"-")</f>
        <v>-</v>
      </c>
      <c r="AW36" s="92" t="str">
        <f>IFERROR(VLOOKUP($AT36,RESOURCES!$C:$L,MATCH('PRODUCTIVITY RAW'!AW$2,RESOURCES!$C$3:$L$3,0),FALSE),"-")</f>
        <v>-</v>
      </c>
      <c r="AX36" s="92" t="str">
        <f>IFERROR(VLOOKUP($AT36,RESOURCES!$C:$L,MATCH('PRODUCTIVITY RAW'!AX$2,RESOURCES!$C$3:$L$3,0),FALSE),"-")</f>
        <v>-</v>
      </c>
      <c r="AY36" s="92" t="str">
        <f>IFERROR(VLOOKUP($AT36,RESOURCES!$C:$L,MATCH('PRODUCTIVITY RAW'!AY$2,RESOURCES!$C$3:$L$3,0),FALSE),"-")</f>
        <v>-</v>
      </c>
      <c r="AZ36" s="92" t="str">
        <f>IFERROR(VLOOKUP($AT36,RESOURCES!$C:$L,MATCH('PRODUCTIVITY RAW'!AZ$2,RESOURCES!$C$3:$L$3,0),FALSE),"-")</f>
        <v>-</v>
      </c>
      <c r="BA36" s="20"/>
    </row>
    <row r="37" spans="1:53">
      <c r="A37" s="664">
        <f t="shared" si="8"/>
        <v>35</v>
      </c>
      <c r="B37" s="466">
        <f t="shared" si="2"/>
        <v>10071198</v>
      </c>
      <c r="C37" s="92" t="str">
        <f>IFERROR(VLOOKUP($B37,RESOURCES!$C:$L,MATCH('PRODUCTIVITY RAW'!C$2,RESOURCES!$C$3:$L$3,0),FALSE),"-")</f>
        <v>DIKIT, MARICHRIS A.</v>
      </c>
      <c r="D37" s="92" t="str">
        <f>IFERROR(VLOOKUP($B37,RESOURCES!$C:$L,MATCH('PRODUCTIVITY RAW'!D$2,RESOURCES!$C$3:$L$3,0),FALSE),"-")</f>
        <v>Internal Mods (PSI)</v>
      </c>
      <c r="E37" s="92" t="str">
        <f>IFERROR(VLOOKUP($B37,RESOURCES!$C:$L,MATCH('PRODUCTIVITY RAW'!E$2,RESOURCES!$C$3:$L$3,0),FALSE),"-")</f>
        <v>REGENCIA, Reymark</v>
      </c>
      <c r="F37" s="92" t="str">
        <f>IFERROR(VLOOKUP($B37,RESOURCES!$C:$L,MATCH('PRODUCTIVITY RAW'!F$2,RESOURCES!$C$3:$L$3,0),FALSE),"-")</f>
        <v>PASQUIN, Ryan</v>
      </c>
      <c r="G37" s="92" t="str">
        <f>IFERROR(VLOOKUP($B37,RESOURCES!$C:$L,MATCH('PRODUCTIVITY RAW'!G$2,RESOURCES!$C$3:$L$3,0),FALSE),"-")</f>
        <v>MENDOZA, Carlo</v>
      </c>
      <c r="H37" s="92" t="str">
        <f>IFERROR(VLOOKUP($B37,RESOURCES!$C:$L,MATCH('PRODUCTIVITY RAW'!H$2,RESOURCES!$C$3:$L$3,0),FALSE),"-")</f>
        <v>Ventanilla, Mike</v>
      </c>
      <c r="I37" s="8"/>
      <c r="J37" s="8"/>
      <c r="K37" s="9" t="str">
        <f>IFERROR(VLOOKUP($B37,RESOURCES!$C:$L,MATCH('PRODUCTIVITY RAW'!K$2,RESOURCES!$C$3:$L$3,0),FALSE),"-")</f>
        <v>Expert</v>
      </c>
      <c r="L37" s="21">
        <f t="shared" si="0"/>
        <v>203.7000000000001</v>
      </c>
      <c r="M37" s="21">
        <f t="shared" si="1"/>
        <v>135</v>
      </c>
      <c r="N37" s="21">
        <f t="shared" si="3"/>
        <v>18</v>
      </c>
      <c r="O37" s="86">
        <f t="shared" si="4"/>
        <v>11.316666666666672</v>
      </c>
      <c r="P37" s="86">
        <f>IFERROR(VLOOKUP($D37,KPI!$V:$AN,2,FALSE),"-")</f>
        <v>10</v>
      </c>
      <c r="Q37" s="32">
        <f t="shared" si="5"/>
        <v>1</v>
      </c>
      <c r="R37" s="185">
        <f t="shared" si="6"/>
        <v>180</v>
      </c>
      <c r="S37" s="89" t="str">
        <f t="shared" si="7"/>
        <v>Internal Mods (PSI)</v>
      </c>
      <c r="AG37" s="664">
        <v>35</v>
      </c>
      <c r="AH37" s="664">
        <v>10071198</v>
      </c>
      <c r="AI37" s="664" t="s">
        <v>128</v>
      </c>
      <c r="AJ37" s="92" t="s">
        <v>123</v>
      </c>
      <c r="AK37" s="92" t="s">
        <v>124</v>
      </c>
      <c r="AL37" s="92" t="s">
        <v>106</v>
      </c>
      <c r="AM37" s="92" t="s">
        <v>85</v>
      </c>
      <c r="AN37" s="92" t="s">
        <v>86</v>
      </c>
      <c r="AO37" s="157">
        <v>203.7000000000001</v>
      </c>
      <c r="AP37" s="157">
        <v>135</v>
      </c>
      <c r="AQ37" s="571">
        <v>0</v>
      </c>
      <c r="AS37" s="664">
        <f t="shared" si="9"/>
        <v>35</v>
      </c>
      <c r="AT37" s="664"/>
      <c r="AU37" s="664"/>
      <c r="AV37" s="92" t="str">
        <f>IFERROR(VLOOKUP($AT37,RESOURCES!$C:$L,MATCH('PRODUCTIVITY RAW'!AV$2,RESOURCES!$C$3:$L$3,0),FALSE),"-")</f>
        <v>-</v>
      </c>
      <c r="AW37" s="92" t="str">
        <f>IFERROR(VLOOKUP($AT37,RESOURCES!$C:$L,MATCH('PRODUCTIVITY RAW'!AW$2,RESOURCES!$C$3:$L$3,0),FALSE),"-")</f>
        <v>-</v>
      </c>
      <c r="AX37" s="92" t="str">
        <f>IFERROR(VLOOKUP($AT37,RESOURCES!$C:$L,MATCH('PRODUCTIVITY RAW'!AX$2,RESOURCES!$C$3:$L$3,0),FALSE),"-")</f>
        <v>-</v>
      </c>
      <c r="AY37" s="92" t="str">
        <f>IFERROR(VLOOKUP($AT37,RESOURCES!$C:$L,MATCH('PRODUCTIVITY RAW'!AY$2,RESOURCES!$C$3:$L$3,0),FALSE),"-")</f>
        <v>-</v>
      </c>
      <c r="AZ37" s="92" t="str">
        <f>IFERROR(VLOOKUP($AT37,RESOURCES!$C:$L,MATCH('PRODUCTIVITY RAW'!AZ$2,RESOURCES!$C$3:$L$3,0),FALSE),"-")</f>
        <v>-</v>
      </c>
      <c r="BA37" s="20"/>
    </row>
    <row r="38" spans="1:53">
      <c r="A38" s="664">
        <f t="shared" si="8"/>
        <v>36</v>
      </c>
      <c r="B38" s="466">
        <f t="shared" si="2"/>
        <v>10072040</v>
      </c>
      <c r="C38" s="92" t="str">
        <f>IFERROR(VLOOKUP($B38,RESOURCES!$C:$L,MATCH('PRODUCTIVITY RAW'!C$2,RESOURCES!$C$3:$L$3,0),FALSE),"-")</f>
        <v>FERNANDEZ, RAYMOND O.</v>
      </c>
      <c r="D38" s="92" t="str">
        <f>IFERROR(VLOOKUP($B38,RESOURCES!$C:$L,MATCH('PRODUCTIVITY RAW'!D$2,RESOURCES!$C$3:$L$3,0),FALSE),"-")</f>
        <v>Internal Mods (PSI)</v>
      </c>
      <c r="E38" s="92" t="str">
        <f>IFERROR(VLOOKUP($B38,RESOURCES!$C:$L,MATCH('PRODUCTIVITY RAW'!E$2,RESOURCES!$C$3:$L$3,0),FALSE),"-")</f>
        <v>REGENCIA, Reymark</v>
      </c>
      <c r="F38" s="92" t="str">
        <f>IFERROR(VLOOKUP($B38,RESOURCES!$C:$L,MATCH('PRODUCTIVITY RAW'!F$2,RESOURCES!$C$3:$L$3,0),FALSE),"-")</f>
        <v>PASQUIN, Ryan</v>
      </c>
      <c r="G38" s="92" t="str">
        <f>IFERROR(VLOOKUP($B38,RESOURCES!$C:$L,MATCH('PRODUCTIVITY RAW'!G$2,RESOURCES!$C$3:$L$3,0),FALSE),"-")</f>
        <v>MENDOZA, Carlo</v>
      </c>
      <c r="H38" s="92" t="str">
        <f>IFERROR(VLOOKUP($B38,RESOURCES!$C:$L,MATCH('PRODUCTIVITY RAW'!H$2,RESOURCES!$C$3:$L$3,0),FALSE),"-")</f>
        <v>Ventanilla, Mike</v>
      </c>
      <c r="I38" s="8"/>
      <c r="J38" s="8"/>
      <c r="K38" s="9" t="str">
        <f>IFERROR(VLOOKUP($B38,RESOURCES!$C:$L,MATCH('PRODUCTIVITY RAW'!K$2,RESOURCES!$C$3:$L$3,0),FALSE),"-")</f>
        <v>Expert</v>
      </c>
      <c r="L38" s="21">
        <f t="shared" si="0"/>
        <v>104.89999999999998</v>
      </c>
      <c r="M38" s="21">
        <f t="shared" si="1"/>
        <v>105</v>
      </c>
      <c r="N38" s="21">
        <f t="shared" si="3"/>
        <v>14</v>
      </c>
      <c r="O38" s="86">
        <f t="shared" si="4"/>
        <v>7.4928571428571411</v>
      </c>
      <c r="P38" s="86">
        <f>IFERROR(VLOOKUP($D38,KPI!$V:$AN,2,FALSE),"-")</f>
        <v>10</v>
      </c>
      <c r="Q38" s="32">
        <f t="shared" si="5"/>
        <v>0.74928571428571411</v>
      </c>
      <c r="R38" s="185">
        <f t="shared" si="6"/>
        <v>140</v>
      </c>
      <c r="S38" s="89" t="str">
        <f t="shared" si="7"/>
        <v>Internal Mods (PSI)</v>
      </c>
      <c r="AG38" s="664">
        <v>36</v>
      </c>
      <c r="AH38" s="664">
        <v>10072040</v>
      </c>
      <c r="AI38" s="664" t="s">
        <v>129</v>
      </c>
      <c r="AJ38" s="92" t="s">
        <v>123</v>
      </c>
      <c r="AK38" s="92" t="s">
        <v>124</v>
      </c>
      <c r="AL38" s="92" t="s">
        <v>106</v>
      </c>
      <c r="AM38" s="92" t="s">
        <v>85</v>
      </c>
      <c r="AN38" s="92" t="s">
        <v>86</v>
      </c>
      <c r="AO38" s="157">
        <v>104.89999999999998</v>
      </c>
      <c r="AP38" s="157">
        <v>105</v>
      </c>
      <c r="AQ38" s="571">
        <v>0</v>
      </c>
      <c r="AS38" s="664">
        <f t="shared" si="9"/>
        <v>36</v>
      </c>
      <c r="AT38" s="664"/>
      <c r="AU38" s="664"/>
      <c r="AV38" s="92" t="str">
        <f>IFERROR(VLOOKUP($AT38,RESOURCES!$C:$L,MATCH('PRODUCTIVITY RAW'!AV$2,RESOURCES!$C$3:$L$3,0),FALSE),"-")</f>
        <v>-</v>
      </c>
      <c r="AW38" s="92" t="str">
        <f>IFERROR(VLOOKUP($AT38,RESOURCES!$C:$L,MATCH('PRODUCTIVITY RAW'!AW$2,RESOURCES!$C$3:$L$3,0),FALSE),"-")</f>
        <v>-</v>
      </c>
      <c r="AX38" s="92" t="str">
        <f>IFERROR(VLOOKUP($AT38,RESOURCES!$C:$L,MATCH('PRODUCTIVITY RAW'!AX$2,RESOURCES!$C$3:$L$3,0),FALSE),"-")</f>
        <v>-</v>
      </c>
      <c r="AY38" s="92" t="str">
        <f>IFERROR(VLOOKUP($AT38,RESOURCES!$C:$L,MATCH('PRODUCTIVITY RAW'!AY$2,RESOURCES!$C$3:$L$3,0),FALSE),"-")</f>
        <v>-</v>
      </c>
      <c r="AZ38" s="92" t="str">
        <f>IFERROR(VLOOKUP($AT38,RESOURCES!$C:$L,MATCH('PRODUCTIVITY RAW'!AZ$2,RESOURCES!$C$3:$L$3,0),FALSE),"-")</f>
        <v>-</v>
      </c>
      <c r="BA38" s="20"/>
    </row>
    <row r="39" spans="1:53">
      <c r="A39" s="664">
        <f t="shared" si="8"/>
        <v>37</v>
      </c>
      <c r="B39" s="466">
        <f t="shared" si="2"/>
        <v>10071199</v>
      </c>
      <c r="C39" s="92" t="str">
        <f>IFERROR(VLOOKUP($B39,RESOURCES!$C:$L,MATCH('PRODUCTIVITY RAW'!C$2,RESOURCES!$C$3:$L$3,0),FALSE),"-")</f>
        <v>GONZALES, RENZY ELAINE L.</v>
      </c>
      <c r="D39" s="92" t="str">
        <f>IFERROR(VLOOKUP($B39,RESOURCES!$C:$L,MATCH('PRODUCTIVITY RAW'!D$2,RESOURCES!$C$3:$L$3,0),FALSE),"-")</f>
        <v>Internal Mods (PSI)</v>
      </c>
      <c r="E39" s="92" t="str">
        <f>IFERROR(VLOOKUP($B39,RESOURCES!$C:$L,MATCH('PRODUCTIVITY RAW'!E$2,RESOURCES!$C$3:$L$3,0),FALSE),"-")</f>
        <v>REGENCIA, Reymark</v>
      </c>
      <c r="F39" s="92" t="str">
        <f>IFERROR(VLOOKUP($B39,RESOURCES!$C:$L,MATCH('PRODUCTIVITY RAW'!F$2,RESOURCES!$C$3:$L$3,0),FALSE),"-")</f>
        <v>PASQUIN, Ryan</v>
      </c>
      <c r="G39" s="92" t="str">
        <f>IFERROR(VLOOKUP($B39,RESOURCES!$C:$L,MATCH('PRODUCTIVITY RAW'!G$2,RESOURCES!$C$3:$L$3,0),FALSE),"-")</f>
        <v>MENDOZA, Carlo</v>
      </c>
      <c r="H39" s="92" t="str">
        <f>IFERROR(VLOOKUP($B39,RESOURCES!$C:$L,MATCH('PRODUCTIVITY RAW'!H$2,RESOURCES!$C$3:$L$3,0),FALSE),"-")</f>
        <v>Ventanilla, Mike</v>
      </c>
      <c r="I39" s="8"/>
      <c r="J39" s="8"/>
      <c r="K39" s="9" t="str">
        <f>IFERROR(VLOOKUP($B39,RESOURCES!$C:$L,MATCH('PRODUCTIVITY RAW'!K$2,RESOURCES!$C$3:$L$3,0),FALSE),"-")</f>
        <v>Expert</v>
      </c>
      <c r="L39" s="21">
        <f t="shared" si="0"/>
        <v>187.10000000000014</v>
      </c>
      <c r="M39" s="21">
        <f t="shared" si="1"/>
        <v>127.5</v>
      </c>
      <c r="N39" s="21">
        <f t="shared" si="3"/>
        <v>17</v>
      </c>
      <c r="O39" s="86">
        <f t="shared" si="4"/>
        <v>11.005882352941185</v>
      </c>
      <c r="P39" s="86">
        <f>IFERROR(VLOOKUP($D39,KPI!$V:$AN,2,FALSE),"-")</f>
        <v>10</v>
      </c>
      <c r="Q39" s="32">
        <f t="shared" si="5"/>
        <v>1</v>
      </c>
      <c r="R39" s="185">
        <f t="shared" si="6"/>
        <v>170</v>
      </c>
      <c r="S39" s="89" t="str">
        <f t="shared" si="7"/>
        <v>Internal Mods (PSI)</v>
      </c>
      <c r="AG39" s="664">
        <v>37</v>
      </c>
      <c r="AH39" s="664">
        <v>10071199</v>
      </c>
      <c r="AI39" s="664" t="s">
        <v>130</v>
      </c>
      <c r="AJ39" s="92" t="s">
        <v>123</v>
      </c>
      <c r="AK39" s="92" t="s">
        <v>124</v>
      </c>
      <c r="AL39" s="92" t="s">
        <v>106</v>
      </c>
      <c r="AM39" s="92" t="s">
        <v>85</v>
      </c>
      <c r="AN39" s="92" t="s">
        <v>86</v>
      </c>
      <c r="AO39" s="157">
        <v>187.10000000000014</v>
      </c>
      <c r="AP39" s="157">
        <v>127.5</v>
      </c>
      <c r="AQ39" s="571">
        <v>0</v>
      </c>
      <c r="AS39" s="664">
        <f t="shared" si="9"/>
        <v>37</v>
      </c>
      <c r="AT39" s="664"/>
      <c r="AU39" s="664"/>
      <c r="AV39" s="92" t="str">
        <f>IFERROR(VLOOKUP($AT39,RESOURCES!$C:$L,MATCH('PRODUCTIVITY RAW'!AV$2,RESOURCES!$C$3:$L$3,0),FALSE),"-")</f>
        <v>-</v>
      </c>
      <c r="AW39" s="92" t="str">
        <f>IFERROR(VLOOKUP($AT39,RESOURCES!$C:$L,MATCH('PRODUCTIVITY RAW'!AW$2,RESOURCES!$C$3:$L$3,0),FALSE),"-")</f>
        <v>-</v>
      </c>
      <c r="AX39" s="92" t="str">
        <f>IFERROR(VLOOKUP($AT39,RESOURCES!$C:$L,MATCH('PRODUCTIVITY RAW'!AX$2,RESOURCES!$C$3:$L$3,0),FALSE),"-")</f>
        <v>-</v>
      </c>
      <c r="AY39" s="92" t="str">
        <f>IFERROR(VLOOKUP($AT39,RESOURCES!$C:$L,MATCH('PRODUCTIVITY RAW'!AY$2,RESOURCES!$C$3:$L$3,0),FALSE),"-")</f>
        <v>-</v>
      </c>
      <c r="AZ39" s="92" t="str">
        <f>IFERROR(VLOOKUP($AT39,RESOURCES!$C:$L,MATCH('PRODUCTIVITY RAW'!AZ$2,RESOURCES!$C$3:$L$3,0),FALSE),"-")</f>
        <v>-</v>
      </c>
      <c r="BA39" s="20"/>
    </row>
    <row r="40" spans="1:53">
      <c r="A40" s="664">
        <f t="shared" si="8"/>
        <v>38</v>
      </c>
      <c r="B40" s="466">
        <f t="shared" si="2"/>
        <v>10072452</v>
      </c>
      <c r="C40" s="92" t="str">
        <f>IFERROR(VLOOKUP($B40,RESOURCES!$C:$L,MATCH('PRODUCTIVITY RAW'!C$2,RESOURCES!$C$3:$L$3,0),FALSE),"-")</f>
        <v>PELAGIO, MICHAEL DOMINIC</v>
      </c>
      <c r="D40" s="92" t="str">
        <f>IFERROR(VLOOKUP($B40,RESOURCES!$C:$L,MATCH('PRODUCTIVITY RAW'!D$2,RESOURCES!$C$3:$L$3,0),FALSE),"-")</f>
        <v>Internal Mods (PSI)</v>
      </c>
      <c r="E40" s="92" t="str">
        <f>IFERROR(VLOOKUP($B40,RESOURCES!$C:$L,MATCH('PRODUCTIVITY RAW'!E$2,RESOURCES!$C$3:$L$3,0),FALSE),"-")</f>
        <v>REGENCIA, Reymark</v>
      </c>
      <c r="F40" s="92" t="str">
        <f>IFERROR(VLOOKUP($B40,RESOURCES!$C:$L,MATCH('PRODUCTIVITY RAW'!F$2,RESOURCES!$C$3:$L$3,0),FALSE),"-")</f>
        <v>PASQUIN, Ryan</v>
      </c>
      <c r="G40" s="92" t="str">
        <f>IFERROR(VLOOKUP($B40,RESOURCES!$C:$L,MATCH('PRODUCTIVITY RAW'!G$2,RESOURCES!$C$3:$L$3,0),FALSE),"-")</f>
        <v>MENDOZA, Carlo</v>
      </c>
      <c r="H40" s="92" t="str">
        <f>IFERROR(VLOOKUP($B40,RESOURCES!$C:$L,MATCH('PRODUCTIVITY RAW'!H$2,RESOURCES!$C$3:$L$3,0),FALSE),"-")</f>
        <v>Ventanilla, Mike</v>
      </c>
      <c r="I40" s="8"/>
      <c r="J40" s="8"/>
      <c r="K40" s="9" t="str">
        <f>IFERROR(VLOOKUP($B40,RESOURCES!$C:$L,MATCH('PRODUCTIVITY RAW'!K$2,RESOURCES!$C$3:$L$3,0),FALSE),"-")</f>
        <v>Expert</v>
      </c>
      <c r="L40" s="21">
        <f t="shared" si="0"/>
        <v>175.55</v>
      </c>
      <c r="M40" s="21">
        <f t="shared" si="1"/>
        <v>142.5</v>
      </c>
      <c r="N40" s="21">
        <f t="shared" si="3"/>
        <v>19</v>
      </c>
      <c r="O40" s="86">
        <f t="shared" si="4"/>
        <v>9.2394736842105267</v>
      </c>
      <c r="P40" s="86">
        <f>IFERROR(VLOOKUP($D40,KPI!$V:$AN,2,FALSE),"-")</f>
        <v>10</v>
      </c>
      <c r="Q40" s="32">
        <f t="shared" si="5"/>
        <v>0.92394736842105274</v>
      </c>
      <c r="R40" s="185">
        <f t="shared" si="6"/>
        <v>190</v>
      </c>
      <c r="S40" s="89" t="str">
        <f t="shared" si="7"/>
        <v>Internal Mods (PSI)</v>
      </c>
      <c r="AG40" s="664">
        <v>38</v>
      </c>
      <c r="AH40" s="664">
        <v>10072452</v>
      </c>
      <c r="AI40" s="664" t="s">
        <v>131</v>
      </c>
      <c r="AJ40" s="92" t="s">
        <v>123</v>
      </c>
      <c r="AK40" s="92" t="s">
        <v>124</v>
      </c>
      <c r="AL40" s="92" t="s">
        <v>106</v>
      </c>
      <c r="AM40" s="92" t="s">
        <v>85</v>
      </c>
      <c r="AN40" s="92" t="s">
        <v>86</v>
      </c>
      <c r="AO40" s="157">
        <v>175.55</v>
      </c>
      <c r="AP40" s="157">
        <v>142.5</v>
      </c>
      <c r="AQ40" s="571">
        <v>0</v>
      </c>
      <c r="AS40" s="664">
        <f t="shared" si="9"/>
        <v>38</v>
      </c>
      <c r="AT40" s="664"/>
      <c r="AU40" s="664"/>
      <c r="AV40" s="92" t="str">
        <f>IFERROR(VLOOKUP($AT40,RESOURCES!$C:$L,MATCH('PRODUCTIVITY RAW'!AV$2,RESOURCES!$C$3:$L$3,0),FALSE),"-")</f>
        <v>-</v>
      </c>
      <c r="AW40" s="92" t="str">
        <f>IFERROR(VLOOKUP($AT40,RESOURCES!$C:$L,MATCH('PRODUCTIVITY RAW'!AW$2,RESOURCES!$C$3:$L$3,0),FALSE),"-")</f>
        <v>-</v>
      </c>
      <c r="AX40" s="92" t="str">
        <f>IFERROR(VLOOKUP($AT40,RESOURCES!$C:$L,MATCH('PRODUCTIVITY RAW'!AX$2,RESOURCES!$C$3:$L$3,0),FALSE),"-")</f>
        <v>-</v>
      </c>
      <c r="AY40" s="92" t="str">
        <f>IFERROR(VLOOKUP($AT40,RESOURCES!$C:$L,MATCH('PRODUCTIVITY RAW'!AY$2,RESOURCES!$C$3:$L$3,0),FALSE),"-")</f>
        <v>-</v>
      </c>
      <c r="AZ40" s="92" t="str">
        <f>IFERROR(VLOOKUP($AT40,RESOURCES!$C:$L,MATCH('PRODUCTIVITY RAW'!AZ$2,RESOURCES!$C$3:$L$3,0),FALSE),"-")</f>
        <v>-</v>
      </c>
      <c r="BA40" s="20"/>
    </row>
    <row r="41" spans="1:53">
      <c r="A41" s="664">
        <f t="shared" si="8"/>
        <v>39</v>
      </c>
      <c r="B41" s="466">
        <f t="shared" si="2"/>
        <v>10071178</v>
      </c>
      <c r="C41" s="92" t="str">
        <f>IFERROR(VLOOKUP($B41,RESOURCES!$C:$L,MATCH('PRODUCTIVITY RAW'!C$2,RESOURCES!$C$3:$L$3,0),FALSE),"-")</f>
        <v>PELAYO, ERWIN REINER B.</v>
      </c>
      <c r="D41" s="92" t="str">
        <f>IFERROR(VLOOKUP($B41,RESOURCES!$C:$L,MATCH('PRODUCTIVITY RAW'!D$2,RESOURCES!$C$3:$L$3,0),FALSE),"-")</f>
        <v>Internal Mods (PSI)</v>
      </c>
      <c r="E41" s="92" t="str">
        <f>IFERROR(VLOOKUP($B41,RESOURCES!$C:$L,MATCH('PRODUCTIVITY RAW'!E$2,RESOURCES!$C$3:$L$3,0),FALSE),"-")</f>
        <v>REGENCIA, Reymark</v>
      </c>
      <c r="F41" s="92" t="str">
        <f>IFERROR(VLOOKUP($B41,RESOURCES!$C:$L,MATCH('PRODUCTIVITY RAW'!F$2,RESOURCES!$C$3:$L$3,0),FALSE),"-")</f>
        <v>PASQUIN, Ryan</v>
      </c>
      <c r="G41" s="92" t="str">
        <f>IFERROR(VLOOKUP($B41,RESOURCES!$C:$L,MATCH('PRODUCTIVITY RAW'!G$2,RESOURCES!$C$3:$L$3,0),FALSE),"-")</f>
        <v>MENDOZA, Carlo</v>
      </c>
      <c r="H41" s="92" t="str">
        <f>IFERROR(VLOOKUP($B41,RESOURCES!$C:$L,MATCH('PRODUCTIVITY RAW'!H$2,RESOURCES!$C$3:$L$3,0),FALSE),"-")</f>
        <v>Ventanilla, Mike</v>
      </c>
      <c r="I41" s="8"/>
      <c r="J41" s="8"/>
      <c r="K41" s="9" t="str">
        <f>IFERROR(VLOOKUP($B41,RESOURCES!$C:$L,MATCH('PRODUCTIVITY RAW'!K$2,RESOURCES!$C$3:$L$3,0),FALSE),"-")</f>
        <v>Expert</v>
      </c>
      <c r="L41" s="21">
        <f t="shared" si="0"/>
        <v>203.95000000000007</v>
      </c>
      <c r="M41" s="21">
        <f t="shared" si="1"/>
        <v>135</v>
      </c>
      <c r="N41" s="21">
        <f t="shared" si="3"/>
        <v>18</v>
      </c>
      <c r="O41" s="86">
        <f t="shared" si="4"/>
        <v>11.330555555555559</v>
      </c>
      <c r="P41" s="86">
        <f>IFERROR(VLOOKUP($D41,KPI!$V:$AN,2,FALSE),"-")</f>
        <v>10</v>
      </c>
      <c r="Q41" s="32">
        <f t="shared" si="5"/>
        <v>1</v>
      </c>
      <c r="R41" s="185">
        <f t="shared" si="6"/>
        <v>180</v>
      </c>
      <c r="S41" s="89" t="str">
        <f t="shared" si="7"/>
        <v>Internal Mods (PSI)</v>
      </c>
      <c r="AG41" s="664">
        <v>39</v>
      </c>
      <c r="AH41" s="664">
        <v>10071178</v>
      </c>
      <c r="AI41" s="664" t="s">
        <v>132</v>
      </c>
      <c r="AJ41" s="92" t="s">
        <v>123</v>
      </c>
      <c r="AK41" s="92" t="s">
        <v>124</v>
      </c>
      <c r="AL41" s="92" t="s">
        <v>106</v>
      </c>
      <c r="AM41" s="92" t="s">
        <v>85</v>
      </c>
      <c r="AN41" s="92" t="s">
        <v>86</v>
      </c>
      <c r="AO41" s="157">
        <v>203.95000000000007</v>
      </c>
      <c r="AP41" s="157">
        <v>135</v>
      </c>
      <c r="AQ41" s="571">
        <v>0</v>
      </c>
      <c r="AS41" s="664">
        <f t="shared" si="9"/>
        <v>39</v>
      </c>
      <c r="AT41" s="664"/>
      <c r="AU41" s="664"/>
      <c r="AV41" s="92" t="str">
        <f>IFERROR(VLOOKUP($AT41,RESOURCES!$C:$L,MATCH('PRODUCTIVITY RAW'!AV$2,RESOURCES!$C$3:$L$3,0),FALSE),"-")</f>
        <v>-</v>
      </c>
      <c r="AW41" s="92" t="str">
        <f>IFERROR(VLOOKUP($AT41,RESOURCES!$C:$L,MATCH('PRODUCTIVITY RAW'!AW$2,RESOURCES!$C$3:$L$3,0),FALSE),"-")</f>
        <v>-</v>
      </c>
      <c r="AX41" s="92" t="str">
        <f>IFERROR(VLOOKUP($AT41,RESOURCES!$C:$L,MATCH('PRODUCTIVITY RAW'!AX$2,RESOURCES!$C$3:$L$3,0),FALSE),"-")</f>
        <v>-</v>
      </c>
      <c r="AY41" s="92" t="str">
        <f>IFERROR(VLOOKUP($AT41,RESOURCES!$C:$L,MATCH('PRODUCTIVITY RAW'!AY$2,RESOURCES!$C$3:$L$3,0),FALSE),"-")</f>
        <v>-</v>
      </c>
      <c r="AZ41" s="92" t="str">
        <f>IFERROR(VLOOKUP($AT41,RESOURCES!$C:$L,MATCH('PRODUCTIVITY RAW'!AZ$2,RESOURCES!$C$3:$L$3,0),FALSE),"-")</f>
        <v>-</v>
      </c>
      <c r="BA41" s="20"/>
    </row>
    <row r="42" spans="1:53">
      <c r="A42" s="664">
        <f t="shared" si="8"/>
        <v>40</v>
      </c>
      <c r="B42" s="466">
        <f t="shared" si="2"/>
        <v>10071439</v>
      </c>
      <c r="C42" s="92" t="str">
        <f>IFERROR(VLOOKUP($B42,RESOURCES!$C:$L,MATCH('PRODUCTIVITY RAW'!C$2,RESOURCES!$C$3:$L$3,0),FALSE),"-")</f>
        <v>PIMENTEL, STEPHANIE B.</v>
      </c>
      <c r="D42" s="92" t="str">
        <f>IFERROR(VLOOKUP($B42,RESOURCES!$C:$L,MATCH('PRODUCTIVITY RAW'!D$2,RESOURCES!$C$3:$L$3,0),FALSE),"-")</f>
        <v>Internal Mods (PSI)</v>
      </c>
      <c r="E42" s="92" t="str">
        <f>IFERROR(VLOOKUP($B42,RESOURCES!$C:$L,MATCH('PRODUCTIVITY RAW'!E$2,RESOURCES!$C$3:$L$3,0),FALSE),"-")</f>
        <v>REGENCIA, Reymark</v>
      </c>
      <c r="F42" s="92" t="str">
        <f>IFERROR(VLOOKUP($B42,RESOURCES!$C:$L,MATCH('PRODUCTIVITY RAW'!F$2,RESOURCES!$C$3:$L$3,0),FALSE),"-")</f>
        <v>PASQUIN, Ryan</v>
      </c>
      <c r="G42" s="92" t="str">
        <f>IFERROR(VLOOKUP($B42,RESOURCES!$C:$L,MATCH('PRODUCTIVITY RAW'!G$2,RESOURCES!$C$3:$L$3,0),FALSE),"-")</f>
        <v>MENDOZA, Carlo</v>
      </c>
      <c r="H42" s="92" t="str">
        <f>IFERROR(VLOOKUP($B42,RESOURCES!$C:$L,MATCH('PRODUCTIVITY RAW'!H$2,RESOURCES!$C$3:$L$3,0),FALSE),"-")</f>
        <v>Ventanilla, Mike</v>
      </c>
      <c r="I42" s="8"/>
      <c r="J42" s="8"/>
      <c r="K42" s="9" t="str">
        <f>IFERROR(VLOOKUP($B42,RESOURCES!$C:$L,MATCH('PRODUCTIVITY RAW'!K$2,RESOURCES!$C$3:$L$3,0),FALSE),"-")</f>
        <v>Expert</v>
      </c>
      <c r="L42" s="21">
        <f t="shared" si="0"/>
        <v>241.25000000000014</v>
      </c>
      <c r="M42" s="21">
        <f t="shared" si="1"/>
        <v>142.5</v>
      </c>
      <c r="N42" s="21">
        <f t="shared" si="3"/>
        <v>19</v>
      </c>
      <c r="O42" s="86">
        <f t="shared" si="4"/>
        <v>12.697368421052639</v>
      </c>
      <c r="P42" s="86">
        <f>IFERROR(VLOOKUP($D42,KPI!$V:$AN,2,FALSE),"-")</f>
        <v>10</v>
      </c>
      <c r="Q42" s="32">
        <f t="shared" si="5"/>
        <v>1</v>
      </c>
      <c r="R42" s="185">
        <f t="shared" si="6"/>
        <v>189.53333333333333</v>
      </c>
      <c r="S42" s="89" t="str">
        <f t="shared" si="7"/>
        <v>Internal Mods (PSI)</v>
      </c>
      <c r="AG42" s="664">
        <v>40</v>
      </c>
      <c r="AH42" s="664">
        <v>10071439</v>
      </c>
      <c r="AI42" s="664" t="s">
        <v>133</v>
      </c>
      <c r="AJ42" s="92" t="s">
        <v>123</v>
      </c>
      <c r="AK42" s="92" t="s">
        <v>124</v>
      </c>
      <c r="AL42" s="92" t="s">
        <v>106</v>
      </c>
      <c r="AM42" s="92" t="s">
        <v>85</v>
      </c>
      <c r="AN42" s="92" t="s">
        <v>86</v>
      </c>
      <c r="AO42" s="157">
        <v>241.25000000000014</v>
      </c>
      <c r="AP42" s="157">
        <v>142.5</v>
      </c>
      <c r="AQ42" s="571">
        <v>0.46666666666666667</v>
      </c>
      <c r="AS42" s="664">
        <f t="shared" si="9"/>
        <v>40</v>
      </c>
      <c r="AT42" s="664"/>
      <c r="AU42" s="664"/>
      <c r="AV42" s="92" t="str">
        <f>IFERROR(VLOOKUP($AT42,RESOURCES!$C:$L,MATCH('PRODUCTIVITY RAW'!AV$2,RESOURCES!$C$3:$L$3,0),FALSE),"-")</f>
        <v>-</v>
      </c>
      <c r="AW42" s="92" t="str">
        <f>IFERROR(VLOOKUP($AT42,RESOURCES!$C:$L,MATCH('PRODUCTIVITY RAW'!AW$2,RESOURCES!$C$3:$L$3,0),FALSE),"-")</f>
        <v>-</v>
      </c>
      <c r="AX42" s="92" t="str">
        <f>IFERROR(VLOOKUP($AT42,RESOURCES!$C:$L,MATCH('PRODUCTIVITY RAW'!AX$2,RESOURCES!$C$3:$L$3,0),FALSE),"-")</f>
        <v>-</v>
      </c>
      <c r="AY42" s="92" t="str">
        <f>IFERROR(VLOOKUP($AT42,RESOURCES!$C:$L,MATCH('PRODUCTIVITY RAW'!AY$2,RESOURCES!$C$3:$L$3,0),FALSE),"-")</f>
        <v>-</v>
      </c>
      <c r="AZ42" s="92" t="str">
        <f>IFERROR(VLOOKUP($AT42,RESOURCES!$C:$L,MATCH('PRODUCTIVITY RAW'!AZ$2,RESOURCES!$C$3:$L$3,0),FALSE),"-")</f>
        <v>-</v>
      </c>
      <c r="BA42" s="20"/>
    </row>
    <row r="43" spans="1:53">
      <c r="A43" s="664">
        <f t="shared" si="8"/>
        <v>41</v>
      </c>
      <c r="B43" s="466">
        <f t="shared" si="2"/>
        <v>10071314</v>
      </c>
      <c r="C43" s="92" t="str">
        <f>IFERROR(VLOOKUP($B43,RESOURCES!$C:$L,MATCH('PRODUCTIVITY RAW'!C$2,RESOURCES!$C$3:$L$3,0),FALSE),"-")</f>
        <v>TORRES, SHEENA C.</v>
      </c>
      <c r="D43" s="92" t="str">
        <f>IFERROR(VLOOKUP($B43,RESOURCES!$C:$L,MATCH('PRODUCTIVITY RAW'!D$2,RESOURCES!$C$3:$L$3,0),FALSE),"-")</f>
        <v>Internal Mods (PSI)</v>
      </c>
      <c r="E43" s="92" t="str">
        <f>IFERROR(VLOOKUP($B43,RESOURCES!$C:$L,MATCH('PRODUCTIVITY RAW'!E$2,RESOURCES!$C$3:$L$3,0),FALSE),"-")</f>
        <v>REGENCIA, Reymark</v>
      </c>
      <c r="F43" s="92" t="str">
        <f>IFERROR(VLOOKUP($B43,RESOURCES!$C:$L,MATCH('PRODUCTIVITY RAW'!F$2,RESOURCES!$C$3:$L$3,0),FALSE),"-")</f>
        <v>PASQUIN, Ryan</v>
      </c>
      <c r="G43" s="92" t="str">
        <f>IFERROR(VLOOKUP($B43,RESOURCES!$C:$L,MATCH('PRODUCTIVITY RAW'!G$2,RESOURCES!$C$3:$L$3,0),FALSE),"-")</f>
        <v>MENDOZA, Carlo</v>
      </c>
      <c r="H43" s="92" t="str">
        <f>IFERROR(VLOOKUP($B43,RESOURCES!$C:$L,MATCH('PRODUCTIVITY RAW'!H$2,RESOURCES!$C$3:$L$3,0),FALSE),"-")</f>
        <v>Ventanilla, Mike</v>
      </c>
      <c r="I43" s="8"/>
      <c r="J43" s="8"/>
      <c r="K43" s="9" t="str">
        <f>IFERROR(VLOOKUP($B43,RESOURCES!$C:$L,MATCH('PRODUCTIVITY RAW'!K$2,RESOURCES!$C$3:$L$3,0),FALSE),"-")</f>
        <v>Expert</v>
      </c>
      <c r="L43" s="21">
        <f t="shared" si="0"/>
        <v>189.3900000000001</v>
      </c>
      <c r="M43" s="21">
        <f t="shared" si="1"/>
        <v>142.5</v>
      </c>
      <c r="N43" s="21">
        <f t="shared" si="3"/>
        <v>19</v>
      </c>
      <c r="O43" s="86">
        <f t="shared" si="4"/>
        <v>9.9678947368421102</v>
      </c>
      <c r="P43" s="86">
        <f>IFERROR(VLOOKUP($D43,KPI!$V:$AN,2,FALSE),"-")</f>
        <v>10</v>
      </c>
      <c r="Q43" s="32">
        <f t="shared" si="5"/>
        <v>0.996789473684211</v>
      </c>
      <c r="R43" s="185">
        <f t="shared" si="6"/>
        <v>190</v>
      </c>
      <c r="S43" s="89" t="str">
        <f t="shared" si="7"/>
        <v>Internal Mods (PSI)</v>
      </c>
      <c r="AG43" s="664">
        <v>41</v>
      </c>
      <c r="AH43" s="664">
        <v>10071314</v>
      </c>
      <c r="AI43" s="664" t="s">
        <v>134</v>
      </c>
      <c r="AJ43" s="92" t="s">
        <v>123</v>
      </c>
      <c r="AK43" s="92" t="s">
        <v>124</v>
      </c>
      <c r="AL43" s="92" t="s">
        <v>106</v>
      </c>
      <c r="AM43" s="92" t="s">
        <v>85</v>
      </c>
      <c r="AN43" s="92" t="s">
        <v>86</v>
      </c>
      <c r="AO43" s="157">
        <v>189.3900000000001</v>
      </c>
      <c r="AP43" s="157">
        <v>142.5</v>
      </c>
      <c r="AQ43" s="571">
        <v>0</v>
      </c>
      <c r="AS43" s="664">
        <f t="shared" si="9"/>
        <v>41</v>
      </c>
      <c r="AT43" s="664"/>
      <c r="AU43" s="664"/>
      <c r="AV43" s="92" t="str">
        <f>IFERROR(VLOOKUP($AT43,RESOURCES!$C:$L,MATCH('PRODUCTIVITY RAW'!AV$2,RESOURCES!$C$3:$L$3,0),FALSE),"-")</f>
        <v>-</v>
      </c>
      <c r="AW43" s="92" t="str">
        <f>IFERROR(VLOOKUP($AT43,RESOURCES!$C:$L,MATCH('PRODUCTIVITY RAW'!AW$2,RESOURCES!$C$3:$L$3,0),FALSE),"-")</f>
        <v>-</v>
      </c>
      <c r="AX43" s="92" t="str">
        <f>IFERROR(VLOOKUP($AT43,RESOURCES!$C:$L,MATCH('PRODUCTIVITY RAW'!AX$2,RESOURCES!$C$3:$L$3,0),FALSE),"-")</f>
        <v>-</v>
      </c>
      <c r="AY43" s="92" t="str">
        <f>IFERROR(VLOOKUP($AT43,RESOURCES!$C:$L,MATCH('PRODUCTIVITY RAW'!AY$2,RESOURCES!$C$3:$L$3,0),FALSE),"-")</f>
        <v>-</v>
      </c>
      <c r="AZ43" s="92" t="str">
        <f>IFERROR(VLOOKUP($AT43,RESOURCES!$C:$L,MATCH('PRODUCTIVITY RAW'!AZ$2,RESOURCES!$C$3:$L$3,0),FALSE),"-")</f>
        <v>-</v>
      </c>
      <c r="BA43" s="20"/>
    </row>
    <row r="44" spans="1:53">
      <c r="A44" s="664">
        <f t="shared" si="8"/>
        <v>42</v>
      </c>
      <c r="B44" s="466">
        <f t="shared" si="2"/>
        <v>10071904</v>
      </c>
      <c r="C44" s="92" t="str">
        <f>IFERROR(VLOOKUP($B44,RESOURCES!$C:$L,MATCH('PRODUCTIVITY RAW'!C$2,RESOURCES!$C$3:$L$3,0),FALSE),"-")</f>
        <v>BORELA, SHAIRA MAE C.</v>
      </c>
      <c r="D44" s="92" t="str">
        <f>IFERROR(VLOOKUP($B44,RESOURCES!$C:$L,MATCH('PRODUCTIVITY RAW'!D$2,RESOURCES!$C$3:$L$3,0),FALSE),"-")</f>
        <v>Internal Mods (PSI)</v>
      </c>
      <c r="E44" s="92" t="str">
        <f>IFERROR(VLOOKUP($B44,RESOURCES!$C:$L,MATCH('PRODUCTIVITY RAW'!E$2,RESOURCES!$C$3:$L$3,0),FALSE),"-")</f>
        <v>REGENCIA, Reymark</v>
      </c>
      <c r="F44" s="92" t="str">
        <f>IFERROR(VLOOKUP($B44,RESOURCES!$C:$L,MATCH('PRODUCTIVITY RAW'!F$2,RESOURCES!$C$3:$L$3,0),FALSE),"-")</f>
        <v>PASQUIN, Ryan</v>
      </c>
      <c r="G44" s="92" t="str">
        <f>IFERROR(VLOOKUP($B44,RESOURCES!$C:$L,MATCH('PRODUCTIVITY RAW'!G$2,RESOURCES!$C$3:$L$3,0),FALSE),"-")</f>
        <v>MENDOZA, Carlo</v>
      </c>
      <c r="H44" s="92" t="str">
        <f>IFERROR(VLOOKUP($B44,RESOURCES!$C:$L,MATCH('PRODUCTIVITY RAW'!H$2,RESOURCES!$C$3:$L$3,0),FALSE),"-")</f>
        <v>Ventanilla, Mike</v>
      </c>
      <c r="I44" s="8"/>
      <c r="J44" s="8"/>
      <c r="K44" s="9" t="str">
        <f>IFERROR(VLOOKUP($B44,RESOURCES!$C:$L,MATCH('PRODUCTIVITY RAW'!K$2,RESOURCES!$C$3:$L$3,0),FALSE),"-")</f>
        <v>Expert</v>
      </c>
      <c r="L44" s="21">
        <f t="shared" si="0"/>
        <v>197.25000000000017</v>
      </c>
      <c r="M44" s="21">
        <f t="shared" si="1"/>
        <v>127.5</v>
      </c>
      <c r="N44" s="21">
        <f t="shared" si="3"/>
        <v>17</v>
      </c>
      <c r="O44" s="86">
        <f t="shared" si="4"/>
        <v>11.602941176470598</v>
      </c>
      <c r="P44" s="86">
        <f>IFERROR(VLOOKUP($D44,KPI!$V:$AN,2,FALSE),"-")</f>
        <v>10</v>
      </c>
      <c r="Q44" s="32">
        <f t="shared" si="5"/>
        <v>1</v>
      </c>
      <c r="R44" s="185">
        <f t="shared" si="6"/>
        <v>170</v>
      </c>
      <c r="S44" s="89" t="str">
        <f t="shared" si="7"/>
        <v>Internal Mods (PSI)</v>
      </c>
      <c r="AG44" s="664">
        <v>42</v>
      </c>
      <c r="AH44" s="664">
        <v>10071904</v>
      </c>
      <c r="AI44" s="664" t="s">
        <v>135</v>
      </c>
      <c r="AJ44" s="92" t="s">
        <v>123</v>
      </c>
      <c r="AK44" s="92" t="s">
        <v>124</v>
      </c>
      <c r="AL44" s="92" t="s">
        <v>106</v>
      </c>
      <c r="AM44" s="92" t="s">
        <v>85</v>
      </c>
      <c r="AN44" s="92" t="s">
        <v>86</v>
      </c>
      <c r="AO44" s="157">
        <v>197.25000000000017</v>
      </c>
      <c r="AP44" s="157">
        <v>127.5</v>
      </c>
      <c r="AQ44" s="571">
        <v>0</v>
      </c>
      <c r="AS44" s="664">
        <f t="shared" si="9"/>
        <v>42</v>
      </c>
      <c r="AT44" s="664"/>
      <c r="AU44" s="664"/>
      <c r="AV44" s="92" t="str">
        <f>IFERROR(VLOOKUP($AT44,RESOURCES!$C:$L,MATCH('PRODUCTIVITY RAW'!AV$2,RESOURCES!$C$3:$L$3,0),FALSE),"-")</f>
        <v>-</v>
      </c>
      <c r="AW44" s="92" t="str">
        <f>IFERROR(VLOOKUP($AT44,RESOURCES!$C:$L,MATCH('PRODUCTIVITY RAW'!AW$2,RESOURCES!$C$3:$L$3,0),FALSE),"-")</f>
        <v>-</v>
      </c>
      <c r="AX44" s="92" t="str">
        <f>IFERROR(VLOOKUP($AT44,RESOURCES!$C:$L,MATCH('PRODUCTIVITY RAW'!AX$2,RESOURCES!$C$3:$L$3,0),FALSE),"-")</f>
        <v>-</v>
      </c>
      <c r="AY44" s="92" t="str">
        <f>IFERROR(VLOOKUP($AT44,RESOURCES!$C:$L,MATCH('PRODUCTIVITY RAW'!AY$2,RESOURCES!$C$3:$L$3,0),FALSE),"-")</f>
        <v>-</v>
      </c>
      <c r="AZ44" s="92" t="str">
        <f>IFERROR(VLOOKUP($AT44,RESOURCES!$C:$L,MATCH('PRODUCTIVITY RAW'!AZ$2,RESOURCES!$C$3:$L$3,0),FALSE),"-")</f>
        <v>-</v>
      </c>
      <c r="BA44" s="20"/>
    </row>
    <row r="45" spans="1:53">
      <c r="A45" s="664">
        <f t="shared" si="8"/>
        <v>43</v>
      </c>
      <c r="B45" s="466">
        <f t="shared" si="2"/>
        <v>10072201</v>
      </c>
      <c r="C45" s="92" t="str">
        <f>IFERROR(VLOOKUP($B45,RESOURCES!$C:$L,MATCH('PRODUCTIVITY RAW'!C$2,RESOURCES!$C$3:$L$3,0),FALSE),"-")</f>
        <v>ARGAO, PAUL CHRISTIAN L.</v>
      </c>
      <c r="D45" s="92" t="str">
        <f>IFERROR(VLOOKUP($B45,RESOURCES!$C:$L,MATCH('PRODUCTIVITY RAW'!D$2,RESOURCES!$C$3:$L$3,0),FALSE),"-")</f>
        <v>Web Designer</v>
      </c>
      <c r="E45" s="92" t="str">
        <f>IFERROR(VLOOKUP($B45,RESOURCES!$C:$L,MATCH('PRODUCTIVITY RAW'!E$2,RESOURCES!$C$3:$L$3,0),FALSE),"-")</f>
        <v>LAPASTORA, Mark Anthony</v>
      </c>
      <c r="F45" s="92" t="str">
        <f>IFERROR(VLOOKUP($B45,RESOURCES!$C:$L,MATCH('PRODUCTIVITY RAW'!F$2,RESOURCES!$C$3:$L$3,0),FALSE),"-")</f>
        <v>MENDOZA, Carlo</v>
      </c>
      <c r="G45" s="92" t="str">
        <f>IFERROR(VLOOKUP($B45,RESOURCES!$C:$L,MATCH('PRODUCTIVITY RAW'!G$2,RESOURCES!$C$3:$L$3,0),FALSE),"-")</f>
        <v>MENDOZA, Carlo</v>
      </c>
      <c r="H45" s="92" t="str">
        <f>IFERROR(VLOOKUP($B45,RESOURCES!$C:$L,MATCH('PRODUCTIVITY RAW'!H$2,RESOURCES!$C$3:$L$3,0),FALSE),"-")</f>
        <v>Ventanilla, Mike</v>
      </c>
      <c r="I45" s="8"/>
      <c r="J45" s="8"/>
      <c r="K45" s="9" t="str">
        <f>IFERROR(VLOOKUP($B45,RESOURCES!$C:$L,MATCH('PRODUCTIVITY RAW'!K$2,RESOURCES!$C$3:$L$3,0),FALSE),"-")</f>
        <v>Expert</v>
      </c>
      <c r="L45" s="21">
        <f t="shared" si="0"/>
        <v>161.15</v>
      </c>
      <c r="M45" s="21">
        <f t="shared" si="1"/>
        <v>120</v>
      </c>
      <c r="N45" s="21">
        <f t="shared" si="3"/>
        <v>16</v>
      </c>
      <c r="O45" s="86">
        <f t="shared" si="4"/>
        <v>10.071875</v>
      </c>
      <c r="P45" s="86">
        <f>IFERROR(VLOOKUP($D45,KPI!$V:$AN,2,FALSE),"-")</f>
        <v>8</v>
      </c>
      <c r="Q45" s="32">
        <f t="shared" si="5"/>
        <v>1</v>
      </c>
      <c r="R45" s="185">
        <f t="shared" si="6"/>
        <v>126</v>
      </c>
      <c r="S45" s="89" t="str">
        <f t="shared" si="7"/>
        <v>Web Designer</v>
      </c>
      <c r="AG45" s="664">
        <v>43</v>
      </c>
      <c r="AH45" s="664">
        <v>10072201</v>
      </c>
      <c r="AI45" s="664" t="s">
        <v>136</v>
      </c>
      <c r="AJ45" s="92" t="s">
        <v>83</v>
      </c>
      <c r="AK45" s="92" t="s">
        <v>137</v>
      </c>
      <c r="AL45" s="92" t="s">
        <v>85</v>
      </c>
      <c r="AM45" s="92" t="s">
        <v>85</v>
      </c>
      <c r="AN45" s="92" t="s">
        <v>86</v>
      </c>
      <c r="AO45" s="157">
        <v>161.15</v>
      </c>
      <c r="AP45" s="157">
        <v>120</v>
      </c>
      <c r="AQ45" s="571">
        <v>2</v>
      </c>
      <c r="AS45" s="664">
        <f t="shared" si="9"/>
        <v>43</v>
      </c>
      <c r="AT45" s="664"/>
      <c r="AU45" s="664"/>
      <c r="AV45" s="92" t="str">
        <f>IFERROR(VLOOKUP($AT45,RESOURCES!$C:$L,MATCH('PRODUCTIVITY RAW'!AV$2,RESOURCES!$C$3:$L$3,0),FALSE),"-")</f>
        <v>-</v>
      </c>
      <c r="AW45" s="92" t="str">
        <f>IFERROR(VLOOKUP($AT45,RESOURCES!$C:$L,MATCH('PRODUCTIVITY RAW'!AW$2,RESOURCES!$C$3:$L$3,0),FALSE),"-")</f>
        <v>-</v>
      </c>
      <c r="AX45" s="92" t="str">
        <f>IFERROR(VLOOKUP($AT45,RESOURCES!$C:$L,MATCH('PRODUCTIVITY RAW'!AX$2,RESOURCES!$C$3:$L$3,0),FALSE),"-")</f>
        <v>-</v>
      </c>
      <c r="AY45" s="92" t="str">
        <f>IFERROR(VLOOKUP($AT45,RESOURCES!$C:$L,MATCH('PRODUCTIVITY RAW'!AY$2,RESOURCES!$C$3:$L$3,0),FALSE),"-")</f>
        <v>-</v>
      </c>
      <c r="AZ45" s="92" t="str">
        <f>IFERROR(VLOOKUP($AT45,RESOURCES!$C:$L,MATCH('PRODUCTIVITY RAW'!AZ$2,RESOURCES!$C$3:$L$3,0),FALSE),"-")</f>
        <v>-</v>
      </c>
      <c r="BA45" s="20"/>
    </row>
    <row r="46" spans="1:53">
      <c r="A46" s="664">
        <f t="shared" si="8"/>
        <v>44</v>
      </c>
      <c r="B46" s="466">
        <f t="shared" si="2"/>
        <v>10071631</v>
      </c>
      <c r="C46" s="92" t="str">
        <f>IFERROR(VLOOKUP($B46,RESOURCES!$C:$L,MATCH('PRODUCTIVITY RAW'!C$2,RESOURCES!$C$3:$L$3,0),FALSE),"-")</f>
        <v>ASERON, RHYALYN P.</v>
      </c>
      <c r="D46" s="92" t="str">
        <f>IFERROR(VLOOKUP($B46,RESOURCES!$C:$L,MATCH('PRODUCTIVITY RAW'!D$2,RESOURCES!$C$3:$L$3,0),FALSE),"-")</f>
        <v>Web Designer</v>
      </c>
      <c r="E46" s="92" t="str">
        <f>IFERROR(VLOOKUP($B46,RESOURCES!$C:$L,MATCH('PRODUCTIVITY RAW'!E$2,RESOURCES!$C$3:$L$3,0),FALSE),"-")</f>
        <v>LAPASTORA, Mark Anthony</v>
      </c>
      <c r="F46" s="92" t="str">
        <f>IFERROR(VLOOKUP($B46,RESOURCES!$C:$L,MATCH('PRODUCTIVITY RAW'!F$2,RESOURCES!$C$3:$L$3,0),FALSE),"-")</f>
        <v>MENDOZA, Carlo</v>
      </c>
      <c r="G46" s="92" t="str">
        <f>IFERROR(VLOOKUP($B46,RESOURCES!$C:$L,MATCH('PRODUCTIVITY RAW'!G$2,RESOURCES!$C$3:$L$3,0),FALSE),"-")</f>
        <v>MENDOZA, Carlo</v>
      </c>
      <c r="H46" s="92" t="str">
        <f>IFERROR(VLOOKUP($B46,RESOURCES!$C:$L,MATCH('PRODUCTIVITY RAW'!H$2,RESOURCES!$C$3:$L$3,0),FALSE),"-")</f>
        <v>Ventanilla, Mike</v>
      </c>
      <c r="I46" s="8"/>
      <c r="J46" s="8"/>
      <c r="K46" s="9" t="str">
        <f>IFERROR(VLOOKUP($B46,RESOURCES!$C:$L,MATCH('PRODUCTIVITY RAW'!K$2,RESOURCES!$C$3:$L$3,0),FALSE),"-")</f>
        <v>Expert</v>
      </c>
      <c r="L46" s="21">
        <f t="shared" si="0"/>
        <v>179.55</v>
      </c>
      <c r="M46" s="21">
        <f t="shared" si="1"/>
        <v>127.5</v>
      </c>
      <c r="N46" s="21">
        <f t="shared" si="3"/>
        <v>17</v>
      </c>
      <c r="O46" s="86">
        <f t="shared" si="4"/>
        <v>10.561764705882354</v>
      </c>
      <c r="P46" s="86">
        <f>IFERROR(VLOOKUP($D46,KPI!$V:$AN,2,FALSE),"-")</f>
        <v>8</v>
      </c>
      <c r="Q46" s="32">
        <f t="shared" si="5"/>
        <v>1</v>
      </c>
      <c r="R46" s="185">
        <f t="shared" si="6"/>
        <v>135.19999999999999</v>
      </c>
      <c r="S46" s="89" t="str">
        <f t="shared" si="7"/>
        <v>Web Designer</v>
      </c>
      <c r="AG46" s="664">
        <v>44</v>
      </c>
      <c r="AH46" s="664">
        <v>10071631</v>
      </c>
      <c r="AI46" s="664" t="s">
        <v>138</v>
      </c>
      <c r="AJ46" s="92" t="s">
        <v>83</v>
      </c>
      <c r="AK46" s="92" t="s">
        <v>137</v>
      </c>
      <c r="AL46" s="92" t="s">
        <v>85</v>
      </c>
      <c r="AM46" s="92" t="s">
        <v>85</v>
      </c>
      <c r="AN46" s="92" t="s">
        <v>86</v>
      </c>
      <c r="AO46" s="157">
        <v>179.55</v>
      </c>
      <c r="AP46" s="157">
        <v>127.5</v>
      </c>
      <c r="AQ46" s="571">
        <v>0.8</v>
      </c>
      <c r="AS46" s="664">
        <f t="shared" si="9"/>
        <v>44</v>
      </c>
      <c r="AT46" s="664"/>
      <c r="AU46" s="664"/>
      <c r="AV46" s="92" t="str">
        <f>IFERROR(VLOOKUP($AT46,RESOURCES!$C:$L,MATCH('PRODUCTIVITY RAW'!AV$2,RESOURCES!$C$3:$L$3,0),FALSE),"-")</f>
        <v>-</v>
      </c>
      <c r="AW46" s="92" t="str">
        <f>IFERROR(VLOOKUP($AT46,RESOURCES!$C:$L,MATCH('PRODUCTIVITY RAW'!AW$2,RESOURCES!$C$3:$L$3,0),FALSE),"-")</f>
        <v>-</v>
      </c>
      <c r="AX46" s="92" t="str">
        <f>IFERROR(VLOOKUP($AT46,RESOURCES!$C:$L,MATCH('PRODUCTIVITY RAW'!AX$2,RESOURCES!$C$3:$L$3,0),FALSE),"-")</f>
        <v>-</v>
      </c>
      <c r="AY46" s="92" t="str">
        <f>IFERROR(VLOOKUP($AT46,RESOURCES!$C:$L,MATCH('PRODUCTIVITY RAW'!AY$2,RESOURCES!$C$3:$L$3,0),FALSE),"-")</f>
        <v>-</v>
      </c>
      <c r="AZ46" s="92" t="str">
        <f>IFERROR(VLOOKUP($AT46,RESOURCES!$C:$L,MATCH('PRODUCTIVITY RAW'!AZ$2,RESOURCES!$C$3:$L$3,0),FALSE),"-")</f>
        <v>-</v>
      </c>
      <c r="BA46" s="20"/>
    </row>
    <row r="47" spans="1:53">
      <c r="A47" s="664">
        <f t="shared" si="8"/>
        <v>45</v>
      </c>
      <c r="B47" s="466">
        <f t="shared" si="2"/>
        <v>10072157</v>
      </c>
      <c r="C47" s="92" t="str">
        <f>IFERROR(VLOOKUP($B47,RESOURCES!$C:$L,MATCH('PRODUCTIVITY RAW'!C$2,RESOURCES!$C$3:$L$3,0),FALSE),"-")</f>
        <v>BLANCAFLOR, KIM BRYAN M.</v>
      </c>
      <c r="D47" s="92" t="str">
        <f>IFERROR(VLOOKUP($B47,RESOURCES!$C:$L,MATCH('PRODUCTIVITY RAW'!D$2,RESOURCES!$C$3:$L$3,0),FALSE),"-")</f>
        <v>Web Designer</v>
      </c>
      <c r="E47" s="92" t="str">
        <f>IFERROR(VLOOKUP($B47,RESOURCES!$C:$L,MATCH('PRODUCTIVITY RAW'!E$2,RESOURCES!$C$3:$L$3,0),FALSE),"-")</f>
        <v>LAPASTORA, Mark Anthony</v>
      </c>
      <c r="F47" s="92" t="str">
        <f>IFERROR(VLOOKUP($B47,RESOURCES!$C:$L,MATCH('PRODUCTIVITY RAW'!F$2,RESOURCES!$C$3:$L$3,0),FALSE),"-")</f>
        <v>MENDOZA, Carlo</v>
      </c>
      <c r="G47" s="92" t="str">
        <f>IFERROR(VLOOKUP($B47,RESOURCES!$C:$L,MATCH('PRODUCTIVITY RAW'!G$2,RESOURCES!$C$3:$L$3,0),FALSE),"-")</f>
        <v>MENDOZA, Carlo</v>
      </c>
      <c r="H47" s="92" t="str">
        <f>IFERROR(VLOOKUP($B47,RESOURCES!$C:$L,MATCH('PRODUCTIVITY RAW'!H$2,RESOURCES!$C$3:$L$3,0),FALSE),"-")</f>
        <v>Ventanilla, Mike</v>
      </c>
      <c r="I47" s="8"/>
      <c r="J47" s="8"/>
      <c r="K47" s="9" t="str">
        <f>IFERROR(VLOOKUP($B47,RESOURCES!$C:$L,MATCH('PRODUCTIVITY RAW'!K$2,RESOURCES!$C$3:$L$3,0),FALSE),"-")</f>
        <v>Expert</v>
      </c>
      <c r="L47" s="21">
        <f t="shared" si="0"/>
        <v>163.43000000000004</v>
      </c>
      <c r="M47" s="21">
        <f t="shared" si="1"/>
        <v>120</v>
      </c>
      <c r="N47" s="21">
        <f t="shared" si="3"/>
        <v>16</v>
      </c>
      <c r="O47" s="86">
        <f t="shared" si="4"/>
        <v>10.214375000000002</v>
      </c>
      <c r="P47" s="86">
        <f>IFERROR(VLOOKUP($D47,KPI!$V:$AN,2,FALSE),"-")</f>
        <v>8</v>
      </c>
      <c r="Q47" s="32">
        <f t="shared" si="5"/>
        <v>1</v>
      </c>
      <c r="R47" s="185">
        <f t="shared" si="6"/>
        <v>127</v>
      </c>
      <c r="S47" s="89" t="str">
        <f t="shared" si="7"/>
        <v>Web Designer</v>
      </c>
      <c r="AG47" s="664">
        <v>45</v>
      </c>
      <c r="AH47" s="664">
        <v>10072157</v>
      </c>
      <c r="AI47" s="664" t="s">
        <v>139</v>
      </c>
      <c r="AJ47" s="92" t="s">
        <v>83</v>
      </c>
      <c r="AK47" s="92" t="s">
        <v>137</v>
      </c>
      <c r="AL47" s="92" t="s">
        <v>85</v>
      </c>
      <c r="AM47" s="92" t="s">
        <v>85</v>
      </c>
      <c r="AN47" s="92" t="s">
        <v>86</v>
      </c>
      <c r="AO47" s="157">
        <v>163.43000000000004</v>
      </c>
      <c r="AP47" s="157">
        <v>120</v>
      </c>
      <c r="AQ47" s="571">
        <v>1</v>
      </c>
      <c r="AS47" s="664">
        <f t="shared" si="9"/>
        <v>45</v>
      </c>
      <c r="AT47" s="664"/>
      <c r="AU47" s="664"/>
      <c r="AV47" s="92" t="str">
        <f>IFERROR(VLOOKUP($AT47,RESOURCES!$C:$L,MATCH('PRODUCTIVITY RAW'!AV$2,RESOURCES!$C$3:$L$3,0),FALSE),"-")</f>
        <v>-</v>
      </c>
      <c r="AW47" s="92" t="str">
        <f>IFERROR(VLOOKUP($AT47,RESOURCES!$C:$L,MATCH('PRODUCTIVITY RAW'!AW$2,RESOURCES!$C$3:$L$3,0),FALSE),"-")</f>
        <v>-</v>
      </c>
      <c r="AX47" s="92" t="str">
        <f>IFERROR(VLOOKUP($AT47,RESOURCES!$C:$L,MATCH('PRODUCTIVITY RAW'!AX$2,RESOURCES!$C$3:$L$3,0),FALSE),"-")</f>
        <v>-</v>
      </c>
      <c r="AY47" s="92" t="str">
        <f>IFERROR(VLOOKUP($AT47,RESOURCES!$C:$L,MATCH('PRODUCTIVITY RAW'!AY$2,RESOURCES!$C$3:$L$3,0),FALSE),"-")</f>
        <v>-</v>
      </c>
      <c r="AZ47" s="92" t="str">
        <f>IFERROR(VLOOKUP($AT47,RESOURCES!$C:$L,MATCH('PRODUCTIVITY RAW'!AZ$2,RESOURCES!$C$3:$L$3,0),FALSE),"-")</f>
        <v>-</v>
      </c>
      <c r="BA47" s="20"/>
    </row>
    <row r="48" spans="1:53">
      <c r="A48" s="664">
        <f t="shared" si="8"/>
        <v>46</v>
      </c>
      <c r="B48" s="466">
        <f t="shared" si="2"/>
        <v>10071958</v>
      </c>
      <c r="C48" s="92" t="str">
        <f>IFERROR(VLOOKUP($B48,RESOURCES!$C:$L,MATCH('PRODUCTIVITY RAW'!C$2,RESOURCES!$C$3:$L$3,0),FALSE),"-")</f>
        <v>CANAYON, MARK ANTHONY L.</v>
      </c>
      <c r="D48" s="92" t="str">
        <f>IFERROR(VLOOKUP($B48,RESOURCES!$C:$L,MATCH('PRODUCTIVITY RAW'!D$2,RESOURCES!$C$3:$L$3,0),FALSE),"-")</f>
        <v>Web Designer</v>
      </c>
      <c r="E48" s="92" t="str">
        <f>IFERROR(VLOOKUP($B48,RESOURCES!$C:$L,MATCH('PRODUCTIVITY RAW'!E$2,RESOURCES!$C$3:$L$3,0),FALSE),"-")</f>
        <v>LAPASTORA, Mark Anthony</v>
      </c>
      <c r="F48" s="92" t="str">
        <f>IFERROR(VLOOKUP($B48,RESOURCES!$C:$L,MATCH('PRODUCTIVITY RAW'!F$2,RESOURCES!$C$3:$L$3,0),FALSE),"-")</f>
        <v>MENDOZA, Carlo</v>
      </c>
      <c r="G48" s="92" t="str">
        <f>IFERROR(VLOOKUP($B48,RESOURCES!$C:$L,MATCH('PRODUCTIVITY RAW'!G$2,RESOURCES!$C$3:$L$3,0),FALSE),"-")</f>
        <v>MENDOZA, Carlo</v>
      </c>
      <c r="H48" s="92" t="str">
        <f>IFERROR(VLOOKUP($B48,RESOURCES!$C:$L,MATCH('PRODUCTIVITY RAW'!H$2,RESOURCES!$C$3:$L$3,0),FALSE),"-")</f>
        <v>Ventanilla, Mike</v>
      </c>
      <c r="I48" s="8"/>
      <c r="J48" s="8"/>
      <c r="K48" s="9" t="str">
        <f>IFERROR(VLOOKUP($B48,RESOURCES!$C:$L,MATCH('PRODUCTIVITY RAW'!K$2,RESOURCES!$C$3:$L$3,0),FALSE),"-")</f>
        <v>Expert</v>
      </c>
      <c r="L48" s="21">
        <f t="shared" si="0"/>
        <v>115.25000000000003</v>
      </c>
      <c r="M48" s="21">
        <f t="shared" si="1"/>
        <v>120</v>
      </c>
      <c r="N48" s="21">
        <f t="shared" si="3"/>
        <v>16</v>
      </c>
      <c r="O48" s="86">
        <f t="shared" si="4"/>
        <v>7.2031250000000018</v>
      </c>
      <c r="P48" s="86">
        <f>IFERROR(VLOOKUP($D48,KPI!$V:$AN,2,FALSE),"-")</f>
        <v>8</v>
      </c>
      <c r="Q48" s="32">
        <f t="shared" si="5"/>
        <v>0.90039062500000022</v>
      </c>
      <c r="R48" s="185">
        <f t="shared" si="6"/>
        <v>128</v>
      </c>
      <c r="S48" s="89" t="str">
        <f t="shared" si="7"/>
        <v>Web Designer</v>
      </c>
      <c r="AG48" s="664">
        <v>46</v>
      </c>
      <c r="AH48" s="664">
        <v>10071958</v>
      </c>
      <c r="AI48" s="664" t="s">
        <v>140</v>
      </c>
      <c r="AJ48" s="92" t="s">
        <v>83</v>
      </c>
      <c r="AK48" s="92" t="s">
        <v>137</v>
      </c>
      <c r="AL48" s="92" t="s">
        <v>85</v>
      </c>
      <c r="AM48" s="92" t="s">
        <v>85</v>
      </c>
      <c r="AN48" s="92" t="s">
        <v>86</v>
      </c>
      <c r="AO48" s="157">
        <v>115.25000000000003</v>
      </c>
      <c r="AP48" s="157">
        <v>120</v>
      </c>
      <c r="AQ48" s="571">
        <v>0</v>
      </c>
      <c r="AS48" s="664">
        <f t="shared" si="9"/>
        <v>46</v>
      </c>
      <c r="AT48" s="664"/>
      <c r="AU48" s="664"/>
      <c r="AV48" s="92" t="str">
        <f>IFERROR(VLOOKUP($AT48,RESOURCES!$C:$L,MATCH('PRODUCTIVITY RAW'!AV$2,RESOURCES!$C$3:$L$3,0),FALSE),"-")</f>
        <v>-</v>
      </c>
      <c r="AW48" s="92" t="str">
        <f>IFERROR(VLOOKUP($AT48,RESOURCES!$C:$L,MATCH('PRODUCTIVITY RAW'!AW$2,RESOURCES!$C$3:$L$3,0),FALSE),"-")</f>
        <v>-</v>
      </c>
      <c r="AX48" s="92" t="str">
        <f>IFERROR(VLOOKUP($AT48,RESOURCES!$C:$L,MATCH('PRODUCTIVITY RAW'!AX$2,RESOURCES!$C$3:$L$3,0),FALSE),"-")</f>
        <v>-</v>
      </c>
      <c r="AY48" s="92" t="str">
        <f>IFERROR(VLOOKUP($AT48,RESOURCES!$C:$L,MATCH('PRODUCTIVITY RAW'!AY$2,RESOURCES!$C$3:$L$3,0),FALSE),"-")</f>
        <v>-</v>
      </c>
      <c r="AZ48" s="92" t="str">
        <f>IFERROR(VLOOKUP($AT48,RESOURCES!$C:$L,MATCH('PRODUCTIVITY RAW'!AZ$2,RESOURCES!$C$3:$L$3,0),FALSE),"-")</f>
        <v>-</v>
      </c>
      <c r="BA48" s="20"/>
    </row>
    <row r="49" spans="1:53">
      <c r="A49" s="664">
        <f t="shared" si="8"/>
        <v>47</v>
      </c>
      <c r="B49" s="466">
        <f t="shared" si="2"/>
        <v>10071039</v>
      </c>
      <c r="C49" s="92" t="str">
        <f>IFERROR(VLOOKUP($B49,RESOURCES!$C:$L,MATCH('PRODUCTIVITY RAW'!C$2,RESOURCES!$C$3:$L$3,0),FALSE),"-")</f>
        <v>ESTRELLA, DARYL ANGELO C.</v>
      </c>
      <c r="D49" s="92" t="str">
        <f>IFERROR(VLOOKUP($B49,RESOURCES!$C:$L,MATCH('PRODUCTIVITY RAW'!D$2,RESOURCES!$C$3:$L$3,0),FALSE),"-")</f>
        <v>Senior Web Designer</v>
      </c>
      <c r="E49" s="92" t="str">
        <f>IFERROR(VLOOKUP($B49,RESOURCES!$C:$L,MATCH('PRODUCTIVITY RAW'!E$2,RESOURCES!$C$3:$L$3,0),FALSE),"-")</f>
        <v>LAPASTORA, Mark Anthony</v>
      </c>
      <c r="F49" s="92" t="str">
        <f>IFERROR(VLOOKUP($B49,RESOURCES!$C:$L,MATCH('PRODUCTIVITY RAW'!F$2,RESOURCES!$C$3:$L$3,0),FALSE),"-")</f>
        <v>MENDOZA, Carlo</v>
      </c>
      <c r="G49" s="92" t="str">
        <f>IFERROR(VLOOKUP($B49,RESOURCES!$C:$L,MATCH('PRODUCTIVITY RAW'!G$2,RESOURCES!$C$3:$L$3,0),FALSE),"-")</f>
        <v>MENDOZA, Carlo</v>
      </c>
      <c r="H49" s="92" t="str">
        <f>IFERROR(VLOOKUP($B49,RESOURCES!$C:$L,MATCH('PRODUCTIVITY RAW'!H$2,RESOURCES!$C$3:$L$3,0),FALSE),"-")</f>
        <v>Ventanilla, Mike</v>
      </c>
      <c r="I49" s="8"/>
      <c r="J49" s="8"/>
      <c r="K49" s="9" t="str">
        <f>IFERROR(VLOOKUP($B49,RESOURCES!$C:$L,MATCH('PRODUCTIVITY RAW'!K$2,RESOURCES!$C$3:$L$3,0),FALSE),"-")</f>
        <v>Expert</v>
      </c>
      <c r="L49" s="21">
        <f t="shared" si="0"/>
        <v>140.24</v>
      </c>
      <c r="M49" s="21">
        <f t="shared" si="1"/>
        <v>135</v>
      </c>
      <c r="N49" s="21">
        <f t="shared" si="3"/>
        <v>18</v>
      </c>
      <c r="O49" s="86">
        <f t="shared" si="4"/>
        <v>7.7911111111111113</v>
      </c>
      <c r="P49" s="86">
        <f>IFERROR(VLOOKUP($D49,KPI!$V:$AN,2,FALSE),"-")</f>
        <v>7</v>
      </c>
      <c r="Q49" s="32">
        <f t="shared" si="5"/>
        <v>1</v>
      </c>
      <c r="R49" s="185">
        <f t="shared" si="6"/>
        <v>126</v>
      </c>
      <c r="S49" s="89" t="str">
        <f t="shared" si="7"/>
        <v>Senior Web Designer</v>
      </c>
      <c r="AG49" s="664">
        <v>47</v>
      </c>
      <c r="AH49" s="664">
        <v>10071039</v>
      </c>
      <c r="AI49" s="664" t="s">
        <v>141</v>
      </c>
      <c r="AJ49" s="92" t="s">
        <v>142</v>
      </c>
      <c r="AK49" s="92" t="s">
        <v>137</v>
      </c>
      <c r="AL49" s="92" t="s">
        <v>85</v>
      </c>
      <c r="AM49" s="92" t="s">
        <v>85</v>
      </c>
      <c r="AN49" s="92" t="s">
        <v>86</v>
      </c>
      <c r="AO49" s="157">
        <v>140.24</v>
      </c>
      <c r="AP49" s="157">
        <v>135</v>
      </c>
      <c r="AQ49" s="571">
        <v>0</v>
      </c>
      <c r="AS49" s="664">
        <f t="shared" si="9"/>
        <v>47</v>
      </c>
      <c r="AT49" s="664"/>
      <c r="AU49" s="664"/>
      <c r="AV49" s="92" t="str">
        <f>IFERROR(VLOOKUP($AT49,RESOURCES!$C:$L,MATCH('PRODUCTIVITY RAW'!AV$2,RESOURCES!$C$3:$L$3,0),FALSE),"-")</f>
        <v>-</v>
      </c>
      <c r="AW49" s="92" t="str">
        <f>IFERROR(VLOOKUP($AT49,RESOURCES!$C:$L,MATCH('PRODUCTIVITY RAW'!AW$2,RESOURCES!$C$3:$L$3,0),FALSE),"-")</f>
        <v>-</v>
      </c>
      <c r="AX49" s="92" t="str">
        <f>IFERROR(VLOOKUP($AT49,RESOURCES!$C:$L,MATCH('PRODUCTIVITY RAW'!AX$2,RESOURCES!$C$3:$L$3,0),FALSE),"-")</f>
        <v>-</v>
      </c>
      <c r="AY49" s="92" t="str">
        <f>IFERROR(VLOOKUP($AT49,RESOURCES!$C:$L,MATCH('PRODUCTIVITY RAW'!AY$2,RESOURCES!$C$3:$L$3,0),FALSE),"-")</f>
        <v>-</v>
      </c>
      <c r="AZ49" s="92" t="str">
        <f>IFERROR(VLOOKUP($AT49,RESOURCES!$C:$L,MATCH('PRODUCTIVITY RAW'!AZ$2,RESOURCES!$C$3:$L$3,0),FALSE),"-")</f>
        <v>-</v>
      </c>
      <c r="BA49" s="20"/>
    </row>
    <row r="50" spans="1:53">
      <c r="A50" s="664">
        <f t="shared" si="8"/>
        <v>48</v>
      </c>
      <c r="B50" s="466">
        <f t="shared" si="2"/>
        <v>10071261</v>
      </c>
      <c r="C50" s="92" t="str">
        <f>IFERROR(VLOOKUP($B50,RESOURCES!$C:$L,MATCH('PRODUCTIVITY RAW'!C$2,RESOURCES!$C$3:$L$3,0),FALSE),"-")</f>
        <v>GALES, DIONEL S.</v>
      </c>
      <c r="D50" s="92" t="str">
        <f>IFERROR(VLOOKUP($B50,RESOURCES!$C:$L,MATCH('PRODUCTIVITY RAW'!D$2,RESOURCES!$C$3:$L$3,0),FALSE),"-")</f>
        <v>Web Designer</v>
      </c>
      <c r="E50" s="92" t="str">
        <f>IFERROR(VLOOKUP($B50,RESOURCES!$C:$L,MATCH('PRODUCTIVITY RAW'!E$2,RESOURCES!$C$3:$L$3,0),FALSE),"-")</f>
        <v>LAPASTORA, Mark Anthony</v>
      </c>
      <c r="F50" s="92" t="str">
        <f>IFERROR(VLOOKUP($B50,RESOURCES!$C:$L,MATCH('PRODUCTIVITY RAW'!F$2,RESOURCES!$C$3:$L$3,0),FALSE),"-")</f>
        <v>MENDOZA, Carlo</v>
      </c>
      <c r="G50" s="92" t="str">
        <f>IFERROR(VLOOKUP($B50,RESOURCES!$C:$L,MATCH('PRODUCTIVITY RAW'!G$2,RESOURCES!$C$3:$L$3,0),FALSE),"-")</f>
        <v>MENDOZA, Carlo</v>
      </c>
      <c r="H50" s="92" t="str">
        <f>IFERROR(VLOOKUP($B50,RESOURCES!$C:$L,MATCH('PRODUCTIVITY RAW'!H$2,RESOURCES!$C$3:$L$3,0),FALSE),"-")</f>
        <v>Ventanilla, Mike</v>
      </c>
      <c r="I50" s="8"/>
      <c r="J50" s="8"/>
      <c r="K50" s="9" t="str">
        <f>IFERROR(VLOOKUP($B50,RESOURCES!$C:$L,MATCH('PRODUCTIVITY RAW'!K$2,RESOURCES!$C$3:$L$3,0),FALSE),"-")</f>
        <v>Expert</v>
      </c>
      <c r="L50" s="21">
        <f t="shared" si="0"/>
        <v>124.03999999999999</v>
      </c>
      <c r="M50" s="21">
        <f t="shared" si="1"/>
        <v>105</v>
      </c>
      <c r="N50" s="21">
        <f t="shared" si="3"/>
        <v>14</v>
      </c>
      <c r="O50" s="86">
        <f t="shared" si="4"/>
        <v>8.86</v>
      </c>
      <c r="P50" s="86">
        <f>IFERROR(VLOOKUP($D50,KPI!$V:$AN,2,FALSE),"-")</f>
        <v>8</v>
      </c>
      <c r="Q50" s="32">
        <f t="shared" si="5"/>
        <v>1</v>
      </c>
      <c r="R50" s="185">
        <f t="shared" si="6"/>
        <v>112</v>
      </c>
      <c r="S50" s="89" t="str">
        <f t="shared" si="7"/>
        <v>Web Designer</v>
      </c>
      <c r="AG50" s="664">
        <v>48</v>
      </c>
      <c r="AH50" s="664">
        <v>10071261</v>
      </c>
      <c r="AI50" s="664" t="s">
        <v>143</v>
      </c>
      <c r="AJ50" s="92" t="s">
        <v>83</v>
      </c>
      <c r="AK50" s="92" t="s">
        <v>137</v>
      </c>
      <c r="AL50" s="92" t="s">
        <v>85</v>
      </c>
      <c r="AM50" s="92" t="s">
        <v>85</v>
      </c>
      <c r="AN50" s="92" t="s">
        <v>86</v>
      </c>
      <c r="AO50" s="157">
        <v>124.03999999999999</v>
      </c>
      <c r="AP50" s="157">
        <v>105</v>
      </c>
      <c r="AQ50" s="571">
        <v>0</v>
      </c>
      <c r="AS50" s="664">
        <f t="shared" si="9"/>
        <v>48</v>
      </c>
      <c r="AT50" s="664"/>
      <c r="AU50" s="664"/>
      <c r="AV50" s="92" t="str">
        <f>IFERROR(VLOOKUP($AT50,RESOURCES!$C:$L,MATCH('PRODUCTIVITY RAW'!AV$2,RESOURCES!$C$3:$L$3,0),FALSE),"-")</f>
        <v>-</v>
      </c>
      <c r="AW50" s="92" t="str">
        <f>IFERROR(VLOOKUP($AT50,RESOURCES!$C:$L,MATCH('PRODUCTIVITY RAW'!AW$2,RESOURCES!$C$3:$L$3,0),FALSE),"-")</f>
        <v>-</v>
      </c>
      <c r="AX50" s="92" t="str">
        <f>IFERROR(VLOOKUP($AT50,RESOURCES!$C:$L,MATCH('PRODUCTIVITY RAW'!AX$2,RESOURCES!$C$3:$L$3,0),FALSE),"-")</f>
        <v>-</v>
      </c>
      <c r="AY50" s="92" t="str">
        <f>IFERROR(VLOOKUP($AT50,RESOURCES!$C:$L,MATCH('PRODUCTIVITY RAW'!AY$2,RESOURCES!$C$3:$L$3,0),FALSE),"-")</f>
        <v>-</v>
      </c>
      <c r="AZ50" s="92" t="str">
        <f>IFERROR(VLOOKUP($AT50,RESOURCES!$C:$L,MATCH('PRODUCTIVITY RAW'!AZ$2,RESOURCES!$C$3:$L$3,0),FALSE),"-")</f>
        <v>-</v>
      </c>
      <c r="BA50" s="20"/>
    </row>
    <row r="51" spans="1:53">
      <c r="A51" s="664">
        <f t="shared" si="8"/>
        <v>49</v>
      </c>
      <c r="B51" s="466">
        <f t="shared" si="2"/>
        <v>10071751</v>
      </c>
      <c r="C51" s="92" t="str">
        <f>IFERROR(VLOOKUP($B51,RESOURCES!$C:$L,MATCH('PRODUCTIVITY RAW'!C$2,RESOURCES!$C$3:$L$3,0),FALSE),"-")</f>
        <v>GALES, GERALD JOHN S.</v>
      </c>
      <c r="D51" s="92" t="str">
        <f>IFERROR(VLOOKUP($B51,RESOURCES!$C:$L,MATCH('PRODUCTIVITY RAW'!D$2,RESOURCES!$C$3:$L$3,0),FALSE),"-")</f>
        <v>Web Designer</v>
      </c>
      <c r="E51" s="92" t="str">
        <f>IFERROR(VLOOKUP($B51,RESOURCES!$C:$L,MATCH('PRODUCTIVITY RAW'!E$2,RESOURCES!$C$3:$L$3,0),FALSE),"-")</f>
        <v>LAPASTORA, Mark Anthony</v>
      </c>
      <c r="F51" s="92" t="str">
        <f>IFERROR(VLOOKUP($B51,RESOURCES!$C:$L,MATCH('PRODUCTIVITY RAW'!F$2,RESOURCES!$C$3:$L$3,0),FALSE),"-")</f>
        <v>MENDOZA, Carlo</v>
      </c>
      <c r="G51" s="92" t="str">
        <f>IFERROR(VLOOKUP($B51,RESOURCES!$C:$L,MATCH('PRODUCTIVITY RAW'!G$2,RESOURCES!$C$3:$L$3,0),FALSE),"-")</f>
        <v>MENDOZA, Carlo</v>
      </c>
      <c r="H51" s="92" t="str">
        <f>IFERROR(VLOOKUP($B51,RESOURCES!$C:$L,MATCH('PRODUCTIVITY RAW'!H$2,RESOURCES!$C$3:$L$3,0),FALSE),"-")</f>
        <v>Ventanilla, Mike</v>
      </c>
      <c r="I51" s="8"/>
      <c r="J51" s="8"/>
      <c r="K51" s="9" t="str">
        <f>IFERROR(VLOOKUP($B51,RESOURCES!$C:$L,MATCH('PRODUCTIVITY RAW'!K$2,RESOURCES!$C$3:$L$3,0),FALSE),"-")</f>
        <v>Expert</v>
      </c>
      <c r="L51" s="21">
        <f t="shared" si="0"/>
        <v>148.75000000000003</v>
      </c>
      <c r="M51" s="21">
        <f t="shared" si="1"/>
        <v>127.5</v>
      </c>
      <c r="N51" s="21">
        <f t="shared" si="3"/>
        <v>17</v>
      </c>
      <c r="O51" s="86">
        <f t="shared" si="4"/>
        <v>8.7500000000000018</v>
      </c>
      <c r="P51" s="86">
        <f>IFERROR(VLOOKUP($D51,KPI!$V:$AN,2,FALSE),"-")</f>
        <v>8</v>
      </c>
      <c r="Q51" s="32">
        <f t="shared" si="5"/>
        <v>1</v>
      </c>
      <c r="R51" s="185">
        <f t="shared" si="6"/>
        <v>135</v>
      </c>
      <c r="S51" s="89" t="str">
        <f t="shared" si="7"/>
        <v>Web Designer</v>
      </c>
      <c r="AG51" s="664">
        <v>49</v>
      </c>
      <c r="AH51" s="664">
        <v>10071751</v>
      </c>
      <c r="AI51" s="664" t="s">
        <v>144</v>
      </c>
      <c r="AJ51" s="92" t="s">
        <v>83</v>
      </c>
      <c r="AK51" s="92" t="s">
        <v>137</v>
      </c>
      <c r="AL51" s="92" t="s">
        <v>85</v>
      </c>
      <c r="AM51" s="92" t="s">
        <v>85</v>
      </c>
      <c r="AN51" s="92" t="s">
        <v>86</v>
      </c>
      <c r="AO51" s="157">
        <v>148.75000000000003</v>
      </c>
      <c r="AP51" s="157">
        <v>127.5</v>
      </c>
      <c r="AQ51" s="571">
        <v>1</v>
      </c>
      <c r="AS51" s="664">
        <f t="shared" si="9"/>
        <v>49</v>
      </c>
      <c r="AT51" s="664"/>
      <c r="AU51" s="664"/>
      <c r="AV51" s="92" t="str">
        <f>IFERROR(VLOOKUP($AT51,RESOURCES!$C:$L,MATCH('PRODUCTIVITY RAW'!AV$2,RESOURCES!$C$3:$L$3,0),FALSE),"-")</f>
        <v>-</v>
      </c>
      <c r="AW51" s="92" t="str">
        <f>IFERROR(VLOOKUP($AT51,RESOURCES!$C:$L,MATCH('PRODUCTIVITY RAW'!AW$2,RESOURCES!$C$3:$L$3,0),FALSE),"-")</f>
        <v>-</v>
      </c>
      <c r="AX51" s="92" t="str">
        <f>IFERROR(VLOOKUP($AT51,RESOURCES!$C:$L,MATCH('PRODUCTIVITY RAW'!AX$2,RESOURCES!$C$3:$L$3,0),FALSE),"-")</f>
        <v>-</v>
      </c>
      <c r="AY51" s="92" t="str">
        <f>IFERROR(VLOOKUP($AT51,RESOURCES!$C:$L,MATCH('PRODUCTIVITY RAW'!AY$2,RESOURCES!$C$3:$L$3,0),FALSE),"-")</f>
        <v>-</v>
      </c>
      <c r="AZ51" s="92" t="str">
        <f>IFERROR(VLOOKUP($AT51,RESOURCES!$C:$L,MATCH('PRODUCTIVITY RAW'!AZ$2,RESOURCES!$C$3:$L$3,0),FALSE),"-")</f>
        <v>-</v>
      </c>
      <c r="BA51" s="20"/>
    </row>
    <row r="52" spans="1:53">
      <c r="A52" s="664">
        <f t="shared" si="8"/>
        <v>50</v>
      </c>
      <c r="B52" s="466">
        <f t="shared" si="2"/>
        <v>10072238</v>
      </c>
      <c r="C52" s="92" t="str">
        <f>IFERROR(VLOOKUP($B52,RESOURCES!$C:$L,MATCH('PRODUCTIVITY RAW'!C$2,RESOURCES!$C$3:$L$3,0),FALSE),"-")</f>
        <v>INOCENTES, MHARVIC L.</v>
      </c>
      <c r="D52" s="92" t="str">
        <f>IFERROR(VLOOKUP($B52,RESOURCES!$C:$L,MATCH('PRODUCTIVITY RAW'!D$2,RESOURCES!$C$3:$L$3,0),FALSE),"-")</f>
        <v>Web Designer</v>
      </c>
      <c r="E52" s="92" t="str">
        <f>IFERROR(VLOOKUP($B52,RESOURCES!$C:$L,MATCH('PRODUCTIVITY RAW'!E$2,RESOURCES!$C$3:$L$3,0),FALSE),"-")</f>
        <v>LAPASTORA, Mark Anthony</v>
      </c>
      <c r="F52" s="92" t="str">
        <f>IFERROR(VLOOKUP($B52,RESOURCES!$C:$L,MATCH('PRODUCTIVITY RAW'!F$2,RESOURCES!$C$3:$L$3,0),FALSE),"-")</f>
        <v>MENDOZA, Carlo</v>
      </c>
      <c r="G52" s="92" t="str">
        <f>IFERROR(VLOOKUP($B52,RESOURCES!$C:$L,MATCH('PRODUCTIVITY RAW'!G$2,RESOURCES!$C$3:$L$3,0),FALSE),"-")</f>
        <v>MENDOZA, Carlo</v>
      </c>
      <c r="H52" s="92" t="str">
        <f>IFERROR(VLOOKUP($B52,RESOURCES!$C:$L,MATCH('PRODUCTIVITY RAW'!H$2,RESOURCES!$C$3:$L$3,0),FALSE),"-")</f>
        <v>Ventanilla, Mike</v>
      </c>
      <c r="I52" s="8"/>
      <c r="J52" s="8"/>
      <c r="K52" s="9" t="str">
        <f>IFERROR(VLOOKUP($B52,RESOURCES!$C:$L,MATCH('PRODUCTIVITY RAW'!K$2,RESOURCES!$C$3:$L$3,0),FALSE),"-")</f>
        <v>Expert</v>
      </c>
      <c r="L52" s="21">
        <f t="shared" si="0"/>
        <v>126.2600000000001</v>
      </c>
      <c r="M52" s="21">
        <f t="shared" si="1"/>
        <v>112.5</v>
      </c>
      <c r="N52" s="21">
        <f t="shared" si="3"/>
        <v>15</v>
      </c>
      <c r="O52" s="86">
        <f t="shared" si="4"/>
        <v>8.4173333333333407</v>
      </c>
      <c r="P52" s="86">
        <f>IFERROR(VLOOKUP($D52,KPI!$V:$AN,2,FALSE),"-")</f>
        <v>8</v>
      </c>
      <c r="Q52" s="32">
        <f t="shared" si="5"/>
        <v>1</v>
      </c>
      <c r="R52" s="185">
        <f t="shared" si="6"/>
        <v>119</v>
      </c>
      <c r="S52" s="89" t="str">
        <f t="shared" si="7"/>
        <v>Web Designer</v>
      </c>
      <c r="AG52" s="664">
        <v>50</v>
      </c>
      <c r="AH52" s="664">
        <v>10072238</v>
      </c>
      <c r="AI52" s="664" t="s">
        <v>145</v>
      </c>
      <c r="AJ52" s="92" t="s">
        <v>83</v>
      </c>
      <c r="AK52" s="92" t="s">
        <v>137</v>
      </c>
      <c r="AL52" s="92" t="s">
        <v>85</v>
      </c>
      <c r="AM52" s="92" t="s">
        <v>85</v>
      </c>
      <c r="AN52" s="92" t="s">
        <v>86</v>
      </c>
      <c r="AO52" s="157">
        <v>126.2600000000001</v>
      </c>
      <c r="AP52" s="157">
        <v>112.5</v>
      </c>
      <c r="AQ52" s="571">
        <v>1</v>
      </c>
      <c r="AS52" s="664">
        <f t="shared" si="9"/>
        <v>50</v>
      </c>
      <c r="AT52" s="664"/>
      <c r="AU52" s="664"/>
      <c r="AV52" s="92" t="str">
        <f>IFERROR(VLOOKUP($AT52,RESOURCES!$C:$L,MATCH('PRODUCTIVITY RAW'!AV$2,RESOURCES!$C$3:$L$3,0),FALSE),"-")</f>
        <v>-</v>
      </c>
      <c r="AW52" s="92" t="str">
        <f>IFERROR(VLOOKUP($AT52,RESOURCES!$C:$L,MATCH('PRODUCTIVITY RAW'!AW$2,RESOURCES!$C$3:$L$3,0),FALSE),"-")</f>
        <v>-</v>
      </c>
      <c r="AX52" s="92" t="str">
        <f>IFERROR(VLOOKUP($AT52,RESOURCES!$C:$L,MATCH('PRODUCTIVITY RAW'!AX$2,RESOURCES!$C$3:$L$3,0),FALSE),"-")</f>
        <v>-</v>
      </c>
      <c r="AY52" s="92" t="str">
        <f>IFERROR(VLOOKUP($AT52,RESOURCES!$C:$L,MATCH('PRODUCTIVITY RAW'!AY$2,RESOURCES!$C$3:$L$3,0),FALSE),"-")</f>
        <v>-</v>
      </c>
      <c r="AZ52" s="92" t="str">
        <f>IFERROR(VLOOKUP($AT52,RESOURCES!$C:$L,MATCH('PRODUCTIVITY RAW'!AZ$2,RESOURCES!$C$3:$L$3,0),FALSE),"-")</f>
        <v>-</v>
      </c>
      <c r="BA52" s="20"/>
    </row>
    <row r="53" spans="1:53">
      <c r="A53" s="664">
        <f t="shared" si="8"/>
        <v>51</v>
      </c>
      <c r="B53" s="466">
        <f t="shared" si="2"/>
        <v>10071275</v>
      </c>
      <c r="C53" s="92" t="str">
        <f>IFERROR(VLOOKUP($B53,RESOURCES!$C:$L,MATCH('PRODUCTIVITY RAW'!C$2,RESOURCES!$C$3:$L$3,0),FALSE),"-")</f>
        <v>LUGO, NORIEL BERNARD M.</v>
      </c>
      <c r="D53" s="92" t="str">
        <f>IFERROR(VLOOKUP($B53,RESOURCES!$C:$L,MATCH('PRODUCTIVITY RAW'!D$2,RESOURCES!$C$3:$L$3,0),FALSE),"-")</f>
        <v>Web Designer</v>
      </c>
      <c r="E53" s="92" t="str">
        <f>IFERROR(VLOOKUP($B53,RESOURCES!$C:$L,MATCH('PRODUCTIVITY RAW'!E$2,RESOURCES!$C$3:$L$3,0),FALSE),"-")</f>
        <v>LAPASTORA, Mark Anthony</v>
      </c>
      <c r="F53" s="92" t="str">
        <f>IFERROR(VLOOKUP($B53,RESOURCES!$C:$L,MATCH('PRODUCTIVITY RAW'!F$2,RESOURCES!$C$3:$L$3,0),FALSE),"-")</f>
        <v>MENDOZA, Carlo</v>
      </c>
      <c r="G53" s="92" t="str">
        <f>IFERROR(VLOOKUP($B53,RESOURCES!$C:$L,MATCH('PRODUCTIVITY RAW'!G$2,RESOURCES!$C$3:$L$3,0),FALSE),"-")</f>
        <v>MENDOZA, Carlo</v>
      </c>
      <c r="H53" s="92" t="str">
        <f>IFERROR(VLOOKUP($B53,RESOURCES!$C:$L,MATCH('PRODUCTIVITY RAW'!H$2,RESOURCES!$C$3:$L$3,0),FALSE),"-")</f>
        <v>Ventanilla, Mike</v>
      </c>
      <c r="I53" s="8"/>
      <c r="J53" s="8"/>
      <c r="K53" s="9" t="str">
        <f>IFERROR(VLOOKUP($B53,RESOURCES!$C:$L,MATCH('PRODUCTIVITY RAW'!K$2,RESOURCES!$C$3:$L$3,0),FALSE),"-")</f>
        <v>Expert</v>
      </c>
      <c r="L53" s="21">
        <f t="shared" si="0"/>
        <v>80.350000000000009</v>
      </c>
      <c r="M53" s="21">
        <f t="shared" si="1"/>
        <v>75</v>
      </c>
      <c r="N53" s="21">
        <f t="shared" si="3"/>
        <v>10</v>
      </c>
      <c r="O53" s="86">
        <f t="shared" si="4"/>
        <v>8.0350000000000001</v>
      </c>
      <c r="P53" s="86">
        <f>IFERROR(VLOOKUP($D53,KPI!$V:$AN,2,FALSE),"-")</f>
        <v>8</v>
      </c>
      <c r="Q53" s="32">
        <f t="shared" si="5"/>
        <v>1</v>
      </c>
      <c r="R53" s="185">
        <f t="shared" si="6"/>
        <v>80</v>
      </c>
      <c r="S53" s="89" t="str">
        <f t="shared" si="7"/>
        <v>Web Designer</v>
      </c>
      <c r="AG53" s="664">
        <v>51</v>
      </c>
      <c r="AH53" s="664">
        <v>10071275</v>
      </c>
      <c r="AI53" s="664" t="s">
        <v>146</v>
      </c>
      <c r="AJ53" s="92" t="s">
        <v>83</v>
      </c>
      <c r="AK53" s="92" t="s">
        <v>137</v>
      </c>
      <c r="AL53" s="92" t="s">
        <v>85</v>
      </c>
      <c r="AM53" s="92" t="s">
        <v>85</v>
      </c>
      <c r="AN53" s="92" t="s">
        <v>86</v>
      </c>
      <c r="AO53" s="157">
        <v>80.350000000000009</v>
      </c>
      <c r="AP53" s="157">
        <v>75</v>
      </c>
      <c r="AQ53" s="571">
        <v>0</v>
      </c>
      <c r="AS53" s="664">
        <f t="shared" si="9"/>
        <v>51</v>
      </c>
      <c r="AT53" s="664"/>
      <c r="AU53" s="664"/>
      <c r="AV53" s="92" t="str">
        <f>IFERROR(VLOOKUP($AT53,RESOURCES!$C:$L,MATCH('PRODUCTIVITY RAW'!AV$2,RESOURCES!$C$3:$L$3,0),FALSE),"-")</f>
        <v>-</v>
      </c>
      <c r="AW53" s="92" t="str">
        <f>IFERROR(VLOOKUP($AT53,RESOURCES!$C:$L,MATCH('PRODUCTIVITY RAW'!AW$2,RESOURCES!$C$3:$L$3,0),FALSE),"-")</f>
        <v>-</v>
      </c>
      <c r="AX53" s="92" t="str">
        <f>IFERROR(VLOOKUP($AT53,RESOURCES!$C:$L,MATCH('PRODUCTIVITY RAW'!AX$2,RESOURCES!$C$3:$L$3,0),FALSE),"-")</f>
        <v>-</v>
      </c>
      <c r="AY53" s="92" t="str">
        <f>IFERROR(VLOOKUP($AT53,RESOURCES!$C:$L,MATCH('PRODUCTIVITY RAW'!AY$2,RESOURCES!$C$3:$L$3,0),FALSE),"-")</f>
        <v>-</v>
      </c>
      <c r="AZ53" s="92" t="str">
        <f>IFERROR(VLOOKUP($AT53,RESOURCES!$C:$L,MATCH('PRODUCTIVITY RAW'!AZ$2,RESOURCES!$C$3:$L$3,0),FALSE),"-")</f>
        <v>-</v>
      </c>
      <c r="BA53" s="20"/>
    </row>
    <row r="54" spans="1:53">
      <c r="A54" s="664">
        <f t="shared" si="8"/>
        <v>52</v>
      </c>
      <c r="B54" s="466">
        <f t="shared" si="2"/>
        <v>10072233</v>
      </c>
      <c r="C54" s="92" t="str">
        <f>IFERROR(VLOOKUP($B54,RESOURCES!$C:$L,MATCH('PRODUCTIVITY RAW'!C$2,RESOURCES!$C$3:$L$3,0),FALSE),"-")</f>
        <v>PADERAGAO, RICKZEL S.</v>
      </c>
      <c r="D54" s="92" t="str">
        <f>IFERROR(VLOOKUP($B54,RESOURCES!$C:$L,MATCH('PRODUCTIVITY RAW'!D$2,RESOURCES!$C$3:$L$3,0),FALSE),"-")</f>
        <v>Web Designer</v>
      </c>
      <c r="E54" s="92" t="str">
        <f>IFERROR(VLOOKUP($B54,RESOURCES!$C:$L,MATCH('PRODUCTIVITY RAW'!E$2,RESOURCES!$C$3:$L$3,0),FALSE),"-")</f>
        <v>LAPASTORA, Mark Anthony</v>
      </c>
      <c r="F54" s="92" t="str">
        <f>IFERROR(VLOOKUP($B54,RESOURCES!$C:$L,MATCH('PRODUCTIVITY RAW'!F$2,RESOURCES!$C$3:$L$3,0),FALSE),"-")</f>
        <v>MENDOZA, Carlo</v>
      </c>
      <c r="G54" s="92" t="str">
        <f>IFERROR(VLOOKUP($B54,RESOURCES!$C:$L,MATCH('PRODUCTIVITY RAW'!G$2,RESOURCES!$C$3:$L$3,0),FALSE),"-")</f>
        <v>MENDOZA, Carlo</v>
      </c>
      <c r="H54" s="92" t="str">
        <f>IFERROR(VLOOKUP($B54,RESOURCES!$C:$L,MATCH('PRODUCTIVITY RAW'!H$2,RESOURCES!$C$3:$L$3,0),FALSE),"-")</f>
        <v>Ventanilla, Mike</v>
      </c>
      <c r="I54" s="8"/>
      <c r="J54" s="8"/>
      <c r="K54" s="9" t="str">
        <f>IFERROR(VLOOKUP($B54,RESOURCES!$C:$L,MATCH('PRODUCTIVITY RAW'!K$2,RESOURCES!$C$3:$L$3,0),FALSE),"-")</f>
        <v>Beginner</v>
      </c>
      <c r="L54" s="21">
        <f t="shared" si="0"/>
        <v>157.10000000000005</v>
      </c>
      <c r="M54" s="21">
        <f t="shared" si="1"/>
        <v>142.5</v>
      </c>
      <c r="N54" s="21">
        <f t="shared" si="3"/>
        <v>19</v>
      </c>
      <c r="O54" s="86">
        <f t="shared" si="4"/>
        <v>8.2684210526315809</v>
      </c>
      <c r="P54" s="86">
        <f>IFERROR(VLOOKUP($D54,KPI!$V:$AN,2,FALSE),"-")</f>
        <v>8</v>
      </c>
      <c r="Q54" s="32">
        <f t="shared" si="5"/>
        <v>1</v>
      </c>
      <c r="R54" s="185">
        <f t="shared" si="6"/>
        <v>151</v>
      </c>
      <c r="S54" s="89" t="str">
        <f t="shared" si="7"/>
        <v>Web Designer</v>
      </c>
      <c r="AG54" s="664">
        <v>52</v>
      </c>
      <c r="AH54" s="664">
        <v>10072233</v>
      </c>
      <c r="AI54" s="664" t="s">
        <v>147</v>
      </c>
      <c r="AJ54" s="92" t="s">
        <v>83</v>
      </c>
      <c r="AK54" s="92" t="s">
        <v>137</v>
      </c>
      <c r="AL54" s="92" t="s">
        <v>85</v>
      </c>
      <c r="AM54" s="92" t="s">
        <v>85</v>
      </c>
      <c r="AN54" s="92" t="s">
        <v>86</v>
      </c>
      <c r="AO54" s="157">
        <v>157.10000000000005</v>
      </c>
      <c r="AP54" s="157">
        <v>142.5</v>
      </c>
      <c r="AQ54" s="571">
        <v>1</v>
      </c>
      <c r="AS54" s="664">
        <f t="shared" si="9"/>
        <v>52</v>
      </c>
      <c r="AT54" s="664"/>
      <c r="AU54" s="664"/>
      <c r="AV54" s="92" t="str">
        <f>IFERROR(VLOOKUP($AT54,RESOURCES!$C:$L,MATCH('PRODUCTIVITY RAW'!AV$2,RESOURCES!$C$3:$L$3,0),FALSE),"-")</f>
        <v>-</v>
      </c>
      <c r="AW54" s="92" t="str">
        <f>IFERROR(VLOOKUP($AT54,RESOURCES!$C:$L,MATCH('PRODUCTIVITY RAW'!AW$2,RESOURCES!$C$3:$L$3,0),FALSE),"-")</f>
        <v>-</v>
      </c>
      <c r="AX54" s="92" t="str">
        <f>IFERROR(VLOOKUP($AT54,RESOURCES!$C:$L,MATCH('PRODUCTIVITY RAW'!AX$2,RESOURCES!$C$3:$L$3,0),FALSE),"-")</f>
        <v>-</v>
      </c>
      <c r="AY54" s="92" t="str">
        <f>IFERROR(VLOOKUP($AT54,RESOURCES!$C:$L,MATCH('PRODUCTIVITY RAW'!AY$2,RESOURCES!$C$3:$L$3,0),FALSE),"-")</f>
        <v>-</v>
      </c>
      <c r="AZ54" s="92" t="str">
        <f>IFERROR(VLOOKUP($AT54,RESOURCES!$C:$L,MATCH('PRODUCTIVITY RAW'!AZ$2,RESOURCES!$C$3:$L$3,0),FALSE),"-")</f>
        <v>-</v>
      </c>
      <c r="BA54" s="20"/>
    </row>
    <row r="55" spans="1:53">
      <c r="A55" s="664">
        <f t="shared" si="8"/>
        <v>53</v>
      </c>
      <c r="B55" s="466">
        <f t="shared" si="2"/>
        <v>10072026</v>
      </c>
      <c r="C55" s="92" t="str">
        <f>IFERROR(VLOOKUP($B55,RESOURCES!$C:$L,MATCH('PRODUCTIVITY RAW'!C$2,RESOURCES!$C$3:$L$3,0),FALSE),"-")</f>
        <v>LAT, DIANNE GRACE A.</v>
      </c>
      <c r="D55" s="92" t="str">
        <f>IFERROR(VLOOKUP($B55,RESOURCES!$C:$L,MATCH('PRODUCTIVITY RAW'!D$2,RESOURCES!$C$3:$L$3,0),FALSE),"-")</f>
        <v>Web Designer</v>
      </c>
      <c r="E55" s="92" t="str">
        <f>IFERROR(VLOOKUP($B55,RESOURCES!$C:$L,MATCH('PRODUCTIVITY RAW'!E$2,RESOURCES!$C$3:$L$3,0),FALSE),"-")</f>
        <v>LAPASTORA, Mark Anthony</v>
      </c>
      <c r="F55" s="92" t="str">
        <f>IFERROR(VLOOKUP($B55,RESOURCES!$C:$L,MATCH('PRODUCTIVITY RAW'!F$2,RESOURCES!$C$3:$L$3,0),FALSE),"-")</f>
        <v>MENDOZA, Carlo</v>
      </c>
      <c r="G55" s="92" t="str">
        <f>IFERROR(VLOOKUP($B55,RESOURCES!$C:$L,MATCH('PRODUCTIVITY RAW'!G$2,RESOURCES!$C$3:$L$3,0),FALSE),"-")</f>
        <v>MENDOZA, Carlo</v>
      </c>
      <c r="H55" s="92" t="str">
        <f>IFERROR(VLOOKUP($B55,RESOURCES!$C:$L,MATCH('PRODUCTIVITY RAW'!H$2,RESOURCES!$C$3:$L$3,0),FALSE),"-")</f>
        <v>Ventanilla, Mike</v>
      </c>
      <c r="I55" s="8"/>
      <c r="J55" s="8"/>
      <c r="K55" s="9" t="str">
        <f>IFERROR(VLOOKUP($B55,RESOURCES!$C:$L,MATCH('PRODUCTIVITY RAW'!K$2,RESOURCES!$C$3:$L$3,0),FALSE),"-")</f>
        <v>Expert</v>
      </c>
      <c r="L55" s="21">
        <f t="shared" si="0"/>
        <v>159.45000000000002</v>
      </c>
      <c r="M55" s="21">
        <f t="shared" si="1"/>
        <v>142.5</v>
      </c>
      <c r="N55" s="21">
        <f t="shared" si="3"/>
        <v>19</v>
      </c>
      <c r="O55" s="86">
        <f t="shared" si="4"/>
        <v>8.3921052631578963</v>
      </c>
      <c r="P55" s="86">
        <f>IFERROR(VLOOKUP($D55,KPI!$V:$AN,2,FALSE),"-")</f>
        <v>8</v>
      </c>
      <c r="Q55" s="32">
        <f t="shared" si="5"/>
        <v>1</v>
      </c>
      <c r="R55" s="185">
        <f t="shared" si="6"/>
        <v>151</v>
      </c>
      <c r="S55" s="89" t="str">
        <f t="shared" si="7"/>
        <v>Web Designer</v>
      </c>
      <c r="AG55" s="664">
        <v>53</v>
      </c>
      <c r="AH55" s="664">
        <v>10072026</v>
      </c>
      <c r="AI55" s="664" t="s">
        <v>148</v>
      </c>
      <c r="AJ55" s="92" t="s">
        <v>83</v>
      </c>
      <c r="AK55" s="92" t="s">
        <v>137</v>
      </c>
      <c r="AL55" s="92" t="s">
        <v>85</v>
      </c>
      <c r="AM55" s="92" t="s">
        <v>85</v>
      </c>
      <c r="AN55" s="92" t="s">
        <v>86</v>
      </c>
      <c r="AO55" s="157">
        <v>159.45000000000002</v>
      </c>
      <c r="AP55" s="157">
        <v>142.5</v>
      </c>
      <c r="AQ55" s="571">
        <v>1</v>
      </c>
      <c r="AS55" s="664">
        <f t="shared" si="9"/>
        <v>53</v>
      </c>
      <c r="AT55" s="664"/>
      <c r="AU55" s="664"/>
      <c r="AV55" s="92" t="str">
        <f>IFERROR(VLOOKUP($AT55,RESOURCES!$C:$L,MATCH('PRODUCTIVITY RAW'!AV$2,RESOURCES!$C$3:$L$3,0),FALSE),"-")</f>
        <v>-</v>
      </c>
      <c r="AW55" s="92" t="str">
        <f>IFERROR(VLOOKUP($AT55,RESOURCES!$C:$L,MATCH('PRODUCTIVITY RAW'!AW$2,RESOURCES!$C$3:$L$3,0),FALSE),"-")</f>
        <v>-</v>
      </c>
      <c r="AX55" s="92" t="str">
        <f>IFERROR(VLOOKUP($AT55,RESOURCES!$C:$L,MATCH('PRODUCTIVITY RAW'!AX$2,RESOURCES!$C$3:$L$3,0),FALSE),"-")</f>
        <v>-</v>
      </c>
      <c r="AY55" s="92" t="str">
        <f>IFERROR(VLOOKUP($AT55,RESOURCES!$C:$L,MATCH('PRODUCTIVITY RAW'!AY$2,RESOURCES!$C$3:$L$3,0),FALSE),"-")</f>
        <v>-</v>
      </c>
      <c r="AZ55" s="92" t="str">
        <f>IFERROR(VLOOKUP($AT55,RESOURCES!$C:$L,MATCH('PRODUCTIVITY RAW'!AZ$2,RESOURCES!$C$3:$L$3,0),FALSE),"-")</f>
        <v>-</v>
      </c>
      <c r="BA55" s="20"/>
    </row>
    <row r="56" spans="1:53">
      <c r="A56" s="664">
        <f t="shared" si="8"/>
        <v>54</v>
      </c>
      <c r="B56" s="466">
        <f t="shared" si="2"/>
        <v>10072179</v>
      </c>
      <c r="C56" s="92" t="str">
        <f>IFERROR(VLOOKUP($B56,RESOURCES!$C:$L,MATCH('PRODUCTIVITY RAW'!C$2,RESOURCES!$C$3:$L$3,0),FALSE),"-")</f>
        <v>BELESINA, RIZZA MEI V.</v>
      </c>
      <c r="D56" s="92" t="str">
        <f>IFERROR(VLOOKUP($B56,RESOURCES!$C:$L,MATCH('PRODUCTIVITY RAW'!D$2,RESOURCES!$C$3:$L$3,0),FALSE),"-")</f>
        <v>Web Designer</v>
      </c>
      <c r="E56" s="92" t="str">
        <f>IFERROR(VLOOKUP($B56,RESOURCES!$C:$L,MATCH('PRODUCTIVITY RAW'!E$2,RESOURCES!$C$3:$L$3,0),FALSE),"-")</f>
        <v>LAPASTORA, Mark Anthony</v>
      </c>
      <c r="F56" s="92" t="str">
        <f>IFERROR(VLOOKUP($B56,RESOURCES!$C:$L,MATCH('PRODUCTIVITY RAW'!F$2,RESOURCES!$C$3:$L$3,0),FALSE),"-")</f>
        <v>MENDOZA, Carlo</v>
      </c>
      <c r="G56" s="92" t="str">
        <f>IFERROR(VLOOKUP($B56,RESOURCES!$C:$L,MATCH('PRODUCTIVITY RAW'!G$2,RESOURCES!$C$3:$L$3,0),FALSE),"-")</f>
        <v>MENDOZA, Carlo</v>
      </c>
      <c r="H56" s="92" t="str">
        <f>IFERROR(VLOOKUP($B56,RESOURCES!$C:$L,MATCH('PRODUCTIVITY RAW'!H$2,RESOURCES!$C$3:$L$3,0),FALSE),"-")</f>
        <v>Ventanilla, Mike</v>
      </c>
      <c r="I56" s="8"/>
      <c r="J56" s="8"/>
      <c r="K56" s="9" t="str">
        <f>IFERROR(VLOOKUP($B56,RESOURCES!$C:$L,MATCH('PRODUCTIVITY RAW'!K$2,RESOURCES!$C$3:$L$3,0),FALSE),"-")</f>
        <v>Expert</v>
      </c>
      <c r="L56" s="21">
        <f t="shared" si="0"/>
        <v>147.89000000000004</v>
      </c>
      <c r="M56" s="21">
        <f t="shared" si="1"/>
        <v>135</v>
      </c>
      <c r="N56" s="21">
        <f t="shared" si="3"/>
        <v>18</v>
      </c>
      <c r="O56" s="86">
        <f t="shared" si="4"/>
        <v>8.2161111111111129</v>
      </c>
      <c r="P56" s="86">
        <f>IFERROR(VLOOKUP($D56,KPI!$V:$AN,2,FALSE),"-")</f>
        <v>8</v>
      </c>
      <c r="Q56" s="32">
        <f t="shared" si="5"/>
        <v>1</v>
      </c>
      <c r="R56" s="185">
        <f t="shared" si="6"/>
        <v>143</v>
      </c>
      <c r="S56" s="89" t="str">
        <f t="shared" si="7"/>
        <v>Web Designer</v>
      </c>
      <c r="AG56" s="664">
        <v>54</v>
      </c>
      <c r="AH56" s="664">
        <v>10072179</v>
      </c>
      <c r="AI56" s="664" t="s">
        <v>149</v>
      </c>
      <c r="AJ56" s="92" t="s">
        <v>83</v>
      </c>
      <c r="AK56" s="92" t="s">
        <v>137</v>
      </c>
      <c r="AL56" s="92" t="s">
        <v>85</v>
      </c>
      <c r="AM56" s="92" t="s">
        <v>85</v>
      </c>
      <c r="AN56" s="92" t="s">
        <v>86</v>
      </c>
      <c r="AO56" s="157">
        <v>147.89000000000004</v>
      </c>
      <c r="AP56" s="157">
        <v>135</v>
      </c>
      <c r="AQ56" s="571">
        <v>1</v>
      </c>
      <c r="AS56" s="664">
        <f t="shared" si="9"/>
        <v>54</v>
      </c>
      <c r="AT56" s="664"/>
      <c r="AU56" s="664"/>
      <c r="AV56" s="92" t="str">
        <f>IFERROR(VLOOKUP($AT56,RESOURCES!$C:$L,MATCH('PRODUCTIVITY RAW'!AV$2,RESOURCES!$C$3:$L$3,0),FALSE),"-")</f>
        <v>-</v>
      </c>
      <c r="AW56" s="92" t="str">
        <f>IFERROR(VLOOKUP($AT56,RESOURCES!$C:$L,MATCH('PRODUCTIVITY RAW'!AW$2,RESOURCES!$C$3:$L$3,0),FALSE),"-")</f>
        <v>-</v>
      </c>
      <c r="AX56" s="92" t="str">
        <f>IFERROR(VLOOKUP($AT56,RESOURCES!$C:$L,MATCH('PRODUCTIVITY RAW'!AX$2,RESOURCES!$C$3:$L$3,0),FALSE),"-")</f>
        <v>-</v>
      </c>
      <c r="AY56" s="92" t="str">
        <f>IFERROR(VLOOKUP($AT56,RESOURCES!$C:$L,MATCH('PRODUCTIVITY RAW'!AY$2,RESOURCES!$C$3:$L$3,0),FALSE),"-")</f>
        <v>-</v>
      </c>
      <c r="AZ56" s="92" t="str">
        <f>IFERROR(VLOOKUP($AT56,RESOURCES!$C:$L,MATCH('PRODUCTIVITY RAW'!AZ$2,RESOURCES!$C$3:$L$3,0),FALSE),"-")</f>
        <v>-</v>
      </c>
      <c r="BA56" s="20"/>
    </row>
    <row r="57" spans="1:53">
      <c r="A57" s="664">
        <f t="shared" si="8"/>
        <v>55</v>
      </c>
      <c r="B57" s="466">
        <f t="shared" si="2"/>
        <v>10072159</v>
      </c>
      <c r="C57" s="92" t="str">
        <f>IFERROR(VLOOKUP($B57,RESOURCES!$C:$L,MATCH('PRODUCTIVITY RAW'!C$2,RESOURCES!$C$3:$L$3,0),FALSE),"-")</f>
        <v>SALAZAR, RENZ V.</v>
      </c>
      <c r="D57" s="92" t="str">
        <f>IFERROR(VLOOKUP($B57,RESOURCES!$C:$L,MATCH('PRODUCTIVITY RAW'!D$2,RESOURCES!$C$3:$L$3,0),FALSE),"-")</f>
        <v>Web Designer</v>
      </c>
      <c r="E57" s="92" t="str">
        <f>IFERROR(VLOOKUP($B57,RESOURCES!$C:$L,MATCH('PRODUCTIVITY RAW'!E$2,RESOURCES!$C$3:$L$3,0),FALSE),"-")</f>
        <v>LAPASTORA, Mark Anthony</v>
      </c>
      <c r="F57" s="92" t="str">
        <f>IFERROR(VLOOKUP($B57,RESOURCES!$C:$L,MATCH('PRODUCTIVITY RAW'!F$2,RESOURCES!$C$3:$L$3,0),FALSE),"-")</f>
        <v>MENDOZA, Carlo</v>
      </c>
      <c r="G57" s="92" t="str">
        <f>IFERROR(VLOOKUP($B57,RESOURCES!$C:$L,MATCH('PRODUCTIVITY RAW'!G$2,RESOURCES!$C$3:$L$3,0),FALSE),"-")</f>
        <v>MENDOZA, Carlo</v>
      </c>
      <c r="H57" s="92" t="str">
        <f>IFERROR(VLOOKUP($B57,RESOURCES!$C:$L,MATCH('PRODUCTIVITY RAW'!H$2,RESOURCES!$C$3:$L$3,0),FALSE),"-")</f>
        <v>Ventanilla, Mike</v>
      </c>
      <c r="I57" s="8"/>
      <c r="J57" s="8"/>
      <c r="K57" s="9" t="str">
        <f>IFERROR(VLOOKUP($B57,RESOURCES!$C:$L,MATCH('PRODUCTIVITY RAW'!K$2,RESOURCES!$C$3:$L$3,0),FALSE),"-")</f>
        <v>Expert</v>
      </c>
      <c r="L57" s="21">
        <f t="shared" si="0"/>
        <v>125.33000000000001</v>
      </c>
      <c r="M57" s="21">
        <f t="shared" si="1"/>
        <v>120</v>
      </c>
      <c r="N57" s="21">
        <f t="shared" si="3"/>
        <v>16</v>
      </c>
      <c r="O57" s="86">
        <f t="shared" si="4"/>
        <v>7.8331250000000008</v>
      </c>
      <c r="P57" s="86">
        <f>IFERROR(VLOOKUP($D57,KPI!$V:$AN,2,FALSE),"-")</f>
        <v>8</v>
      </c>
      <c r="Q57" s="32">
        <f t="shared" si="5"/>
        <v>0.99468253968253983</v>
      </c>
      <c r="R57" s="185">
        <f t="shared" si="6"/>
        <v>126</v>
      </c>
      <c r="S57" s="89" t="str">
        <f t="shared" si="7"/>
        <v>Web Designer</v>
      </c>
      <c r="AG57" s="664">
        <v>55</v>
      </c>
      <c r="AH57" s="664">
        <v>10072159</v>
      </c>
      <c r="AI57" s="664" t="s">
        <v>150</v>
      </c>
      <c r="AJ57" s="92" t="s">
        <v>83</v>
      </c>
      <c r="AK57" s="92" t="s">
        <v>137</v>
      </c>
      <c r="AL57" s="92" t="s">
        <v>85</v>
      </c>
      <c r="AM57" s="92" t="s">
        <v>85</v>
      </c>
      <c r="AN57" s="92" t="s">
        <v>86</v>
      </c>
      <c r="AO57" s="157">
        <v>125.33000000000001</v>
      </c>
      <c r="AP57" s="157">
        <v>120</v>
      </c>
      <c r="AQ57" s="571">
        <v>2</v>
      </c>
      <c r="AS57" s="664">
        <f t="shared" si="9"/>
        <v>55</v>
      </c>
      <c r="AT57" s="664"/>
      <c r="AU57" s="664"/>
      <c r="AV57" s="92" t="str">
        <f>IFERROR(VLOOKUP($AT57,RESOURCES!$C:$L,MATCH('PRODUCTIVITY RAW'!AV$2,RESOURCES!$C$3:$L$3,0),FALSE),"-")</f>
        <v>-</v>
      </c>
      <c r="AW57" s="92" t="str">
        <f>IFERROR(VLOOKUP($AT57,RESOURCES!$C:$L,MATCH('PRODUCTIVITY RAW'!AW$2,RESOURCES!$C$3:$L$3,0),FALSE),"-")</f>
        <v>-</v>
      </c>
      <c r="AX57" s="92" t="str">
        <f>IFERROR(VLOOKUP($AT57,RESOURCES!$C:$L,MATCH('PRODUCTIVITY RAW'!AX$2,RESOURCES!$C$3:$L$3,0),FALSE),"-")</f>
        <v>-</v>
      </c>
      <c r="AY57" s="92" t="str">
        <f>IFERROR(VLOOKUP($AT57,RESOURCES!$C:$L,MATCH('PRODUCTIVITY RAW'!AY$2,RESOURCES!$C$3:$L$3,0),FALSE),"-")</f>
        <v>-</v>
      </c>
      <c r="AZ57" s="92" t="str">
        <f>IFERROR(VLOOKUP($AT57,RESOURCES!$C:$L,MATCH('PRODUCTIVITY RAW'!AZ$2,RESOURCES!$C$3:$L$3,0),FALSE),"-")</f>
        <v>-</v>
      </c>
      <c r="BA57" s="20"/>
    </row>
    <row r="58" spans="1:53">
      <c r="A58" s="664">
        <f t="shared" si="8"/>
        <v>56</v>
      </c>
      <c r="B58" s="466">
        <f t="shared" si="2"/>
        <v>10072155</v>
      </c>
      <c r="C58" s="92" t="str">
        <f>IFERROR(VLOOKUP($B58,RESOURCES!$C:$L,MATCH('PRODUCTIVITY RAW'!C$2,RESOURCES!$C$3:$L$3,0),FALSE),"-")</f>
        <v>BALINTONG, MARK CHRISTIAN D.</v>
      </c>
      <c r="D58" s="92" t="str">
        <f>IFERROR(VLOOKUP($B58,RESOURCES!$C:$L,MATCH('PRODUCTIVITY RAW'!D$2,RESOURCES!$C$3:$L$3,0),FALSE),"-")</f>
        <v>Web Designer</v>
      </c>
      <c r="E58" s="92" t="str">
        <f>IFERROR(VLOOKUP($B58,RESOURCES!$C:$L,MATCH('PRODUCTIVITY RAW'!E$2,RESOURCES!$C$3:$L$3,0),FALSE),"-")</f>
        <v>JAYAWON, Franklin</v>
      </c>
      <c r="F58" s="92" t="str">
        <f>IFERROR(VLOOKUP($B58,RESOURCES!$C:$L,MATCH('PRODUCTIVITY RAW'!F$2,RESOURCES!$C$3:$L$3,0),FALSE),"-")</f>
        <v>MENDOZA, Carlo</v>
      </c>
      <c r="G58" s="92" t="str">
        <f>IFERROR(VLOOKUP($B58,RESOURCES!$C:$L,MATCH('PRODUCTIVITY RAW'!G$2,RESOURCES!$C$3:$L$3,0),FALSE),"-")</f>
        <v>MENDOZA, Carlo</v>
      </c>
      <c r="H58" s="92" t="str">
        <f>IFERROR(VLOOKUP($B58,RESOURCES!$C:$L,MATCH('PRODUCTIVITY RAW'!H$2,RESOURCES!$C$3:$L$3,0),FALSE),"-")</f>
        <v>Ventanilla, Mike</v>
      </c>
      <c r="I58" s="8"/>
      <c r="J58" s="8"/>
      <c r="K58" s="9" t="str">
        <f>IFERROR(VLOOKUP($B58,RESOURCES!$C:$L,MATCH('PRODUCTIVITY RAW'!K$2,RESOURCES!$C$3:$L$3,0),FALSE),"-")</f>
        <v>Expert</v>
      </c>
      <c r="L58" s="21">
        <f t="shared" si="0"/>
        <v>128.50000000000003</v>
      </c>
      <c r="M58" s="21">
        <f t="shared" si="1"/>
        <v>120</v>
      </c>
      <c r="N58" s="21">
        <f t="shared" si="3"/>
        <v>16</v>
      </c>
      <c r="O58" s="86">
        <f t="shared" si="4"/>
        <v>8.0312500000000018</v>
      </c>
      <c r="P58" s="86">
        <f>IFERROR(VLOOKUP($D58,KPI!$V:$AN,2,FALSE),"-")</f>
        <v>8</v>
      </c>
      <c r="Q58" s="32">
        <f t="shared" si="5"/>
        <v>1</v>
      </c>
      <c r="R58" s="185">
        <f t="shared" si="6"/>
        <v>128</v>
      </c>
      <c r="S58" s="89" t="str">
        <f t="shared" si="7"/>
        <v>Web Designer</v>
      </c>
      <c r="AG58" s="664">
        <v>56</v>
      </c>
      <c r="AH58" s="664">
        <v>10072155</v>
      </c>
      <c r="AI58" s="664" t="s">
        <v>151</v>
      </c>
      <c r="AJ58" s="92" t="s">
        <v>83</v>
      </c>
      <c r="AK58" s="92" t="s">
        <v>152</v>
      </c>
      <c r="AL58" s="92" t="s">
        <v>85</v>
      </c>
      <c r="AM58" s="92" t="s">
        <v>85</v>
      </c>
      <c r="AN58" s="92" t="s">
        <v>86</v>
      </c>
      <c r="AO58" s="157">
        <v>128.50000000000003</v>
      </c>
      <c r="AP58" s="157">
        <v>120</v>
      </c>
      <c r="AQ58" s="571">
        <v>0</v>
      </c>
      <c r="AS58" s="664">
        <f t="shared" si="9"/>
        <v>56</v>
      </c>
      <c r="AT58" s="664"/>
      <c r="AU58" s="664"/>
      <c r="AV58" s="92" t="str">
        <f>IFERROR(VLOOKUP($AT58,RESOURCES!$C:$L,MATCH('PRODUCTIVITY RAW'!AV$2,RESOURCES!$C$3:$L$3,0),FALSE),"-")</f>
        <v>-</v>
      </c>
      <c r="AW58" s="92" t="str">
        <f>IFERROR(VLOOKUP($AT58,RESOURCES!$C:$L,MATCH('PRODUCTIVITY RAW'!AW$2,RESOURCES!$C$3:$L$3,0),FALSE),"-")</f>
        <v>-</v>
      </c>
      <c r="AX58" s="92" t="str">
        <f>IFERROR(VLOOKUP($AT58,RESOURCES!$C:$L,MATCH('PRODUCTIVITY RAW'!AX$2,RESOURCES!$C$3:$L$3,0),FALSE),"-")</f>
        <v>-</v>
      </c>
      <c r="AY58" s="92" t="str">
        <f>IFERROR(VLOOKUP($AT58,RESOURCES!$C:$L,MATCH('PRODUCTIVITY RAW'!AY$2,RESOURCES!$C$3:$L$3,0),FALSE),"-")</f>
        <v>-</v>
      </c>
      <c r="AZ58" s="92" t="str">
        <f>IFERROR(VLOOKUP($AT58,RESOURCES!$C:$L,MATCH('PRODUCTIVITY RAW'!AZ$2,RESOURCES!$C$3:$L$3,0),FALSE),"-")</f>
        <v>-</v>
      </c>
      <c r="BA58" s="20"/>
    </row>
    <row r="59" spans="1:53">
      <c r="A59" s="664">
        <f t="shared" si="8"/>
        <v>57</v>
      </c>
      <c r="B59" s="466">
        <f t="shared" si="2"/>
        <v>10072451</v>
      </c>
      <c r="C59" s="92" t="str">
        <f>IFERROR(VLOOKUP($B59,RESOURCES!$C:$L,MATCH('PRODUCTIVITY RAW'!C$2,RESOURCES!$C$3:$L$3,0),FALSE),"-")</f>
        <v>DIAZ, SHARMAINE P.</v>
      </c>
      <c r="D59" s="92" t="str">
        <f>IFERROR(VLOOKUP($B59,RESOURCES!$C:$L,MATCH('PRODUCTIVITY RAW'!D$2,RESOURCES!$C$3:$L$3,0),FALSE),"-")</f>
        <v>Web Designer</v>
      </c>
      <c r="E59" s="92" t="str">
        <f>IFERROR(VLOOKUP($B59,RESOURCES!$C:$L,MATCH('PRODUCTIVITY RAW'!E$2,RESOURCES!$C$3:$L$3,0),FALSE),"-")</f>
        <v>JAYAWON, Franklin</v>
      </c>
      <c r="F59" s="92" t="str">
        <f>IFERROR(VLOOKUP($B59,RESOURCES!$C:$L,MATCH('PRODUCTIVITY RAW'!F$2,RESOURCES!$C$3:$L$3,0),FALSE),"-")</f>
        <v>MENDOZA, Carlo</v>
      </c>
      <c r="G59" s="92" t="str">
        <f>IFERROR(VLOOKUP($B59,RESOURCES!$C:$L,MATCH('PRODUCTIVITY RAW'!G$2,RESOURCES!$C$3:$L$3,0),FALSE),"-")</f>
        <v>MENDOZA, Carlo</v>
      </c>
      <c r="H59" s="92" t="str">
        <f>IFERROR(VLOOKUP($B59,RESOURCES!$C:$L,MATCH('PRODUCTIVITY RAW'!H$2,RESOURCES!$C$3:$L$3,0),FALSE),"-")</f>
        <v>Ventanilla, Mike</v>
      </c>
      <c r="I59" s="8"/>
      <c r="J59" s="8"/>
      <c r="K59" s="9" t="str">
        <f>IFERROR(VLOOKUP($B59,RESOURCES!$C:$L,MATCH('PRODUCTIVITY RAW'!K$2,RESOURCES!$C$3:$L$3,0),FALSE),"-")</f>
        <v>Expert</v>
      </c>
      <c r="L59" s="21">
        <f t="shared" si="0"/>
        <v>198.38</v>
      </c>
      <c r="M59" s="21">
        <f t="shared" si="1"/>
        <v>120</v>
      </c>
      <c r="N59" s="21">
        <f t="shared" si="3"/>
        <v>16</v>
      </c>
      <c r="O59" s="86">
        <f t="shared" si="4"/>
        <v>12.39875</v>
      </c>
      <c r="P59" s="86">
        <f>IFERROR(VLOOKUP($D59,KPI!$V:$AN,2,FALSE),"-")</f>
        <v>8</v>
      </c>
      <c r="Q59" s="32">
        <f t="shared" si="5"/>
        <v>1</v>
      </c>
      <c r="R59" s="185">
        <f t="shared" si="6"/>
        <v>128</v>
      </c>
      <c r="S59" s="89" t="str">
        <f t="shared" si="7"/>
        <v>Web Designer</v>
      </c>
      <c r="AG59" s="664">
        <v>57</v>
      </c>
      <c r="AH59" s="664">
        <v>10072451</v>
      </c>
      <c r="AI59" s="664" t="s">
        <v>153</v>
      </c>
      <c r="AJ59" s="92" t="s">
        <v>83</v>
      </c>
      <c r="AK59" s="92" t="s">
        <v>152</v>
      </c>
      <c r="AL59" s="92" t="s">
        <v>85</v>
      </c>
      <c r="AM59" s="92" t="s">
        <v>85</v>
      </c>
      <c r="AN59" s="92" t="s">
        <v>86</v>
      </c>
      <c r="AO59" s="157">
        <v>198.38</v>
      </c>
      <c r="AP59" s="157">
        <v>120</v>
      </c>
      <c r="AQ59" s="571">
        <v>0</v>
      </c>
      <c r="AS59" s="664">
        <f t="shared" si="9"/>
        <v>57</v>
      </c>
      <c r="AT59" s="664"/>
      <c r="AU59" s="664"/>
      <c r="AV59" s="92" t="str">
        <f>IFERROR(VLOOKUP($AT59,RESOURCES!$C:$L,MATCH('PRODUCTIVITY RAW'!AV$2,RESOURCES!$C$3:$L$3,0),FALSE),"-")</f>
        <v>-</v>
      </c>
      <c r="AW59" s="92" t="str">
        <f>IFERROR(VLOOKUP($AT59,RESOURCES!$C:$L,MATCH('PRODUCTIVITY RAW'!AW$2,RESOURCES!$C$3:$L$3,0),FALSE),"-")</f>
        <v>-</v>
      </c>
      <c r="AX59" s="92" t="str">
        <f>IFERROR(VLOOKUP($AT59,RESOURCES!$C:$L,MATCH('PRODUCTIVITY RAW'!AX$2,RESOURCES!$C$3:$L$3,0),FALSE),"-")</f>
        <v>-</v>
      </c>
      <c r="AY59" s="92" t="str">
        <f>IFERROR(VLOOKUP($AT59,RESOURCES!$C:$L,MATCH('PRODUCTIVITY RAW'!AY$2,RESOURCES!$C$3:$L$3,0),FALSE),"-")</f>
        <v>-</v>
      </c>
      <c r="AZ59" s="92" t="str">
        <f>IFERROR(VLOOKUP($AT59,RESOURCES!$C:$L,MATCH('PRODUCTIVITY RAW'!AZ$2,RESOURCES!$C$3:$L$3,0),FALSE),"-")</f>
        <v>-</v>
      </c>
      <c r="BA59" s="20"/>
    </row>
    <row r="60" spans="1:53">
      <c r="A60" s="664">
        <f t="shared" si="8"/>
        <v>58</v>
      </c>
      <c r="B60" s="466">
        <f t="shared" si="2"/>
        <v>10071201</v>
      </c>
      <c r="C60" s="92" t="str">
        <f>IFERROR(VLOOKUP($B60,RESOURCES!$C:$L,MATCH('PRODUCTIVITY RAW'!C$2,RESOURCES!$C$3:$L$3,0),FALSE),"-")</f>
        <v>BALBALOSA, JOMARI C.</v>
      </c>
      <c r="D60" s="92" t="str">
        <f>IFERROR(VLOOKUP($B60,RESOURCES!$C:$L,MATCH('PRODUCTIVITY RAW'!D$2,RESOURCES!$C$3:$L$3,0),FALSE),"-")</f>
        <v>Web Designer</v>
      </c>
      <c r="E60" s="92" t="str">
        <f>IFERROR(VLOOKUP($B60,RESOURCES!$C:$L,MATCH('PRODUCTIVITY RAW'!E$2,RESOURCES!$C$3:$L$3,0),FALSE),"-")</f>
        <v>JAYAWON, Franklin</v>
      </c>
      <c r="F60" s="92" t="str">
        <f>IFERROR(VLOOKUP($B60,RESOURCES!$C:$L,MATCH('PRODUCTIVITY RAW'!F$2,RESOURCES!$C$3:$L$3,0),FALSE),"-")</f>
        <v>MENDOZA, Carlo</v>
      </c>
      <c r="G60" s="92" t="str">
        <f>IFERROR(VLOOKUP($B60,RESOURCES!$C:$L,MATCH('PRODUCTIVITY RAW'!G$2,RESOURCES!$C$3:$L$3,0),FALSE),"-")</f>
        <v>MENDOZA, Carlo</v>
      </c>
      <c r="H60" s="92" t="str">
        <f>IFERROR(VLOOKUP($B60,RESOURCES!$C:$L,MATCH('PRODUCTIVITY RAW'!H$2,RESOURCES!$C$3:$L$3,0),FALSE),"-")</f>
        <v>Ventanilla, Mike</v>
      </c>
      <c r="I60" s="8"/>
      <c r="J60" s="8"/>
      <c r="K60" s="9" t="str">
        <f>IFERROR(VLOOKUP($B60,RESOURCES!$C:$L,MATCH('PRODUCTIVITY RAW'!K$2,RESOURCES!$C$3:$L$3,0),FALSE),"-")</f>
        <v>Expert</v>
      </c>
      <c r="L60" s="21">
        <f t="shared" si="0"/>
        <v>169.80999999999997</v>
      </c>
      <c r="M60" s="21">
        <f t="shared" si="1"/>
        <v>135</v>
      </c>
      <c r="N60" s="21">
        <f t="shared" si="3"/>
        <v>18</v>
      </c>
      <c r="O60" s="86">
        <f t="shared" si="4"/>
        <v>9.4338888888888874</v>
      </c>
      <c r="P60" s="86">
        <f>IFERROR(VLOOKUP($D60,KPI!$V:$AN,2,FALSE),"-")</f>
        <v>8</v>
      </c>
      <c r="Q60" s="32">
        <f t="shared" si="5"/>
        <v>1</v>
      </c>
      <c r="R60" s="185">
        <f t="shared" si="6"/>
        <v>143</v>
      </c>
      <c r="S60" s="89" t="str">
        <f t="shared" si="7"/>
        <v>Web Designer</v>
      </c>
      <c r="AG60" s="664">
        <v>58</v>
      </c>
      <c r="AH60" s="664">
        <v>10071201</v>
      </c>
      <c r="AI60" s="664" t="s">
        <v>154</v>
      </c>
      <c r="AJ60" s="92" t="s">
        <v>83</v>
      </c>
      <c r="AK60" s="92" t="s">
        <v>152</v>
      </c>
      <c r="AL60" s="92" t="s">
        <v>85</v>
      </c>
      <c r="AM60" s="92" t="s">
        <v>85</v>
      </c>
      <c r="AN60" s="92" t="s">
        <v>86</v>
      </c>
      <c r="AO60" s="157">
        <v>169.80999999999997</v>
      </c>
      <c r="AP60" s="157">
        <v>135</v>
      </c>
      <c r="AQ60" s="571">
        <v>1</v>
      </c>
      <c r="AS60" s="664">
        <f t="shared" si="9"/>
        <v>58</v>
      </c>
      <c r="AT60" s="664"/>
      <c r="AU60" s="664"/>
      <c r="AV60" s="92" t="str">
        <f>IFERROR(VLOOKUP($AT60,RESOURCES!$C:$L,MATCH('PRODUCTIVITY RAW'!AV$2,RESOURCES!$C$3:$L$3,0),FALSE),"-")</f>
        <v>-</v>
      </c>
      <c r="AW60" s="92" t="str">
        <f>IFERROR(VLOOKUP($AT60,RESOURCES!$C:$L,MATCH('PRODUCTIVITY RAW'!AW$2,RESOURCES!$C$3:$L$3,0),FALSE),"-")</f>
        <v>-</v>
      </c>
      <c r="AX60" s="92" t="str">
        <f>IFERROR(VLOOKUP($AT60,RESOURCES!$C:$L,MATCH('PRODUCTIVITY RAW'!AX$2,RESOURCES!$C$3:$L$3,0),FALSE),"-")</f>
        <v>-</v>
      </c>
      <c r="AY60" s="92" t="str">
        <f>IFERROR(VLOOKUP($AT60,RESOURCES!$C:$L,MATCH('PRODUCTIVITY RAW'!AY$2,RESOURCES!$C$3:$L$3,0),FALSE),"-")</f>
        <v>-</v>
      </c>
      <c r="AZ60" s="92" t="str">
        <f>IFERROR(VLOOKUP($AT60,RESOURCES!$C:$L,MATCH('PRODUCTIVITY RAW'!AZ$2,RESOURCES!$C$3:$L$3,0),FALSE),"-")</f>
        <v>-</v>
      </c>
      <c r="BA60" s="20"/>
    </row>
    <row r="61" spans="1:53">
      <c r="A61" s="664">
        <f t="shared" si="8"/>
        <v>59</v>
      </c>
      <c r="B61" s="466">
        <f t="shared" si="2"/>
        <v>10072241</v>
      </c>
      <c r="C61" s="92" t="str">
        <f>IFERROR(VLOOKUP($B61,RESOURCES!$C:$L,MATCH('PRODUCTIVITY RAW'!C$2,RESOURCES!$C$3:$L$3,0),FALSE),"-")</f>
        <v>ENCINAS, AARON C.</v>
      </c>
      <c r="D61" s="92" t="str">
        <f>IFERROR(VLOOKUP($B61,RESOURCES!$C:$L,MATCH('PRODUCTIVITY RAW'!D$2,RESOURCES!$C$3:$L$3,0),FALSE),"-")</f>
        <v>Web Designer</v>
      </c>
      <c r="E61" s="92" t="str">
        <f>IFERROR(VLOOKUP($B61,RESOURCES!$C:$L,MATCH('PRODUCTIVITY RAW'!E$2,RESOURCES!$C$3:$L$3,0),FALSE),"-")</f>
        <v>JAYAWON, Franklin</v>
      </c>
      <c r="F61" s="92" t="str">
        <f>IFERROR(VLOOKUP($B61,RESOURCES!$C:$L,MATCH('PRODUCTIVITY RAW'!F$2,RESOURCES!$C$3:$L$3,0),FALSE),"-")</f>
        <v>MENDOZA, Carlo</v>
      </c>
      <c r="G61" s="92" t="str">
        <f>IFERROR(VLOOKUP($B61,RESOURCES!$C:$L,MATCH('PRODUCTIVITY RAW'!G$2,RESOURCES!$C$3:$L$3,0),FALSE),"-")</f>
        <v>MENDOZA, Carlo</v>
      </c>
      <c r="H61" s="92" t="str">
        <f>IFERROR(VLOOKUP($B61,RESOURCES!$C:$L,MATCH('PRODUCTIVITY RAW'!H$2,RESOURCES!$C$3:$L$3,0),FALSE),"-")</f>
        <v>Ventanilla, Mike</v>
      </c>
      <c r="I61" s="8"/>
      <c r="J61" s="8"/>
      <c r="K61" s="9" t="str">
        <f>IFERROR(VLOOKUP($B61,RESOURCES!$C:$L,MATCH('PRODUCTIVITY RAW'!K$2,RESOURCES!$C$3:$L$3,0),FALSE),"-")</f>
        <v>Expert</v>
      </c>
      <c r="L61" s="21">
        <f t="shared" si="0"/>
        <v>140.04</v>
      </c>
      <c r="M61" s="21">
        <f t="shared" si="1"/>
        <v>127.5</v>
      </c>
      <c r="N61" s="21">
        <f t="shared" si="3"/>
        <v>17</v>
      </c>
      <c r="O61" s="86">
        <f t="shared" si="4"/>
        <v>8.2376470588235282</v>
      </c>
      <c r="P61" s="86">
        <f>IFERROR(VLOOKUP($D61,KPI!$V:$AN,2,FALSE),"-")</f>
        <v>8</v>
      </c>
      <c r="Q61" s="32">
        <f t="shared" si="5"/>
        <v>1</v>
      </c>
      <c r="R61" s="185">
        <f t="shared" si="6"/>
        <v>135</v>
      </c>
      <c r="S61" s="89" t="str">
        <f t="shared" si="7"/>
        <v>Web Designer</v>
      </c>
      <c r="AG61" s="664">
        <v>59</v>
      </c>
      <c r="AH61" s="664">
        <v>10072241</v>
      </c>
      <c r="AI61" s="664" t="s">
        <v>155</v>
      </c>
      <c r="AJ61" s="92" t="s">
        <v>83</v>
      </c>
      <c r="AK61" s="92" t="s">
        <v>152</v>
      </c>
      <c r="AL61" s="92" t="s">
        <v>85</v>
      </c>
      <c r="AM61" s="92" t="s">
        <v>85</v>
      </c>
      <c r="AN61" s="92" t="s">
        <v>86</v>
      </c>
      <c r="AO61" s="157">
        <v>140.04</v>
      </c>
      <c r="AP61" s="157">
        <v>127.5</v>
      </c>
      <c r="AQ61" s="571">
        <v>1</v>
      </c>
      <c r="AS61" s="664">
        <f t="shared" si="9"/>
        <v>59</v>
      </c>
      <c r="AT61" s="664"/>
      <c r="AU61" s="664"/>
      <c r="AV61" s="92" t="str">
        <f>IFERROR(VLOOKUP($AT61,RESOURCES!$C:$L,MATCH('PRODUCTIVITY RAW'!AV$2,RESOURCES!$C$3:$L$3,0),FALSE),"-")</f>
        <v>-</v>
      </c>
      <c r="AW61" s="92" t="str">
        <f>IFERROR(VLOOKUP($AT61,RESOURCES!$C:$L,MATCH('PRODUCTIVITY RAW'!AW$2,RESOURCES!$C$3:$L$3,0),FALSE),"-")</f>
        <v>-</v>
      </c>
      <c r="AX61" s="92" t="str">
        <f>IFERROR(VLOOKUP($AT61,RESOURCES!$C:$L,MATCH('PRODUCTIVITY RAW'!AX$2,RESOURCES!$C$3:$L$3,0),FALSE),"-")</f>
        <v>-</v>
      </c>
      <c r="AY61" s="92" t="str">
        <f>IFERROR(VLOOKUP($AT61,RESOURCES!$C:$L,MATCH('PRODUCTIVITY RAW'!AY$2,RESOURCES!$C$3:$L$3,0),FALSE),"-")</f>
        <v>-</v>
      </c>
      <c r="AZ61" s="92" t="str">
        <f>IFERROR(VLOOKUP($AT61,RESOURCES!$C:$L,MATCH('PRODUCTIVITY RAW'!AZ$2,RESOURCES!$C$3:$L$3,0),FALSE),"-")</f>
        <v>-</v>
      </c>
      <c r="BA61" s="20"/>
    </row>
    <row r="62" spans="1:53">
      <c r="A62" s="664">
        <f t="shared" si="8"/>
        <v>60</v>
      </c>
      <c r="B62" s="466">
        <f t="shared" si="2"/>
        <v>10072237</v>
      </c>
      <c r="C62" s="92" t="str">
        <f>IFERROR(VLOOKUP($B62,RESOURCES!$C:$L,MATCH('PRODUCTIVITY RAW'!C$2,RESOURCES!$C$3:$L$3,0),FALSE),"-")</f>
        <v>LATAYAN, KIER M.</v>
      </c>
      <c r="D62" s="92" t="str">
        <f>IFERROR(VLOOKUP($B62,RESOURCES!$C:$L,MATCH('PRODUCTIVITY RAW'!D$2,RESOURCES!$C$3:$L$3,0),FALSE),"-")</f>
        <v>Web Designer</v>
      </c>
      <c r="E62" s="92" t="str">
        <f>IFERROR(VLOOKUP($B62,RESOURCES!$C:$L,MATCH('PRODUCTIVITY RAW'!E$2,RESOURCES!$C$3:$L$3,0),FALSE),"-")</f>
        <v>JAYAWON, Franklin</v>
      </c>
      <c r="F62" s="92" t="str">
        <f>IFERROR(VLOOKUP($B62,RESOURCES!$C:$L,MATCH('PRODUCTIVITY RAW'!F$2,RESOURCES!$C$3:$L$3,0),FALSE),"-")</f>
        <v>MENDOZA, Carlo</v>
      </c>
      <c r="G62" s="92" t="str">
        <f>IFERROR(VLOOKUP($B62,RESOURCES!$C:$L,MATCH('PRODUCTIVITY RAW'!G$2,RESOURCES!$C$3:$L$3,0),FALSE),"-")</f>
        <v>MENDOZA, Carlo</v>
      </c>
      <c r="H62" s="92" t="str">
        <f>IFERROR(VLOOKUP($B62,RESOURCES!$C:$L,MATCH('PRODUCTIVITY RAW'!H$2,RESOURCES!$C$3:$L$3,0),FALSE),"-")</f>
        <v>Ventanilla, Mike</v>
      </c>
      <c r="I62" s="8"/>
      <c r="J62" s="8"/>
      <c r="K62" s="9" t="str">
        <f>IFERROR(VLOOKUP($B62,RESOURCES!$C:$L,MATCH('PRODUCTIVITY RAW'!K$2,RESOURCES!$C$3:$L$3,0),FALSE),"-")</f>
        <v>Expert</v>
      </c>
      <c r="L62" s="21">
        <f t="shared" si="0"/>
        <v>122</v>
      </c>
      <c r="M62" s="21">
        <f t="shared" si="1"/>
        <v>127.5</v>
      </c>
      <c r="N62" s="21">
        <f t="shared" si="3"/>
        <v>17</v>
      </c>
      <c r="O62" s="86">
        <f t="shared" si="4"/>
        <v>7.1764705882352944</v>
      </c>
      <c r="P62" s="86">
        <f>IFERROR(VLOOKUP($D62,KPI!$V:$AN,2,FALSE),"-")</f>
        <v>8</v>
      </c>
      <c r="Q62" s="32">
        <f t="shared" si="5"/>
        <v>0.90370370370370368</v>
      </c>
      <c r="R62" s="185">
        <f t="shared" si="6"/>
        <v>135</v>
      </c>
      <c r="S62" s="89" t="str">
        <f t="shared" si="7"/>
        <v>Web Designer</v>
      </c>
      <c r="AG62" s="664">
        <v>60</v>
      </c>
      <c r="AH62" s="664">
        <v>10072237</v>
      </c>
      <c r="AI62" s="664" t="s">
        <v>156</v>
      </c>
      <c r="AJ62" s="92" t="s">
        <v>83</v>
      </c>
      <c r="AK62" s="92" t="s">
        <v>152</v>
      </c>
      <c r="AL62" s="92" t="s">
        <v>85</v>
      </c>
      <c r="AM62" s="92" t="s">
        <v>85</v>
      </c>
      <c r="AN62" s="92" t="s">
        <v>86</v>
      </c>
      <c r="AO62" s="157">
        <v>122</v>
      </c>
      <c r="AP62" s="157">
        <v>127.5</v>
      </c>
      <c r="AQ62" s="571">
        <v>1</v>
      </c>
      <c r="AS62" s="664">
        <f t="shared" si="9"/>
        <v>60</v>
      </c>
      <c r="AT62" s="664"/>
      <c r="AU62" s="664"/>
      <c r="AV62" s="92" t="str">
        <f>IFERROR(VLOOKUP($AT62,RESOURCES!$C:$L,MATCH('PRODUCTIVITY RAW'!AV$2,RESOURCES!$C$3:$L$3,0),FALSE),"-")</f>
        <v>-</v>
      </c>
      <c r="AW62" s="92" t="str">
        <f>IFERROR(VLOOKUP($AT62,RESOURCES!$C:$L,MATCH('PRODUCTIVITY RAW'!AW$2,RESOURCES!$C$3:$L$3,0),FALSE),"-")</f>
        <v>-</v>
      </c>
      <c r="AX62" s="92" t="str">
        <f>IFERROR(VLOOKUP($AT62,RESOURCES!$C:$L,MATCH('PRODUCTIVITY RAW'!AX$2,RESOURCES!$C$3:$L$3,0),FALSE),"-")</f>
        <v>-</v>
      </c>
      <c r="AY62" s="92" t="str">
        <f>IFERROR(VLOOKUP($AT62,RESOURCES!$C:$L,MATCH('PRODUCTIVITY RAW'!AY$2,RESOURCES!$C$3:$L$3,0),FALSE),"-")</f>
        <v>-</v>
      </c>
      <c r="AZ62" s="92" t="str">
        <f>IFERROR(VLOOKUP($AT62,RESOURCES!$C:$L,MATCH('PRODUCTIVITY RAW'!AZ$2,RESOURCES!$C$3:$L$3,0),FALSE),"-")</f>
        <v>-</v>
      </c>
      <c r="BA62" s="20"/>
    </row>
    <row r="63" spans="1:53">
      <c r="A63" s="664">
        <f t="shared" si="8"/>
        <v>61</v>
      </c>
      <c r="B63" s="466">
        <f t="shared" si="2"/>
        <v>10072249</v>
      </c>
      <c r="C63" s="92" t="str">
        <f>IFERROR(VLOOKUP($B63,RESOURCES!$C:$L,MATCH('PRODUCTIVITY RAW'!C$2,RESOURCES!$C$3:$L$3,0),FALSE),"-")</f>
        <v>MAMOLO, SHERMIN JOY C.</v>
      </c>
      <c r="D63" s="92" t="str">
        <f>IFERROR(VLOOKUP($B63,RESOURCES!$C:$L,MATCH('PRODUCTIVITY RAW'!D$2,RESOURCES!$C$3:$L$3,0),FALSE),"-")</f>
        <v>Legacy Product Maintenance</v>
      </c>
      <c r="E63" s="92" t="str">
        <f>IFERROR(VLOOKUP($B63,RESOURCES!$C:$L,MATCH('PRODUCTIVITY RAW'!E$2,RESOURCES!$C$3:$L$3,0),FALSE),"-")</f>
        <v>JAYAWON, Franklin</v>
      </c>
      <c r="F63" s="92" t="str">
        <f>IFERROR(VLOOKUP($B63,RESOURCES!$C:$L,MATCH('PRODUCTIVITY RAW'!F$2,RESOURCES!$C$3:$L$3,0),FALSE),"-")</f>
        <v>MENDOZA, Carlo</v>
      </c>
      <c r="G63" s="92" t="str">
        <f>IFERROR(VLOOKUP($B63,RESOURCES!$C:$L,MATCH('PRODUCTIVITY RAW'!G$2,RESOURCES!$C$3:$L$3,0),FALSE),"-")</f>
        <v>MENDOZA, Carlo</v>
      </c>
      <c r="H63" s="92" t="str">
        <f>IFERROR(VLOOKUP($B63,RESOURCES!$C:$L,MATCH('PRODUCTIVITY RAW'!H$2,RESOURCES!$C$3:$L$3,0),FALSE),"-")</f>
        <v>Ventanilla, Mike</v>
      </c>
      <c r="I63" s="8"/>
      <c r="J63" s="8"/>
      <c r="K63" s="9" t="str">
        <f>IFERROR(VLOOKUP($B63,RESOURCES!$C:$L,MATCH('PRODUCTIVITY RAW'!K$2,RESOURCES!$C$3:$L$3,0),FALSE),"-")</f>
        <v>Expert</v>
      </c>
      <c r="L63" s="21">
        <f t="shared" si="0"/>
        <v>130.99999999999997</v>
      </c>
      <c r="M63" s="21">
        <f t="shared" si="1"/>
        <v>120</v>
      </c>
      <c r="N63" s="21">
        <f t="shared" si="3"/>
        <v>16</v>
      </c>
      <c r="O63" s="86">
        <f t="shared" si="4"/>
        <v>8.1874999999999982</v>
      </c>
      <c r="P63" s="86">
        <f>IFERROR(VLOOKUP($D63,KPI!$V:$AN,2,FALSE),"-")</f>
        <v>8</v>
      </c>
      <c r="Q63" s="32">
        <f t="shared" si="5"/>
        <v>1</v>
      </c>
      <c r="R63" s="185">
        <f t="shared" si="6"/>
        <v>127</v>
      </c>
      <c r="S63" s="89" t="str">
        <f t="shared" si="7"/>
        <v>Legacy Product Maintenance</v>
      </c>
      <c r="AG63" s="664">
        <v>61</v>
      </c>
      <c r="AH63" s="664">
        <v>10072249</v>
      </c>
      <c r="AI63" s="664" t="s">
        <v>157</v>
      </c>
      <c r="AJ63" s="92" t="s">
        <v>158</v>
      </c>
      <c r="AK63" s="92" t="s">
        <v>152</v>
      </c>
      <c r="AL63" s="92" t="s">
        <v>85</v>
      </c>
      <c r="AM63" s="92" t="s">
        <v>85</v>
      </c>
      <c r="AN63" s="92" t="s">
        <v>86</v>
      </c>
      <c r="AO63" s="157">
        <v>130.99999999999997</v>
      </c>
      <c r="AP63" s="157">
        <v>120</v>
      </c>
      <c r="AQ63" s="571">
        <v>1</v>
      </c>
      <c r="AS63" s="664">
        <f t="shared" si="9"/>
        <v>61</v>
      </c>
      <c r="AT63" s="664"/>
      <c r="AU63" s="664"/>
      <c r="AV63" s="92" t="str">
        <f>IFERROR(VLOOKUP($AT63,RESOURCES!$C:$L,MATCH('PRODUCTIVITY RAW'!AV$2,RESOURCES!$C$3:$L$3,0),FALSE),"-")</f>
        <v>-</v>
      </c>
      <c r="AW63" s="92" t="str">
        <f>IFERROR(VLOOKUP($AT63,RESOURCES!$C:$L,MATCH('PRODUCTIVITY RAW'!AW$2,RESOURCES!$C$3:$L$3,0),FALSE),"-")</f>
        <v>-</v>
      </c>
      <c r="AX63" s="92" t="str">
        <f>IFERROR(VLOOKUP($AT63,RESOURCES!$C:$L,MATCH('PRODUCTIVITY RAW'!AX$2,RESOURCES!$C$3:$L$3,0),FALSE),"-")</f>
        <v>-</v>
      </c>
      <c r="AY63" s="92" t="str">
        <f>IFERROR(VLOOKUP($AT63,RESOURCES!$C:$L,MATCH('PRODUCTIVITY RAW'!AY$2,RESOURCES!$C$3:$L$3,0),FALSE),"-")</f>
        <v>-</v>
      </c>
      <c r="AZ63" s="92" t="str">
        <f>IFERROR(VLOOKUP($AT63,RESOURCES!$C:$L,MATCH('PRODUCTIVITY RAW'!AZ$2,RESOURCES!$C$3:$L$3,0),FALSE),"-")</f>
        <v>-</v>
      </c>
      <c r="BA63" s="20"/>
    </row>
    <row r="64" spans="1:53">
      <c r="A64" s="664">
        <f t="shared" si="8"/>
        <v>62</v>
      </c>
      <c r="B64" s="466">
        <f t="shared" si="2"/>
        <v>10071067</v>
      </c>
      <c r="C64" s="92" t="str">
        <f>IFERROR(VLOOKUP($B64,RESOURCES!$C:$L,MATCH('PRODUCTIVITY RAW'!C$2,RESOURCES!$C$3:$L$3,0),FALSE),"-")</f>
        <v>MUNOZ, JERWIN C.</v>
      </c>
      <c r="D64" s="92" t="str">
        <f>IFERROR(VLOOKUP($B64,RESOURCES!$C:$L,MATCH('PRODUCTIVITY RAW'!D$2,RESOURCES!$C$3:$L$3,0),FALSE),"-")</f>
        <v>Web Designer</v>
      </c>
      <c r="E64" s="92" t="str">
        <f>IFERROR(VLOOKUP($B64,RESOURCES!$C:$L,MATCH('PRODUCTIVITY RAW'!E$2,RESOURCES!$C$3:$L$3,0),FALSE),"-")</f>
        <v>JAYAWON, Franklin</v>
      </c>
      <c r="F64" s="92" t="str">
        <f>IFERROR(VLOOKUP($B64,RESOURCES!$C:$L,MATCH('PRODUCTIVITY RAW'!F$2,RESOURCES!$C$3:$L$3,0),FALSE),"-")</f>
        <v>MENDOZA, Carlo</v>
      </c>
      <c r="G64" s="92" t="str">
        <f>IFERROR(VLOOKUP($B64,RESOURCES!$C:$L,MATCH('PRODUCTIVITY RAW'!G$2,RESOURCES!$C$3:$L$3,0),FALSE),"-")</f>
        <v>MENDOZA, Carlo</v>
      </c>
      <c r="H64" s="92" t="str">
        <f>IFERROR(VLOOKUP($B64,RESOURCES!$C:$L,MATCH('PRODUCTIVITY RAW'!H$2,RESOURCES!$C$3:$L$3,0),FALSE),"-")</f>
        <v>Ventanilla, Mike</v>
      </c>
      <c r="I64" s="8"/>
      <c r="J64" s="8"/>
      <c r="K64" s="9" t="str">
        <f>IFERROR(VLOOKUP($B64,RESOURCES!$C:$L,MATCH('PRODUCTIVITY RAW'!K$2,RESOURCES!$C$3:$L$3,0),FALSE),"-")</f>
        <v>Expert</v>
      </c>
      <c r="L64" s="21">
        <f t="shared" si="0"/>
        <v>185.31000000000003</v>
      </c>
      <c r="M64" s="21">
        <f t="shared" si="1"/>
        <v>120</v>
      </c>
      <c r="N64" s="21">
        <f t="shared" si="3"/>
        <v>16</v>
      </c>
      <c r="O64" s="86">
        <f t="shared" si="4"/>
        <v>11.581875000000002</v>
      </c>
      <c r="P64" s="86">
        <f>IFERROR(VLOOKUP($D64,KPI!$V:$AN,2,FALSE),"-")</f>
        <v>8</v>
      </c>
      <c r="Q64" s="32">
        <f t="shared" si="5"/>
        <v>1</v>
      </c>
      <c r="R64" s="185">
        <f t="shared" si="6"/>
        <v>128</v>
      </c>
      <c r="S64" s="89" t="str">
        <f t="shared" si="7"/>
        <v>Web Designer</v>
      </c>
      <c r="AG64" s="664">
        <v>62</v>
      </c>
      <c r="AH64" s="664">
        <v>10071067</v>
      </c>
      <c r="AI64" s="664" t="s">
        <v>159</v>
      </c>
      <c r="AJ64" s="92" t="s">
        <v>83</v>
      </c>
      <c r="AK64" s="92" t="s">
        <v>152</v>
      </c>
      <c r="AL64" s="92" t="s">
        <v>85</v>
      </c>
      <c r="AM64" s="92" t="s">
        <v>85</v>
      </c>
      <c r="AN64" s="92" t="s">
        <v>86</v>
      </c>
      <c r="AO64" s="157">
        <v>185.31000000000003</v>
      </c>
      <c r="AP64" s="157">
        <v>120</v>
      </c>
      <c r="AQ64" s="571">
        <v>0</v>
      </c>
      <c r="AS64" s="664">
        <f t="shared" si="9"/>
        <v>62</v>
      </c>
      <c r="AT64" s="664"/>
      <c r="AU64" s="664"/>
      <c r="AV64" s="92" t="str">
        <f>IFERROR(VLOOKUP($AT64,RESOURCES!$C:$L,MATCH('PRODUCTIVITY RAW'!AV$2,RESOURCES!$C$3:$L$3,0),FALSE),"-")</f>
        <v>-</v>
      </c>
      <c r="AW64" s="92" t="str">
        <f>IFERROR(VLOOKUP($AT64,RESOURCES!$C:$L,MATCH('PRODUCTIVITY RAW'!AW$2,RESOURCES!$C$3:$L$3,0),FALSE),"-")</f>
        <v>-</v>
      </c>
      <c r="AX64" s="92" t="str">
        <f>IFERROR(VLOOKUP($AT64,RESOURCES!$C:$L,MATCH('PRODUCTIVITY RAW'!AX$2,RESOURCES!$C$3:$L$3,0),FALSE),"-")</f>
        <v>-</v>
      </c>
      <c r="AY64" s="92" t="str">
        <f>IFERROR(VLOOKUP($AT64,RESOURCES!$C:$L,MATCH('PRODUCTIVITY RAW'!AY$2,RESOURCES!$C$3:$L$3,0),FALSE),"-")</f>
        <v>-</v>
      </c>
      <c r="AZ64" s="92" t="str">
        <f>IFERROR(VLOOKUP($AT64,RESOURCES!$C:$L,MATCH('PRODUCTIVITY RAW'!AZ$2,RESOURCES!$C$3:$L$3,0),FALSE),"-")</f>
        <v>-</v>
      </c>
      <c r="BA64" s="20"/>
    </row>
    <row r="65" spans="1:53">
      <c r="A65" s="664">
        <f t="shared" si="8"/>
        <v>63</v>
      </c>
      <c r="B65" s="466">
        <f t="shared" si="2"/>
        <v>10071420</v>
      </c>
      <c r="C65" s="92" t="str">
        <f>IFERROR(VLOOKUP($B65,RESOURCES!$C:$L,MATCH('PRODUCTIVITY RAW'!C$2,RESOURCES!$C$3:$L$3,0),FALSE),"-")</f>
        <v>NIELO, ANGELICA J.</v>
      </c>
      <c r="D65" s="92" t="str">
        <f>IFERROR(VLOOKUP($B65,RESOURCES!$C:$L,MATCH('PRODUCTIVITY RAW'!D$2,RESOURCES!$C$3:$L$3,0),FALSE),"-")</f>
        <v>Web Designer</v>
      </c>
      <c r="E65" s="92" t="str">
        <f>IFERROR(VLOOKUP($B65,RESOURCES!$C:$L,MATCH('PRODUCTIVITY RAW'!E$2,RESOURCES!$C$3:$L$3,0),FALSE),"-")</f>
        <v>JAYAWON, Franklin</v>
      </c>
      <c r="F65" s="92" t="str">
        <f>IFERROR(VLOOKUP($B65,RESOURCES!$C:$L,MATCH('PRODUCTIVITY RAW'!F$2,RESOURCES!$C$3:$L$3,0),FALSE),"-")</f>
        <v>MENDOZA, Carlo</v>
      </c>
      <c r="G65" s="92" t="str">
        <f>IFERROR(VLOOKUP($B65,RESOURCES!$C:$L,MATCH('PRODUCTIVITY RAW'!G$2,RESOURCES!$C$3:$L$3,0),FALSE),"-")</f>
        <v>MENDOZA, Carlo</v>
      </c>
      <c r="H65" s="92" t="str">
        <f>IFERROR(VLOOKUP($B65,RESOURCES!$C:$L,MATCH('PRODUCTIVITY RAW'!H$2,RESOURCES!$C$3:$L$3,0),FALSE),"-")</f>
        <v>Ventanilla, Mike</v>
      </c>
      <c r="I65" s="8"/>
      <c r="J65" s="8"/>
      <c r="K65" s="9" t="str">
        <f>IFERROR(VLOOKUP($B65,RESOURCES!$C:$L,MATCH('PRODUCTIVITY RAW'!K$2,RESOURCES!$C$3:$L$3,0),FALSE),"-")</f>
        <v>Expert</v>
      </c>
      <c r="L65" s="21">
        <f t="shared" si="0"/>
        <v>94.560000000000016</v>
      </c>
      <c r="M65" s="21">
        <f t="shared" si="1"/>
        <v>112.5</v>
      </c>
      <c r="N65" s="21">
        <f t="shared" si="3"/>
        <v>15</v>
      </c>
      <c r="O65" s="86">
        <f t="shared" si="4"/>
        <v>6.3040000000000012</v>
      </c>
      <c r="P65" s="86">
        <f>IFERROR(VLOOKUP($D65,KPI!$V:$AN,2,FALSE),"-")</f>
        <v>8</v>
      </c>
      <c r="Q65" s="32">
        <f t="shared" si="5"/>
        <v>0.79462184873949593</v>
      </c>
      <c r="R65" s="185">
        <f t="shared" si="6"/>
        <v>119</v>
      </c>
      <c r="S65" s="89" t="str">
        <f t="shared" si="7"/>
        <v>Web Designer</v>
      </c>
      <c r="AG65" s="664">
        <v>63</v>
      </c>
      <c r="AH65" s="664">
        <v>10071420</v>
      </c>
      <c r="AI65" s="664" t="s">
        <v>160</v>
      </c>
      <c r="AJ65" s="92" t="s">
        <v>83</v>
      </c>
      <c r="AK65" s="92" t="s">
        <v>152</v>
      </c>
      <c r="AL65" s="92" t="s">
        <v>85</v>
      </c>
      <c r="AM65" s="92" t="s">
        <v>85</v>
      </c>
      <c r="AN65" s="92" t="s">
        <v>86</v>
      </c>
      <c r="AO65" s="157">
        <v>94.560000000000016</v>
      </c>
      <c r="AP65" s="157">
        <v>112.5</v>
      </c>
      <c r="AQ65" s="571">
        <v>1</v>
      </c>
      <c r="AS65" s="664">
        <f t="shared" si="9"/>
        <v>63</v>
      </c>
      <c r="AT65" s="664"/>
      <c r="AU65" s="664"/>
      <c r="AV65" s="92" t="str">
        <f>IFERROR(VLOOKUP($AT65,RESOURCES!$C:$L,MATCH('PRODUCTIVITY RAW'!AV$2,RESOURCES!$C$3:$L$3,0),FALSE),"-")</f>
        <v>-</v>
      </c>
      <c r="AW65" s="92" t="str">
        <f>IFERROR(VLOOKUP($AT65,RESOURCES!$C:$L,MATCH('PRODUCTIVITY RAW'!AW$2,RESOURCES!$C$3:$L$3,0),FALSE),"-")</f>
        <v>-</v>
      </c>
      <c r="AX65" s="92" t="str">
        <f>IFERROR(VLOOKUP($AT65,RESOURCES!$C:$L,MATCH('PRODUCTIVITY RAW'!AX$2,RESOURCES!$C$3:$L$3,0),FALSE),"-")</f>
        <v>-</v>
      </c>
      <c r="AY65" s="92" t="str">
        <f>IFERROR(VLOOKUP($AT65,RESOURCES!$C:$L,MATCH('PRODUCTIVITY RAW'!AY$2,RESOURCES!$C$3:$L$3,0),FALSE),"-")</f>
        <v>-</v>
      </c>
      <c r="AZ65" s="92" t="str">
        <f>IFERROR(VLOOKUP($AT65,RESOURCES!$C:$L,MATCH('PRODUCTIVITY RAW'!AZ$2,RESOURCES!$C$3:$L$3,0),FALSE),"-")</f>
        <v>-</v>
      </c>
      <c r="BA65" s="20"/>
    </row>
    <row r="66" spans="1:53">
      <c r="A66" s="664">
        <f t="shared" si="8"/>
        <v>64</v>
      </c>
      <c r="B66" s="466">
        <f t="shared" si="2"/>
        <v>10071677</v>
      </c>
      <c r="C66" s="92" t="str">
        <f>IFERROR(VLOOKUP($B66,RESOURCES!$C:$L,MATCH('PRODUCTIVITY RAW'!C$2,RESOURCES!$C$3:$L$3,0),FALSE),"-")</f>
        <v>PASCUAL, CYRUS IAN A.</v>
      </c>
      <c r="D66" s="92" t="str">
        <f>IFERROR(VLOOKUP($B66,RESOURCES!$C:$L,MATCH('PRODUCTIVITY RAW'!D$2,RESOURCES!$C$3:$L$3,0),FALSE),"-")</f>
        <v>Web Designer</v>
      </c>
      <c r="E66" s="92" t="str">
        <f>IFERROR(VLOOKUP($B66,RESOURCES!$C:$L,MATCH('PRODUCTIVITY RAW'!E$2,RESOURCES!$C$3:$L$3,0),FALSE),"-")</f>
        <v>JAYAWON, Franklin</v>
      </c>
      <c r="F66" s="92" t="str">
        <f>IFERROR(VLOOKUP($B66,RESOURCES!$C:$L,MATCH('PRODUCTIVITY RAW'!F$2,RESOURCES!$C$3:$L$3,0),FALSE),"-")</f>
        <v>MENDOZA, Carlo</v>
      </c>
      <c r="G66" s="92" t="str">
        <f>IFERROR(VLOOKUP($B66,RESOURCES!$C:$L,MATCH('PRODUCTIVITY RAW'!G$2,RESOURCES!$C$3:$L$3,0),FALSE),"-")</f>
        <v>MENDOZA, Carlo</v>
      </c>
      <c r="H66" s="92" t="str">
        <f>IFERROR(VLOOKUP($B66,RESOURCES!$C:$L,MATCH('PRODUCTIVITY RAW'!H$2,RESOURCES!$C$3:$L$3,0),FALSE),"-")</f>
        <v>Ventanilla, Mike</v>
      </c>
      <c r="I66" s="8"/>
      <c r="J66" s="8"/>
      <c r="K66" s="9" t="str">
        <f>IFERROR(VLOOKUP($B66,RESOURCES!$C:$L,MATCH('PRODUCTIVITY RAW'!K$2,RESOURCES!$C$3:$L$3,0),FALSE),"-")</f>
        <v>Expert</v>
      </c>
      <c r="L66" s="21">
        <f t="shared" si="0"/>
        <v>99.840000000000046</v>
      </c>
      <c r="M66" s="21">
        <f t="shared" si="1"/>
        <v>127.5</v>
      </c>
      <c r="N66" s="21">
        <f t="shared" si="3"/>
        <v>17</v>
      </c>
      <c r="O66" s="86">
        <f t="shared" si="4"/>
        <v>5.872941176470591</v>
      </c>
      <c r="P66" s="86">
        <f>IFERROR(VLOOKUP($D66,KPI!$V:$AN,2,FALSE),"-")</f>
        <v>8</v>
      </c>
      <c r="Q66" s="32">
        <f t="shared" si="5"/>
        <v>0.74954954954955</v>
      </c>
      <c r="R66" s="185">
        <f t="shared" si="6"/>
        <v>133.19999999999999</v>
      </c>
      <c r="S66" s="89" t="str">
        <f t="shared" si="7"/>
        <v>Web Designer</v>
      </c>
      <c r="AG66" s="664">
        <v>64</v>
      </c>
      <c r="AH66" s="664">
        <v>10071677</v>
      </c>
      <c r="AI66" s="664" t="s">
        <v>161</v>
      </c>
      <c r="AJ66" s="92" t="s">
        <v>83</v>
      </c>
      <c r="AK66" s="92" t="s">
        <v>152</v>
      </c>
      <c r="AL66" s="92" t="s">
        <v>85</v>
      </c>
      <c r="AM66" s="92" t="s">
        <v>85</v>
      </c>
      <c r="AN66" s="92" t="s">
        <v>86</v>
      </c>
      <c r="AO66" s="157">
        <v>99.840000000000046</v>
      </c>
      <c r="AP66" s="157">
        <v>127.5</v>
      </c>
      <c r="AQ66" s="571">
        <v>2.8</v>
      </c>
      <c r="AS66" s="664">
        <f t="shared" si="9"/>
        <v>64</v>
      </c>
      <c r="AT66" s="664"/>
      <c r="AU66" s="664"/>
      <c r="AV66" s="92" t="str">
        <f>IFERROR(VLOOKUP($AT66,RESOURCES!$C:$L,MATCH('PRODUCTIVITY RAW'!AV$2,RESOURCES!$C$3:$L$3,0),FALSE),"-")</f>
        <v>-</v>
      </c>
      <c r="AW66" s="92" t="str">
        <f>IFERROR(VLOOKUP($AT66,RESOURCES!$C:$L,MATCH('PRODUCTIVITY RAW'!AW$2,RESOURCES!$C$3:$L$3,0),FALSE),"-")</f>
        <v>-</v>
      </c>
      <c r="AX66" s="92" t="str">
        <f>IFERROR(VLOOKUP($AT66,RESOURCES!$C:$L,MATCH('PRODUCTIVITY RAW'!AX$2,RESOURCES!$C$3:$L$3,0),FALSE),"-")</f>
        <v>-</v>
      </c>
      <c r="AY66" s="92" t="str">
        <f>IFERROR(VLOOKUP($AT66,RESOURCES!$C:$L,MATCH('PRODUCTIVITY RAW'!AY$2,RESOURCES!$C$3:$L$3,0),FALSE),"-")</f>
        <v>-</v>
      </c>
      <c r="AZ66" s="92" t="str">
        <f>IFERROR(VLOOKUP($AT66,RESOURCES!$C:$L,MATCH('PRODUCTIVITY RAW'!AZ$2,RESOURCES!$C$3:$L$3,0),FALSE),"-")</f>
        <v>-</v>
      </c>
      <c r="BA66" s="20"/>
    </row>
    <row r="67" spans="1:53">
      <c r="A67" s="664">
        <f t="shared" si="8"/>
        <v>65</v>
      </c>
      <c r="B67" s="466">
        <f t="shared" si="2"/>
        <v>10071253</v>
      </c>
      <c r="C67" s="92" t="str">
        <f>IFERROR(VLOOKUP($B67,RESOURCES!$C:$L,MATCH('PRODUCTIVITY RAW'!C$2,RESOURCES!$C$3:$L$3,0),FALSE),"-")</f>
        <v>PRADO, ALVIN C.</v>
      </c>
      <c r="D67" s="92" t="str">
        <f>IFERROR(VLOOKUP($B67,RESOURCES!$C:$L,MATCH('PRODUCTIVITY RAW'!D$2,RESOURCES!$C$3:$L$3,0),FALSE),"-")</f>
        <v>Senior Web Designer</v>
      </c>
      <c r="E67" s="92" t="str">
        <f>IFERROR(VLOOKUP($B67,RESOURCES!$C:$L,MATCH('PRODUCTIVITY RAW'!E$2,RESOURCES!$C$3:$L$3,0),FALSE),"-")</f>
        <v>JAYAWON, Franklin</v>
      </c>
      <c r="F67" s="92" t="str">
        <f>IFERROR(VLOOKUP($B67,RESOURCES!$C:$L,MATCH('PRODUCTIVITY RAW'!F$2,RESOURCES!$C$3:$L$3,0),FALSE),"-")</f>
        <v>MENDOZA, Carlo</v>
      </c>
      <c r="G67" s="92" t="str">
        <f>IFERROR(VLOOKUP($B67,RESOURCES!$C:$L,MATCH('PRODUCTIVITY RAW'!G$2,RESOURCES!$C$3:$L$3,0),FALSE),"-")</f>
        <v>MENDOZA, Carlo</v>
      </c>
      <c r="H67" s="92" t="str">
        <f>IFERROR(VLOOKUP($B67,RESOURCES!$C:$L,MATCH('PRODUCTIVITY RAW'!H$2,RESOURCES!$C$3:$L$3,0),FALSE),"-")</f>
        <v>Ventanilla, Mike</v>
      </c>
      <c r="I67" s="8"/>
      <c r="J67" s="8"/>
      <c r="K67" s="9" t="str">
        <f>IFERROR(VLOOKUP($B67,RESOURCES!$C:$L,MATCH('PRODUCTIVITY RAW'!K$2,RESOURCES!$C$3:$L$3,0),FALSE),"-")</f>
        <v>Expert</v>
      </c>
      <c r="L67" s="21">
        <f t="shared" ref="L67:L130" si="10">IFERROR(VLOOKUP($B67,$AH:$AO,8,FALSE),"-")</f>
        <v>126.66000000000004</v>
      </c>
      <c r="M67" s="21">
        <f t="shared" ref="M67:M130" si="11">IFERROR(VLOOKUP($B67,$AH:$AP,9,FALSE),"-")</f>
        <v>127.5</v>
      </c>
      <c r="N67" s="21">
        <f t="shared" si="3"/>
        <v>17</v>
      </c>
      <c r="O67" s="86">
        <f t="shared" si="4"/>
        <v>7.45058823529412</v>
      </c>
      <c r="P67" s="86">
        <f>IFERROR(VLOOKUP($D67,KPI!$V:$AN,2,FALSE),"-")</f>
        <v>7</v>
      </c>
      <c r="Q67" s="32">
        <f t="shared" si="5"/>
        <v>1</v>
      </c>
      <c r="R67" s="185">
        <f t="shared" si="6"/>
        <v>119</v>
      </c>
      <c r="S67" s="89" t="str">
        <f t="shared" si="7"/>
        <v>Senior Web Designer</v>
      </c>
      <c r="AG67" s="664">
        <v>65</v>
      </c>
      <c r="AH67" s="664">
        <v>10071253</v>
      </c>
      <c r="AI67" s="664" t="s">
        <v>162</v>
      </c>
      <c r="AJ67" s="92" t="s">
        <v>142</v>
      </c>
      <c r="AK67" s="92" t="s">
        <v>152</v>
      </c>
      <c r="AL67" s="92" t="s">
        <v>85</v>
      </c>
      <c r="AM67" s="92" t="s">
        <v>85</v>
      </c>
      <c r="AN67" s="92" t="s">
        <v>86</v>
      </c>
      <c r="AO67" s="157">
        <v>126.66000000000004</v>
      </c>
      <c r="AP67" s="157">
        <v>127.5</v>
      </c>
      <c r="AQ67" s="571">
        <v>0</v>
      </c>
      <c r="AS67" s="664">
        <f t="shared" si="9"/>
        <v>65</v>
      </c>
      <c r="AT67" s="664"/>
      <c r="AU67" s="664"/>
      <c r="AV67" s="92" t="str">
        <f>IFERROR(VLOOKUP($AT67,RESOURCES!$C:$L,MATCH('PRODUCTIVITY RAW'!AV$2,RESOURCES!$C$3:$L$3,0),FALSE),"-")</f>
        <v>-</v>
      </c>
      <c r="AW67" s="92" t="str">
        <f>IFERROR(VLOOKUP($AT67,RESOURCES!$C:$L,MATCH('PRODUCTIVITY RAW'!AW$2,RESOURCES!$C$3:$L$3,0),FALSE),"-")</f>
        <v>-</v>
      </c>
      <c r="AX67" s="92" t="str">
        <f>IFERROR(VLOOKUP($AT67,RESOURCES!$C:$L,MATCH('PRODUCTIVITY RAW'!AX$2,RESOURCES!$C$3:$L$3,0),FALSE),"-")</f>
        <v>-</v>
      </c>
      <c r="AY67" s="92" t="str">
        <f>IFERROR(VLOOKUP($AT67,RESOURCES!$C:$L,MATCH('PRODUCTIVITY RAW'!AY$2,RESOURCES!$C$3:$L$3,0),FALSE),"-")</f>
        <v>-</v>
      </c>
      <c r="AZ67" s="92" t="str">
        <f>IFERROR(VLOOKUP($AT67,RESOURCES!$C:$L,MATCH('PRODUCTIVITY RAW'!AZ$2,RESOURCES!$C$3:$L$3,0),FALSE),"-")</f>
        <v>-</v>
      </c>
      <c r="BA67" s="20"/>
    </row>
    <row r="68" spans="1:53">
      <c r="A68" s="664">
        <f t="shared" si="8"/>
        <v>66</v>
      </c>
      <c r="B68" s="466">
        <f t="shared" ref="B68:B131" si="12">AH68</f>
        <v>10072450</v>
      </c>
      <c r="C68" s="92" t="str">
        <f>IFERROR(VLOOKUP($B68,RESOURCES!$C:$L,MATCH('PRODUCTIVITY RAW'!C$2,RESOURCES!$C$3:$L$3,0),FALSE),"-")</f>
        <v>SANTIAGO, ALMAR ABRAHAM G.</v>
      </c>
      <c r="D68" s="92" t="str">
        <f>IFERROR(VLOOKUP($B68,RESOURCES!$C:$L,MATCH('PRODUCTIVITY RAW'!D$2,RESOURCES!$C$3:$L$3,0),FALSE),"-")</f>
        <v>Web Designer</v>
      </c>
      <c r="E68" s="92" t="str">
        <f>IFERROR(VLOOKUP($B68,RESOURCES!$C:$L,MATCH('PRODUCTIVITY RAW'!E$2,RESOURCES!$C$3:$L$3,0),FALSE),"-")</f>
        <v>JAYAWON, Franklin</v>
      </c>
      <c r="F68" s="92" t="str">
        <f>IFERROR(VLOOKUP($B68,RESOURCES!$C:$L,MATCH('PRODUCTIVITY RAW'!F$2,RESOURCES!$C$3:$L$3,0),FALSE),"-")</f>
        <v>MENDOZA, Carlo</v>
      </c>
      <c r="G68" s="92" t="str">
        <f>IFERROR(VLOOKUP($B68,RESOURCES!$C:$L,MATCH('PRODUCTIVITY RAW'!G$2,RESOURCES!$C$3:$L$3,0),FALSE),"-")</f>
        <v>MENDOZA, Carlo</v>
      </c>
      <c r="H68" s="92" t="str">
        <f>IFERROR(VLOOKUP($B68,RESOURCES!$C:$L,MATCH('PRODUCTIVITY RAW'!H$2,RESOURCES!$C$3:$L$3,0),FALSE),"-")</f>
        <v>Ventanilla, Mike</v>
      </c>
      <c r="I68" s="8"/>
      <c r="J68" s="8"/>
      <c r="K68" s="9" t="str">
        <f>IFERROR(VLOOKUP($B68,RESOURCES!$C:$L,MATCH('PRODUCTIVITY RAW'!K$2,RESOURCES!$C$3:$L$3,0),FALSE),"-")</f>
        <v>Expert</v>
      </c>
      <c r="L68" s="21">
        <f t="shared" si="10"/>
        <v>130.15</v>
      </c>
      <c r="M68" s="21">
        <f t="shared" si="11"/>
        <v>127.5</v>
      </c>
      <c r="N68" s="21">
        <f t="shared" ref="N68:N131" si="13">IFERROR(M68/7.5,"-")</f>
        <v>17</v>
      </c>
      <c r="O68" s="86">
        <f t="shared" ref="O68:O131" si="14">IFERROR(L68/N68,"-")</f>
        <v>7.6558823529411768</v>
      </c>
      <c r="P68" s="86">
        <f>IFERROR(VLOOKUP($D68,KPI!$V:$AN,2,FALSE),"-")</f>
        <v>8</v>
      </c>
      <c r="Q68" s="32">
        <f t="shared" ref="Q68:Q131" si="15">IFERROR(IF((L68/R68)&gt;1,1,L68/R68),"-")</f>
        <v>0.9569852941176471</v>
      </c>
      <c r="R68" s="185">
        <f t="shared" ref="R68:R131" si="16">IFERROR((P68*N68)-SUMIFS($AQ:$AQ,$AH:$AH,$B68),"-")</f>
        <v>136</v>
      </c>
      <c r="S68" s="89" t="str">
        <f t="shared" ref="S68:S131" si="17">D68</f>
        <v>Web Designer</v>
      </c>
      <c r="AG68" s="664">
        <v>66</v>
      </c>
      <c r="AH68" s="664">
        <v>10072450</v>
      </c>
      <c r="AI68" s="664" t="s">
        <v>163</v>
      </c>
      <c r="AJ68" s="92" t="s">
        <v>83</v>
      </c>
      <c r="AK68" s="92" t="s">
        <v>152</v>
      </c>
      <c r="AL68" s="92" t="s">
        <v>85</v>
      </c>
      <c r="AM68" s="92" t="s">
        <v>85</v>
      </c>
      <c r="AN68" s="92" t="s">
        <v>86</v>
      </c>
      <c r="AO68" s="157">
        <v>130.15</v>
      </c>
      <c r="AP68" s="157">
        <v>127.5</v>
      </c>
      <c r="AQ68" s="571">
        <v>0</v>
      </c>
      <c r="AS68" s="664">
        <f t="shared" si="9"/>
        <v>66</v>
      </c>
      <c r="AT68" s="664"/>
      <c r="AU68" s="664"/>
      <c r="AV68" s="92" t="str">
        <f>IFERROR(VLOOKUP($AT68,RESOURCES!$C:$L,MATCH('PRODUCTIVITY RAW'!AV$2,RESOURCES!$C$3:$L$3,0),FALSE),"-")</f>
        <v>-</v>
      </c>
      <c r="AW68" s="92" t="str">
        <f>IFERROR(VLOOKUP($AT68,RESOURCES!$C:$L,MATCH('PRODUCTIVITY RAW'!AW$2,RESOURCES!$C$3:$L$3,0),FALSE),"-")</f>
        <v>-</v>
      </c>
      <c r="AX68" s="92" t="str">
        <f>IFERROR(VLOOKUP($AT68,RESOURCES!$C:$L,MATCH('PRODUCTIVITY RAW'!AX$2,RESOURCES!$C$3:$L$3,0),FALSE),"-")</f>
        <v>-</v>
      </c>
      <c r="AY68" s="92" t="str">
        <f>IFERROR(VLOOKUP($AT68,RESOURCES!$C:$L,MATCH('PRODUCTIVITY RAW'!AY$2,RESOURCES!$C$3:$L$3,0),FALSE),"-")</f>
        <v>-</v>
      </c>
      <c r="AZ68" s="92" t="str">
        <f>IFERROR(VLOOKUP($AT68,RESOURCES!$C:$L,MATCH('PRODUCTIVITY RAW'!AZ$2,RESOURCES!$C$3:$L$3,0),FALSE),"-")</f>
        <v>-</v>
      </c>
      <c r="BA68" s="20"/>
    </row>
    <row r="69" spans="1:53">
      <c r="A69" s="664">
        <f t="shared" ref="A69:A132" si="18">A68+1</f>
        <v>67</v>
      </c>
      <c r="B69" s="466">
        <f t="shared" si="12"/>
        <v>10072440</v>
      </c>
      <c r="C69" s="92" t="str">
        <f>IFERROR(VLOOKUP($B69,RESOURCES!$C:$L,MATCH('PRODUCTIVITY RAW'!C$2,RESOURCES!$C$3:$L$3,0),FALSE),"-")</f>
        <v>TIGLEY, EMMANUEL</v>
      </c>
      <c r="D69" s="92" t="str">
        <f>IFERROR(VLOOKUP($B69,RESOURCES!$C:$L,MATCH('PRODUCTIVITY RAW'!D$2,RESOURCES!$C$3:$L$3,0),FALSE),"-")</f>
        <v>Logo Designer</v>
      </c>
      <c r="E69" s="92" t="str">
        <f>IFERROR(VLOOKUP($B69,RESOURCES!$C:$L,MATCH('PRODUCTIVITY RAW'!E$2,RESOURCES!$C$3:$L$3,0),FALSE),"-")</f>
        <v>JAYAWON, Franklin</v>
      </c>
      <c r="F69" s="92" t="str">
        <f>IFERROR(VLOOKUP($B69,RESOURCES!$C:$L,MATCH('PRODUCTIVITY RAW'!F$2,RESOURCES!$C$3:$L$3,0),FALSE),"-")</f>
        <v>MENDOZA, Carlo</v>
      </c>
      <c r="G69" s="92" t="str">
        <f>IFERROR(VLOOKUP($B69,RESOURCES!$C:$L,MATCH('PRODUCTIVITY RAW'!G$2,RESOURCES!$C$3:$L$3,0),FALSE),"-")</f>
        <v>MENDOZA, Carlo</v>
      </c>
      <c r="H69" s="92" t="str">
        <f>IFERROR(VLOOKUP($B69,RESOURCES!$C:$L,MATCH('PRODUCTIVITY RAW'!H$2,RESOURCES!$C$3:$L$3,0),FALSE),"-")</f>
        <v>Ventanilla, Mike</v>
      </c>
      <c r="I69" s="8"/>
      <c r="J69" s="8"/>
      <c r="K69" s="9" t="str">
        <f>IFERROR(VLOOKUP($B69,RESOURCES!$C:$L,MATCH('PRODUCTIVITY RAW'!K$2,RESOURCES!$C$3:$L$3,0),FALSE),"-")</f>
        <v>Expert</v>
      </c>
      <c r="L69" s="21">
        <f t="shared" si="10"/>
        <v>96.140000000000043</v>
      </c>
      <c r="M69" s="21">
        <f t="shared" si="11"/>
        <v>135</v>
      </c>
      <c r="N69" s="21">
        <f t="shared" si="13"/>
        <v>18</v>
      </c>
      <c r="O69" s="86">
        <f t="shared" si="14"/>
        <v>5.3411111111111138</v>
      </c>
      <c r="P69" s="86">
        <f>IFERROR(VLOOKUP($D69,KPI!$V:$AN,2,FALSE),"-")</f>
        <v>8</v>
      </c>
      <c r="Q69" s="32">
        <f t="shared" si="15"/>
        <v>0.67230769230769261</v>
      </c>
      <c r="R69" s="185">
        <f t="shared" si="16"/>
        <v>143</v>
      </c>
      <c r="S69" s="89" t="str">
        <f t="shared" si="17"/>
        <v>Logo Designer</v>
      </c>
      <c r="AG69" s="664">
        <v>67</v>
      </c>
      <c r="AH69" s="664">
        <v>10072440</v>
      </c>
      <c r="AI69" s="664" t="s">
        <v>164</v>
      </c>
      <c r="AJ69" s="92" t="s">
        <v>165</v>
      </c>
      <c r="AK69" s="92" t="s">
        <v>152</v>
      </c>
      <c r="AL69" s="92" t="s">
        <v>85</v>
      </c>
      <c r="AM69" s="92" t="s">
        <v>85</v>
      </c>
      <c r="AN69" s="92" t="s">
        <v>86</v>
      </c>
      <c r="AO69" s="157">
        <v>96.140000000000043</v>
      </c>
      <c r="AP69" s="157">
        <v>135</v>
      </c>
      <c r="AQ69" s="571">
        <v>1</v>
      </c>
      <c r="AS69" s="664">
        <f t="shared" ref="AS69:AS132" si="19">AS68+1</f>
        <v>67</v>
      </c>
      <c r="AT69" s="664"/>
      <c r="AU69" s="664"/>
      <c r="AV69" s="92" t="str">
        <f>IFERROR(VLOOKUP($AT69,RESOURCES!$C:$L,MATCH('PRODUCTIVITY RAW'!AV$2,RESOURCES!$C$3:$L$3,0),FALSE),"-")</f>
        <v>-</v>
      </c>
      <c r="AW69" s="92" t="str">
        <f>IFERROR(VLOOKUP($AT69,RESOURCES!$C:$L,MATCH('PRODUCTIVITY RAW'!AW$2,RESOURCES!$C$3:$L$3,0),FALSE),"-")</f>
        <v>-</v>
      </c>
      <c r="AX69" s="92" t="str">
        <f>IFERROR(VLOOKUP($AT69,RESOURCES!$C:$L,MATCH('PRODUCTIVITY RAW'!AX$2,RESOURCES!$C$3:$L$3,0),FALSE),"-")</f>
        <v>-</v>
      </c>
      <c r="AY69" s="92" t="str">
        <f>IFERROR(VLOOKUP($AT69,RESOURCES!$C:$L,MATCH('PRODUCTIVITY RAW'!AY$2,RESOURCES!$C$3:$L$3,0),FALSE),"-")</f>
        <v>-</v>
      </c>
      <c r="AZ69" s="92" t="str">
        <f>IFERROR(VLOOKUP($AT69,RESOURCES!$C:$L,MATCH('PRODUCTIVITY RAW'!AZ$2,RESOURCES!$C$3:$L$3,0),FALSE),"-")</f>
        <v>-</v>
      </c>
      <c r="BA69" s="20"/>
    </row>
    <row r="70" spans="1:53">
      <c r="A70" s="664">
        <f t="shared" si="18"/>
        <v>68</v>
      </c>
      <c r="B70" s="466">
        <f t="shared" si="12"/>
        <v>10072255</v>
      </c>
      <c r="C70" s="92" t="str">
        <f>IFERROR(VLOOKUP($B70,RESOURCES!$C:$L,MATCH('PRODUCTIVITY RAW'!C$2,RESOURCES!$C$3:$L$3,0),FALSE),"-")</f>
        <v>REMULLA, RENZEL B.</v>
      </c>
      <c r="D70" s="92" t="str">
        <f>IFERROR(VLOOKUP($B70,RESOURCES!$C:$L,MATCH('PRODUCTIVITY RAW'!D$2,RESOURCES!$C$3:$L$3,0),FALSE),"-")</f>
        <v>Web Designer</v>
      </c>
      <c r="E70" s="92" t="str">
        <f>IFERROR(VLOOKUP($B70,RESOURCES!$C:$L,MATCH('PRODUCTIVITY RAW'!E$2,RESOURCES!$C$3:$L$3,0),FALSE),"-")</f>
        <v>JAYAWON, Franklin</v>
      </c>
      <c r="F70" s="92" t="str">
        <f>IFERROR(VLOOKUP($B70,RESOURCES!$C:$L,MATCH('PRODUCTIVITY RAW'!F$2,RESOURCES!$C$3:$L$3,0),FALSE),"-")</f>
        <v>MENDOZA, Carlo</v>
      </c>
      <c r="G70" s="92" t="str">
        <f>IFERROR(VLOOKUP($B70,RESOURCES!$C:$L,MATCH('PRODUCTIVITY RAW'!G$2,RESOURCES!$C$3:$L$3,0),FALSE),"-")</f>
        <v>MENDOZA, Carlo</v>
      </c>
      <c r="H70" s="92" t="str">
        <f>IFERROR(VLOOKUP($B70,RESOURCES!$C:$L,MATCH('PRODUCTIVITY RAW'!H$2,RESOURCES!$C$3:$L$3,0),FALSE),"-")</f>
        <v>Ventanilla, Mike</v>
      </c>
      <c r="I70" s="8"/>
      <c r="J70" s="8"/>
      <c r="K70" s="9" t="str">
        <f>IFERROR(VLOOKUP($B70,RESOURCES!$C:$L,MATCH('PRODUCTIVITY RAW'!K$2,RESOURCES!$C$3:$L$3,0),FALSE),"-")</f>
        <v>Expert</v>
      </c>
      <c r="L70" s="21">
        <f t="shared" si="10"/>
        <v>119.35</v>
      </c>
      <c r="M70" s="21">
        <f t="shared" si="11"/>
        <v>127.5</v>
      </c>
      <c r="N70" s="21">
        <f t="shared" si="13"/>
        <v>17</v>
      </c>
      <c r="O70" s="86">
        <f t="shared" si="14"/>
        <v>7.0205882352941176</v>
      </c>
      <c r="P70" s="86">
        <f>IFERROR(VLOOKUP($D70,KPI!$V:$AN,2,FALSE),"-")</f>
        <v>8</v>
      </c>
      <c r="Q70" s="32">
        <f t="shared" si="15"/>
        <v>0.88407407407407401</v>
      </c>
      <c r="R70" s="185">
        <f t="shared" si="16"/>
        <v>135</v>
      </c>
      <c r="S70" s="89" t="str">
        <f t="shared" si="17"/>
        <v>Web Designer</v>
      </c>
      <c r="AG70" s="664">
        <v>68</v>
      </c>
      <c r="AH70" s="664">
        <v>10072255</v>
      </c>
      <c r="AI70" s="664" t="s">
        <v>166</v>
      </c>
      <c r="AJ70" s="92" t="s">
        <v>83</v>
      </c>
      <c r="AK70" s="92" t="s">
        <v>152</v>
      </c>
      <c r="AL70" s="92" t="s">
        <v>85</v>
      </c>
      <c r="AM70" s="92" t="s">
        <v>85</v>
      </c>
      <c r="AN70" s="92" t="s">
        <v>86</v>
      </c>
      <c r="AO70" s="157">
        <v>119.35</v>
      </c>
      <c r="AP70" s="157">
        <v>127.5</v>
      </c>
      <c r="AQ70" s="571">
        <v>1</v>
      </c>
      <c r="AS70" s="664">
        <f t="shared" si="19"/>
        <v>68</v>
      </c>
      <c r="AT70" s="664"/>
      <c r="AU70" s="664"/>
      <c r="AV70" s="92" t="str">
        <f>IFERROR(VLOOKUP($AT70,RESOURCES!$C:$L,MATCH('PRODUCTIVITY RAW'!AV$2,RESOURCES!$C$3:$L$3,0),FALSE),"-")</f>
        <v>-</v>
      </c>
      <c r="AW70" s="92" t="str">
        <f>IFERROR(VLOOKUP($AT70,RESOURCES!$C:$L,MATCH('PRODUCTIVITY RAW'!AW$2,RESOURCES!$C$3:$L$3,0),FALSE),"-")</f>
        <v>-</v>
      </c>
      <c r="AX70" s="92" t="str">
        <f>IFERROR(VLOOKUP($AT70,RESOURCES!$C:$L,MATCH('PRODUCTIVITY RAW'!AX$2,RESOURCES!$C$3:$L$3,0),FALSE),"-")</f>
        <v>-</v>
      </c>
      <c r="AY70" s="92" t="str">
        <f>IFERROR(VLOOKUP($AT70,RESOURCES!$C:$L,MATCH('PRODUCTIVITY RAW'!AY$2,RESOURCES!$C$3:$L$3,0),FALSE),"-")</f>
        <v>-</v>
      </c>
      <c r="AZ70" s="92" t="str">
        <f>IFERROR(VLOOKUP($AT70,RESOURCES!$C:$L,MATCH('PRODUCTIVITY RAW'!AZ$2,RESOURCES!$C$3:$L$3,0),FALSE),"-")</f>
        <v>-</v>
      </c>
      <c r="BA70" s="20"/>
    </row>
    <row r="71" spans="1:53">
      <c r="A71" s="664">
        <f t="shared" si="18"/>
        <v>69</v>
      </c>
      <c r="B71" s="466">
        <f t="shared" si="12"/>
        <v>10070729</v>
      </c>
      <c r="C71" s="92" t="str">
        <f>IFERROR(VLOOKUP($B71,RESOURCES!$C:$L,MATCH('PRODUCTIVITY RAW'!C$2,RESOURCES!$C$3:$L$3,0),FALSE),"-")</f>
        <v>SALUMBIDES, ROMNIEL L.</v>
      </c>
      <c r="D71" s="92" t="str">
        <f>IFERROR(VLOOKUP($B71,RESOURCES!$C:$L,MATCH('PRODUCTIVITY RAW'!D$2,RESOURCES!$C$3:$L$3,0),FALSE),"-")</f>
        <v>Senior Web Designer</v>
      </c>
      <c r="E71" s="92" t="str">
        <f>IFERROR(VLOOKUP($B71,RESOURCES!$C:$L,MATCH('PRODUCTIVITY RAW'!E$2,RESOURCES!$C$3:$L$3,0),FALSE),"-")</f>
        <v>JAYAWON, Franklin</v>
      </c>
      <c r="F71" s="92" t="str">
        <f>IFERROR(VLOOKUP($B71,RESOURCES!$C:$L,MATCH('PRODUCTIVITY RAW'!F$2,RESOURCES!$C$3:$L$3,0),FALSE),"-")</f>
        <v>MENDOZA, Carlo</v>
      </c>
      <c r="G71" s="92" t="str">
        <f>IFERROR(VLOOKUP($B71,RESOURCES!$C:$L,MATCH('PRODUCTIVITY RAW'!G$2,RESOURCES!$C$3:$L$3,0),FALSE),"-")</f>
        <v>MENDOZA, Carlo</v>
      </c>
      <c r="H71" s="92" t="str">
        <f>IFERROR(VLOOKUP($B71,RESOURCES!$C:$L,MATCH('PRODUCTIVITY RAW'!H$2,RESOURCES!$C$3:$L$3,0),FALSE),"-")</f>
        <v>Ventanilla, Mike</v>
      </c>
      <c r="I71" s="8"/>
      <c r="J71" s="8"/>
      <c r="K71" s="9" t="str">
        <f>IFERROR(VLOOKUP($B71,RESOURCES!$C:$L,MATCH('PRODUCTIVITY RAW'!K$2,RESOURCES!$C$3:$L$3,0),FALSE),"-")</f>
        <v>Expert</v>
      </c>
      <c r="L71" s="21">
        <f t="shared" si="10"/>
        <v>84.11</v>
      </c>
      <c r="M71" s="21">
        <f t="shared" si="11"/>
        <v>135</v>
      </c>
      <c r="N71" s="21">
        <f t="shared" si="13"/>
        <v>18</v>
      </c>
      <c r="O71" s="86">
        <f t="shared" si="14"/>
        <v>4.6727777777777781</v>
      </c>
      <c r="P71" s="86">
        <f>IFERROR(VLOOKUP($D71,KPI!$V:$AN,2,FALSE),"-")</f>
        <v>7</v>
      </c>
      <c r="Q71" s="32">
        <f t="shared" si="15"/>
        <v>0.67830645161290326</v>
      </c>
      <c r="R71" s="185">
        <f t="shared" si="16"/>
        <v>124</v>
      </c>
      <c r="S71" s="89" t="str">
        <f t="shared" si="17"/>
        <v>Senior Web Designer</v>
      </c>
      <c r="AG71" s="664">
        <v>69</v>
      </c>
      <c r="AH71" s="664">
        <v>10070729</v>
      </c>
      <c r="AI71" s="664" t="s">
        <v>167</v>
      </c>
      <c r="AJ71" s="92" t="s">
        <v>142</v>
      </c>
      <c r="AK71" s="92" t="s">
        <v>152</v>
      </c>
      <c r="AL71" s="92" t="s">
        <v>85</v>
      </c>
      <c r="AM71" s="92" t="s">
        <v>85</v>
      </c>
      <c r="AN71" s="92" t="s">
        <v>86</v>
      </c>
      <c r="AO71" s="157">
        <v>84.11</v>
      </c>
      <c r="AP71" s="157">
        <v>135</v>
      </c>
      <c r="AQ71" s="571">
        <v>2</v>
      </c>
      <c r="AS71" s="664">
        <f t="shared" si="19"/>
        <v>69</v>
      </c>
      <c r="AT71" s="664"/>
      <c r="AU71" s="664"/>
      <c r="AV71" s="92" t="str">
        <f>IFERROR(VLOOKUP($AT71,RESOURCES!$C:$L,MATCH('PRODUCTIVITY RAW'!AV$2,RESOURCES!$C$3:$L$3,0),FALSE),"-")</f>
        <v>-</v>
      </c>
      <c r="AW71" s="92" t="str">
        <f>IFERROR(VLOOKUP($AT71,RESOURCES!$C:$L,MATCH('PRODUCTIVITY RAW'!AW$2,RESOURCES!$C$3:$L$3,0),FALSE),"-")</f>
        <v>-</v>
      </c>
      <c r="AX71" s="92" t="str">
        <f>IFERROR(VLOOKUP($AT71,RESOURCES!$C:$L,MATCH('PRODUCTIVITY RAW'!AX$2,RESOURCES!$C$3:$L$3,0),FALSE),"-")</f>
        <v>-</v>
      </c>
      <c r="AY71" s="92" t="str">
        <f>IFERROR(VLOOKUP($AT71,RESOURCES!$C:$L,MATCH('PRODUCTIVITY RAW'!AY$2,RESOURCES!$C$3:$L$3,0),FALSE),"-")</f>
        <v>-</v>
      </c>
      <c r="AZ71" s="92" t="str">
        <f>IFERROR(VLOOKUP($AT71,RESOURCES!$C:$L,MATCH('PRODUCTIVITY RAW'!AZ$2,RESOURCES!$C$3:$L$3,0),FALSE),"-")</f>
        <v>-</v>
      </c>
      <c r="BA71" s="20"/>
    </row>
    <row r="72" spans="1:53">
      <c r="A72" s="664">
        <f t="shared" si="18"/>
        <v>70</v>
      </c>
      <c r="B72" s="466">
        <f t="shared" si="12"/>
        <v>10072177</v>
      </c>
      <c r="C72" s="92" t="str">
        <f>IFERROR(VLOOKUP($B72,RESOURCES!$C:$L,MATCH('PRODUCTIVITY RAW'!C$2,RESOURCES!$C$3:$L$3,0),FALSE),"-")</f>
        <v>DIAZ, ED JOSHUA B.</v>
      </c>
      <c r="D72" s="92" t="str">
        <f>IFERROR(VLOOKUP($B72,RESOURCES!$C:$L,MATCH('PRODUCTIVITY RAW'!D$2,RESOURCES!$C$3:$L$3,0),FALSE),"-")</f>
        <v>Web Designer</v>
      </c>
      <c r="E72" s="92" t="str">
        <f>IFERROR(VLOOKUP($B72,RESOURCES!$C:$L,MATCH('PRODUCTIVITY RAW'!E$2,RESOURCES!$C$3:$L$3,0),FALSE),"-")</f>
        <v>FLORES, Emmanuel</v>
      </c>
      <c r="F72" s="92" t="str">
        <f>IFERROR(VLOOKUP($B72,RESOURCES!$C:$L,MATCH('PRODUCTIVITY RAW'!F$2,RESOURCES!$C$3:$L$3,0),FALSE),"-")</f>
        <v>TAGUILASO, Daryl</v>
      </c>
      <c r="G72" s="92" t="str">
        <f>IFERROR(VLOOKUP($B72,RESOURCES!$C:$L,MATCH('PRODUCTIVITY RAW'!G$2,RESOURCES!$C$3:$L$3,0),FALSE),"-")</f>
        <v>MENDOZA, Carlo</v>
      </c>
      <c r="H72" s="92" t="str">
        <f>IFERROR(VLOOKUP($B72,RESOURCES!$C:$L,MATCH('PRODUCTIVITY RAW'!H$2,RESOURCES!$C$3:$L$3,0),FALSE),"-")</f>
        <v>Ventanilla, Mike</v>
      </c>
      <c r="I72" s="8"/>
      <c r="J72" s="8"/>
      <c r="K72" s="9" t="str">
        <f>IFERROR(VLOOKUP($B72,RESOURCES!$C:$L,MATCH('PRODUCTIVITY RAW'!K$2,RESOURCES!$C$3:$L$3,0),FALSE),"-")</f>
        <v>Expert</v>
      </c>
      <c r="L72" s="21">
        <f t="shared" si="10"/>
        <v>161.34000000000006</v>
      </c>
      <c r="M72" s="21">
        <f t="shared" si="11"/>
        <v>135</v>
      </c>
      <c r="N72" s="21">
        <f t="shared" si="13"/>
        <v>18</v>
      </c>
      <c r="O72" s="86">
        <f t="shared" si="14"/>
        <v>8.9633333333333365</v>
      </c>
      <c r="P72" s="86">
        <f>IFERROR(VLOOKUP($D72,KPI!$V:$AN,2,FALSE),"-")</f>
        <v>8</v>
      </c>
      <c r="Q72" s="32">
        <f t="shared" si="15"/>
        <v>1</v>
      </c>
      <c r="R72" s="185">
        <f t="shared" si="16"/>
        <v>143</v>
      </c>
      <c r="S72" s="89" t="str">
        <f t="shared" si="17"/>
        <v>Web Designer</v>
      </c>
      <c r="AG72" s="664">
        <v>70</v>
      </c>
      <c r="AH72" s="664">
        <v>10072177</v>
      </c>
      <c r="AI72" s="664" t="s">
        <v>168</v>
      </c>
      <c r="AJ72" s="92" t="s">
        <v>83</v>
      </c>
      <c r="AK72" s="92" t="s">
        <v>169</v>
      </c>
      <c r="AL72" s="92" t="s">
        <v>170</v>
      </c>
      <c r="AM72" s="92" t="s">
        <v>85</v>
      </c>
      <c r="AN72" s="92" t="s">
        <v>86</v>
      </c>
      <c r="AO72" s="157">
        <v>161.34000000000006</v>
      </c>
      <c r="AP72" s="157">
        <v>135</v>
      </c>
      <c r="AQ72" s="571">
        <v>1</v>
      </c>
      <c r="AS72" s="664">
        <f t="shared" si="19"/>
        <v>70</v>
      </c>
      <c r="AT72" s="664"/>
      <c r="AU72" s="664"/>
      <c r="AV72" s="92" t="str">
        <f>IFERROR(VLOOKUP($AT72,RESOURCES!$C:$L,MATCH('PRODUCTIVITY RAW'!AV$2,RESOURCES!$C$3:$L$3,0),FALSE),"-")</f>
        <v>-</v>
      </c>
      <c r="AW72" s="92" t="str">
        <f>IFERROR(VLOOKUP($AT72,RESOURCES!$C:$L,MATCH('PRODUCTIVITY RAW'!AW$2,RESOURCES!$C$3:$L$3,0),FALSE),"-")</f>
        <v>-</v>
      </c>
      <c r="AX72" s="92" t="str">
        <f>IFERROR(VLOOKUP($AT72,RESOURCES!$C:$L,MATCH('PRODUCTIVITY RAW'!AX$2,RESOURCES!$C$3:$L$3,0),FALSE),"-")</f>
        <v>-</v>
      </c>
      <c r="AY72" s="92" t="str">
        <f>IFERROR(VLOOKUP($AT72,RESOURCES!$C:$L,MATCH('PRODUCTIVITY RAW'!AY$2,RESOURCES!$C$3:$L$3,0),FALSE),"-")</f>
        <v>-</v>
      </c>
      <c r="AZ72" s="92" t="str">
        <f>IFERROR(VLOOKUP($AT72,RESOURCES!$C:$L,MATCH('PRODUCTIVITY RAW'!AZ$2,RESOURCES!$C$3:$L$3,0),FALSE),"-")</f>
        <v>-</v>
      </c>
      <c r="BA72" s="20"/>
    </row>
    <row r="73" spans="1:53">
      <c r="A73" s="664">
        <f t="shared" si="18"/>
        <v>71</v>
      </c>
      <c r="B73" s="466">
        <f t="shared" si="12"/>
        <v>10071358</v>
      </c>
      <c r="C73" s="92" t="str">
        <f>IFERROR(VLOOKUP($B73,RESOURCES!$C:$L,MATCH('PRODUCTIVITY RAW'!C$2,RESOURCES!$C$3:$L$3,0),FALSE),"-")</f>
        <v>BATAYON, ELOISA V.</v>
      </c>
      <c r="D73" s="92" t="str">
        <f>IFERROR(VLOOKUP($B73,RESOURCES!$C:$L,MATCH('PRODUCTIVITY RAW'!D$2,RESOURCES!$C$3:$L$3,0),FALSE),"-")</f>
        <v>Web Designer</v>
      </c>
      <c r="E73" s="92" t="str">
        <f>IFERROR(VLOOKUP($B73,RESOURCES!$C:$L,MATCH('PRODUCTIVITY RAW'!E$2,RESOURCES!$C$3:$L$3,0),FALSE),"-")</f>
        <v>FLORES, Emmanuel</v>
      </c>
      <c r="F73" s="92" t="str">
        <f>IFERROR(VLOOKUP($B73,RESOURCES!$C:$L,MATCH('PRODUCTIVITY RAW'!F$2,RESOURCES!$C$3:$L$3,0),FALSE),"-")</f>
        <v>TAGUILASO, Daryl</v>
      </c>
      <c r="G73" s="92" t="str">
        <f>IFERROR(VLOOKUP($B73,RESOURCES!$C:$L,MATCH('PRODUCTIVITY RAW'!G$2,RESOURCES!$C$3:$L$3,0),FALSE),"-")</f>
        <v>MENDOZA, Carlo</v>
      </c>
      <c r="H73" s="92" t="str">
        <f>IFERROR(VLOOKUP($B73,RESOURCES!$C:$L,MATCH('PRODUCTIVITY RAW'!H$2,RESOURCES!$C$3:$L$3,0),FALSE),"-")</f>
        <v>Ventanilla, Mike</v>
      </c>
      <c r="I73" s="8"/>
      <c r="J73" s="8"/>
      <c r="K73" s="9" t="str">
        <f>IFERROR(VLOOKUP($B73,RESOURCES!$C:$L,MATCH('PRODUCTIVITY RAW'!K$2,RESOURCES!$C$3:$L$3,0),FALSE),"-")</f>
        <v>Expert</v>
      </c>
      <c r="L73" s="21">
        <f t="shared" si="10"/>
        <v>89.950000000000031</v>
      </c>
      <c r="M73" s="21">
        <f t="shared" si="11"/>
        <v>105</v>
      </c>
      <c r="N73" s="21">
        <f t="shared" si="13"/>
        <v>14</v>
      </c>
      <c r="O73" s="86">
        <f t="shared" si="14"/>
        <v>6.4250000000000025</v>
      </c>
      <c r="P73" s="86">
        <f>IFERROR(VLOOKUP($D73,KPI!$V:$AN,2,FALSE),"-")</f>
        <v>8</v>
      </c>
      <c r="Q73" s="32">
        <f t="shared" si="15"/>
        <v>0.80312500000000031</v>
      </c>
      <c r="R73" s="185">
        <f t="shared" si="16"/>
        <v>112</v>
      </c>
      <c r="S73" s="89" t="str">
        <f t="shared" si="17"/>
        <v>Web Designer</v>
      </c>
      <c r="AG73" s="664">
        <v>71</v>
      </c>
      <c r="AH73" s="664">
        <v>10071358</v>
      </c>
      <c r="AI73" s="664" t="s">
        <v>171</v>
      </c>
      <c r="AJ73" s="92" t="s">
        <v>83</v>
      </c>
      <c r="AK73" s="92" t="s">
        <v>169</v>
      </c>
      <c r="AL73" s="92" t="s">
        <v>170</v>
      </c>
      <c r="AM73" s="92" t="s">
        <v>85</v>
      </c>
      <c r="AN73" s="92" t="s">
        <v>86</v>
      </c>
      <c r="AO73" s="157">
        <v>89.950000000000031</v>
      </c>
      <c r="AP73" s="157">
        <v>105</v>
      </c>
      <c r="AQ73" s="571">
        <v>0</v>
      </c>
      <c r="AS73" s="664">
        <f t="shared" si="19"/>
        <v>71</v>
      </c>
      <c r="AT73" s="664"/>
      <c r="AU73" s="664"/>
      <c r="AV73" s="92" t="str">
        <f>IFERROR(VLOOKUP($AT73,RESOURCES!$C:$L,MATCH('PRODUCTIVITY RAW'!AV$2,RESOURCES!$C$3:$L$3,0),FALSE),"-")</f>
        <v>-</v>
      </c>
      <c r="AW73" s="92" t="str">
        <f>IFERROR(VLOOKUP($AT73,RESOURCES!$C:$L,MATCH('PRODUCTIVITY RAW'!AW$2,RESOURCES!$C$3:$L$3,0),FALSE),"-")</f>
        <v>-</v>
      </c>
      <c r="AX73" s="92" t="str">
        <f>IFERROR(VLOOKUP($AT73,RESOURCES!$C:$L,MATCH('PRODUCTIVITY RAW'!AX$2,RESOURCES!$C$3:$L$3,0),FALSE),"-")</f>
        <v>-</v>
      </c>
      <c r="AY73" s="92" t="str">
        <f>IFERROR(VLOOKUP($AT73,RESOURCES!$C:$L,MATCH('PRODUCTIVITY RAW'!AY$2,RESOURCES!$C$3:$L$3,0),FALSE),"-")</f>
        <v>-</v>
      </c>
      <c r="AZ73" s="92" t="str">
        <f>IFERROR(VLOOKUP($AT73,RESOURCES!$C:$L,MATCH('PRODUCTIVITY RAW'!AZ$2,RESOURCES!$C$3:$L$3,0),FALSE),"-")</f>
        <v>-</v>
      </c>
      <c r="BA73" s="20"/>
    </row>
    <row r="74" spans="1:53">
      <c r="A74" s="664">
        <f t="shared" si="18"/>
        <v>72</v>
      </c>
      <c r="B74" s="466">
        <f t="shared" si="12"/>
        <v>10071910</v>
      </c>
      <c r="C74" s="92" t="str">
        <f>IFERROR(VLOOKUP($B74,RESOURCES!$C:$L,MATCH('PRODUCTIVITY RAW'!C$2,RESOURCES!$C$3:$L$3,0),FALSE),"-")</f>
        <v>BELTRAN, SHAIRA S.</v>
      </c>
      <c r="D74" s="92" t="str">
        <f>IFERROR(VLOOKUP($B74,RESOURCES!$C:$L,MATCH('PRODUCTIVITY RAW'!D$2,RESOURCES!$C$3:$L$3,0),FALSE),"-")</f>
        <v>Web Designer</v>
      </c>
      <c r="E74" s="92" t="str">
        <f>IFERROR(VLOOKUP($B74,RESOURCES!$C:$L,MATCH('PRODUCTIVITY RAW'!E$2,RESOURCES!$C$3:$L$3,0),FALSE),"-")</f>
        <v>FLORES, Emmanuel</v>
      </c>
      <c r="F74" s="92" t="str">
        <f>IFERROR(VLOOKUP($B74,RESOURCES!$C:$L,MATCH('PRODUCTIVITY RAW'!F$2,RESOURCES!$C$3:$L$3,0),FALSE),"-")</f>
        <v>TAGUILASO, Daryl</v>
      </c>
      <c r="G74" s="92" t="str">
        <f>IFERROR(VLOOKUP($B74,RESOURCES!$C:$L,MATCH('PRODUCTIVITY RAW'!G$2,RESOURCES!$C$3:$L$3,0),FALSE),"-")</f>
        <v>MENDOZA, Carlo</v>
      </c>
      <c r="H74" s="92" t="str">
        <f>IFERROR(VLOOKUP($B74,RESOURCES!$C:$L,MATCH('PRODUCTIVITY RAW'!H$2,RESOURCES!$C$3:$L$3,0),FALSE),"-")</f>
        <v>Ventanilla, Mike</v>
      </c>
      <c r="I74" s="8"/>
      <c r="J74" s="8"/>
      <c r="K74" s="9" t="str">
        <f>IFERROR(VLOOKUP($B74,RESOURCES!$C:$L,MATCH('PRODUCTIVITY RAW'!K$2,RESOURCES!$C$3:$L$3,0),FALSE),"-")</f>
        <v>Expert</v>
      </c>
      <c r="L74" s="21">
        <f t="shared" si="10"/>
        <v>123.00999999999996</v>
      </c>
      <c r="M74" s="21">
        <f t="shared" si="11"/>
        <v>97.5</v>
      </c>
      <c r="N74" s="21">
        <f t="shared" si="13"/>
        <v>13</v>
      </c>
      <c r="O74" s="86">
        <f t="shared" si="14"/>
        <v>9.4623076923076894</v>
      </c>
      <c r="P74" s="86">
        <f>IFERROR(VLOOKUP($D74,KPI!$V:$AN,2,FALSE),"-")</f>
        <v>8</v>
      </c>
      <c r="Q74" s="32">
        <f t="shared" si="15"/>
        <v>1</v>
      </c>
      <c r="R74" s="185">
        <f t="shared" si="16"/>
        <v>104</v>
      </c>
      <c r="S74" s="89" t="str">
        <f t="shared" si="17"/>
        <v>Web Designer</v>
      </c>
      <c r="AG74" s="664">
        <v>72</v>
      </c>
      <c r="AH74" s="664">
        <v>10071910</v>
      </c>
      <c r="AI74" s="664" t="s">
        <v>172</v>
      </c>
      <c r="AJ74" s="92" t="s">
        <v>83</v>
      </c>
      <c r="AK74" s="92" t="s">
        <v>169</v>
      </c>
      <c r="AL74" s="92" t="s">
        <v>170</v>
      </c>
      <c r="AM74" s="92" t="s">
        <v>85</v>
      </c>
      <c r="AN74" s="92" t="s">
        <v>86</v>
      </c>
      <c r="AO74" s="157">
        <v>123.00999999999996</v>
      </c>
      <c r="AP74" s="157">
        <v>97.5</v>
      </c>
      <c r="AQ74" s="571">
        <v>0</v>
      </c>
      <c r="AS74" s="664">
        <f t="shared" si="19"/>
        <v>72</v>
      </c>
      <c r="AT74" s="664"/>
      <c r="AU74" s="664"/>
      <c r="AV74" s="92" t="str">
        <f>IFERROR(VLOOKUP($AT74,RESOURCES!$C:$L,MATCH('PRODUCTIVITY RAW'!AV$2,RESOURCES!$C$3:$L$3,0),FALSE),"-")</f>
        <v>-</v>
      </c>
      <c r="AW74" s="92" t="str">
        <f>IFERROR(VLOOKUP($AT74,RESOURCES!$C:$L,MATCH('PRODUCTIVITY RAW'!AW$2,RESOURCES!$C$3:$L$3,0),FALSE),"-")</f>
        <v>-</v>
      </c>
      <c r="AX74" s="92" t="str">
        <f>IFERROR(VLOOKUP($AT74,RESOURCES!$C:$L,MATCH('PRODUCTIVITY RAW'!AX$2,RESOURCES!$C$3:$L$3,0),FALSE),"-")</f>
        <v>-</v>
      </c>
      <c r="AY74" s="92" t="str">
        <f>IFERROR(VLOOKUP($AT74,RESOURCES!$C:$L,MATCH('PRODUCTIVITY RAW'!AY$2,RESOURCES!$C$3:$L$3,0),FALSE),"-")</f>
        <v>-</v>
      </c>
      <c r="AZ74" s="92" t="str">
        <f>IFERROR(VLOOKUP($AT74,RESOURCES!$C:$L,MATCH('PRODUCTIVITY RAW'!AZ$2,RESOURCES!$C$3:$L$3,0),FALSE),"-")</f>
        <v>-</v>
      </c>
      <c r="BA74" s="20"/>
    </row>
    <row r="75" spans="1:53">
      <c r="A75" s="664">
        <f t="shared" si="18"/>
        <v>73</v>
      </c>
      <c r="B75" s="466">
        <f t="shared" si="12"/>
        <v>10071433</v>
      </c>
      <c r="C75" s="92" t="str">
        <f>IFERROR(VLOOKUP($B75,RESOURCES!$C:$L,MATCH('PRODUCTIVITY RAW'!C$2,RESOURCES!$C$3:$L$3,0),FALSE),"-")</f>
        <v>CARAIG, ROLANDO N., JR.</v>
      </c>
      <c r="D75" s="92" t="str">
        <f>IFERROR(VLOOKUP($B75,RESOURCES!$C:$L,MATCH('PRODUCTIVITY RAW'!D$2,RESOURCES!$C$3:$L$3,0),FALSE),"-")</f>
        <v>Web Designer</v>
      </c>
      <c r="E75" s="92" t="str">
        <f>IFERROR(VLOOKUP($B75,RESOURCES!$C:$L,MATCH('PRODUCTIVITY RAW'!E$2,RESOURCES!$C$3:$L$3,0),FALSE),"-")</f>
        <v>FLORES, Emmanuel</v>
      </c>
      <c r="F75" s="92" t="str">
        <f>IFERROR(VLOOKUP($B75,RESOURCES!$C:$L,MATCH('PRODUCTIVITY RAW'!F$2,RESOURCES!$C$3:$L$3,0),FALSE),"-")</f>
        <v>TAGUILASO, Daryl</v>
      </c>
      <c r="G75" s="92" t="str">
        <f>IFERROR(VLOOKUP($B75,RESOURCES!$C:$L,MATCH('PRODUCTIVITY RAW'!G$2,RESOURCES!$C$3:$L$3,0),FALSE),"-")</f>
        <v>MENDOZA, Carlo</v>
      </c>
      <c r="H75" s="92" t="str">
        <f>IFERROR(VLOOKUP($B75,RESOURCES!$C:$L,MATCH('PRODUCTIVITY RAW'!H$2,RESOURCES!$C$3:$L$3,0),FALSE),"-")</f>
        <v>Ventanilla, Mike</v>
      </c>
      <c r="I75" s="8"/>
      <c r="J75" s="8"/>
      <c r="K75" s="9" t="str">
        <f>IFERROR(VLOOKUP($B75,RESOURCES!$C:$L,MATCH('PRODUCTIVITY RAW'!K$2,RESOURCES!$C$3:$L$3,0),FALSE),"-")</f>
        <v>Expert</v>
      </c>
      <c r="L75" s="21">
        <f t="shared" si="10"/>
        <v>103.45000000000005</v>
      </c>
      <c r="M75" s="21">
        <f t="shared" si="11"/>
        <v>105</v>
      </c>
      <c r="N75" s="21">
        <f t="shared" si="13"/>
        <v>14</v>
      </c>
      <c r="O75" s="86">
        <f t="shared" si="14"/>
        <v>7.3892857142857178</v>
      </c>
      <c r="P75" s="86">
        <f>IFERROR(VLOOKUP($D75,KPI!$V:$AN,2,FALSE),"-")</f>
        <v>8</v>
      </c>
      <c r="Q75" s="32">
        <f t="shared" si="15"/>
        <v>0.92421083978558705</v>
      </c>
      <c r="R75" s="185">
        <f t="shared" si="16"/>
        <v>111.93333333333334</v>
      </c>
      <c r="S75" s="89" t="str">
        <f t="shared" si="17"/>
        <v>Web Designer</v>
      </c>
      <c r="AG75" s="664">
        <v>73</v>
      </c>
      <c r="AH75" s="664">
        <v>10071433</v>
      </c>
      <c r="AI75" s="664" t="s">
        <v>173</v>
      </c>
      <c r="AJ75" s="92" t="s">
        <v>83</v>
      </c>
      <c r="AK75" s="92" t="s">
        <v>169</v>
      </c>
      <c r="AL75" s="92" t="s">
        <v>170</v>
      </c>
      <c r="AM75" s="92" t="s">
        <v>85</v>
      </c>
      <c r="AN75" s="92" t="s">
        <v>86</v>
      </c>
      <c r="AO75" s="157">
        <v>103.45000000000005</v>
      </c>
      <c r="AP75" s="157">
        <v>105</v>
      </c>
      <c r="AQ75" s="571">
        <v>6.6666666666666666E-2</v>
      </c>
      <c r="AS75" s="664">
        <f t="shared" si="19"/>
        <v>73</v>
      </c>
      <c r="AT75" s="664"/>
      <c r="AU75" s="664"/>
      <c r="AV75" s="92" t="str">
        <f>IFERROR(VLOOKUP($AT75,RESOURCES!$C:$L,MATCH('PRODUCTIVITY RAW'!AV$2,RESOURCES!$C$3:$L$3,0),FALSE),"-")</f>
        <v>-</v>
      </c>
      <c r="AW75" s="92" t="str">
        <f>IFERROR(VLOOKUP($AT75,RESOURCES!$C:$L,MATCH('PRODUCTIVITY RAW'!AW$2,RESOURCES!$C$3:$L$3,0),FALSE),"-")</f>
        <v>-</v>
      </c>
      <c r="AX75" s="92" t="str">
        <f>IFERROR(VLOOKUP($AT75,RESOURCES!$C:$L,MATCH('PRODUCTIVITY RAW'!AX$2,RESOURCES!$C$3:$L$3,0),FALSE),"-")</f>
        <v>-</v>
      </c>
      <c r="AY75" s="92" t="str">
        <f>IFERROR(VLOOKUP($AT75,RESOURCES!$C:$L,MATCH('PRODUCTIVITY RAW'!AY$2,RESOURCES!$C$3:$L$3,0),FALSE),"-")</f>
        <v>-</v>
      </c>
      <c r="AZ75" s="92" t="str">
        <f>IFERROR(VLOOKUP($AT75,RESOURCES!$C:$L,MATCH('PRODUCTIVITY RAW'!AZ$2,RESOURCES!$C$3:$L$3,0),FALSE),"-")</f>
        <v>-</v>
      </c>
      <c r="BA75" s="20"/>
    </row>
    <row r="76" spans="1:53">
      <c r="A76" s="664">
        <f t="shared" si="18"/>
        <v>74</v>
      </c>
      <c r="B76" s="466">
        <f t="shared" si="12"/>
        <v>10072437</v>
      </c>
      <c r="C76" s="92" t="str">
        <f>IFERROR(VLOOKUP($B76,RESOURCES!$C:$L,MATCH('PRODUCTIVITY RAW'!C$2,RESOURCES!$C$3:$L$3,0),FALSE),"-")</f>
        <v>CRUZ, ROWEL G.</v>
      </c>
      <c r="D76" s="92" t="str">
        <f>IFERROR(VLOOKUP($B76,RESOURCES!$C:$L,MATCH('PRODUCTIVITY RAW'!D$2,RESOURCES!$C$3:$L$3,0),FALSE),"-")</f>
        <v>Web Designer</v>
      </c>
      <c r="E76" s="92" t="str">
        <f>IFERROR(VLOOKUP($B76,RESOURCES!$C:$L,MATCH('PRODUCTIVITY RAW'!E$2,RESOURCES!$C$3:$L$3,0),FALSE),"-")</f>
        <v>FLORES, Emmanuel</v>
      </c>
      <c r="F76" s="92" t="str">
        <f>IFERROR(VLOOKUP($B76,RESOURCES!$C:$L,MATCH('PRODUCTIVITY RAW'!F$2,RESOURCES!$C$3:$L$3,0),FALSE),"-")</f>
        <v>TAGUILASO, Daryl</v>
      </c>
      <c r="G76" s="92" t="str">
        <f>IFERROR(VLOOKUP($B76,RESOURCES!$C:$L,MATCH('PRODUCTIVITY RAW'!G$2,RESOURCES!$C$3:$L$3,0),FALSE),"-")</f>
        <v>MENDOZA, Carlo</v>
      </c>
      <c r="H76" s="92" t="str">
        <f>IFERROR(VLOOKUP($B76,RESOURCES!$C:$L,MATCH('PRODUCTIVITY RAW'!H$2,RESOURCES!$C$3:$L$3,0),FALSE),"-")</f>
        <v>Ventanilla, Mike</v>
      </c>
      <c r="I76" s="8"/>
      <c r="J76" s="8"/>
      <c r="K76" s="9" t="str">
        <f>IFERROR(VLOOKUP($B76,RESOURCES!$C:$L,MATCH('PRODUCTIVITY RAW'!K$2,RESOURCES!$C$3:$L$3,0),FALSE),"-")</f>
        <v>Expert</v>
      </c>
      <c r="L76" s="21">
        <f t="shared" si="10"/>
        <v>168.63000000000002</v>
      </c>
      <c r="M76" s="21">
        <f t="shared" si="11"/>
        <v>127.5</v>
      </c>
      <c r="N76" s="21">
        <f t="shared" si="13"/>
        <v>17</v>
      </c>
      <c r="O76" s="86">
        <f t="shared" si="14"/>
        <v>9.9194117647058846</v>
      </c>
      <c r="P76" s="86">
        <f>IFERROR(VLOOKUP($D76,KPI!$V:$AN,2,FALSE),"-")</f>
        <v>8</v>
      </c>
      <c r="Q76" s="32">
        <f t="shared" si="15"/>
        <v>1</v>
      </c>
      <c r="R76" s="185">
        <f t="shared" si="16"/>
        <v>136</v>
      </c>
      <c r="S76" s="89" t="str">
        <f t="shared" si="17"/>
        <v>Web Designer</v>
      </c>
      <c r="AG76" s="664">
        <v>74</v>
      </c>
      <c r="AH76" s="664">
        <v>10072437</v>
      </c>
      <c r="AI76" s="664" t="s">
        <v>174</v>
      </c>
      <c r="AJ76" s="92" t="s">
        <v>83</v>
      </c>
      <c r="AK76" s="92" t="s">
        <v>169</v>
      </c>
      <c r="AL76" s="92" t="s">
        <v>170</v>
      </c>
      <c r="AM76" s="92" t="s">
        <v>85</v>
      </c>
      <c r="AN76" s="92" t="s">
        <v>86</v>
      </c>
      <c r="AO76" s="157">
        <v>168.63000000000002</v>
      </c>
      <c r="AP76" s="157">
        <v>127.5</v>
      </c>
      <c r="AQ76" s="571">
        <v>0</v>
      </c>
      <c r="AS76" s="664">
        <f t="shared" si="19"/>
        <v>74</v>
      </c>
      <c r="AT76" s="664"/>
      <c r="AU76" s="664"/>
      <c r="AV76" s="92" t="str">
        <f>IFERROR(VLOOKUP($AT76,RESOURCES!$C:$L,MATCH('PRODUCTIVITY RAW'!AV$2,RESOURCES!$C$3:$L$3,0),FALSE),"-")</f>
        <v>-</v>
      </c>
      <c r="AW76" s="92" t="str">
        <f>IFERROR(VLOOKUP($AT76,RESOURCES!$C:$L,MATCH('PRODUCTIVITY RAW'!AW$2,RESOURCES!$C$3:$L$3,0),FALSE),"-")</f>
        <v>-</v>
      </c>
      <c r="AX76" s="92" t="str">
        <f>IFERROR(VLOOKUP($AT76,RESOURCES!$C:$L,MATCH('PRODUCTIVITY RAW'!AX$2,RESOURCES!$C$3:$L$3,0),FALSE),"-")</f>
        <v>-</v>
      </c>
      <c r="AY76" s="92" t="str">
        <f>IFERROR(VLOOKUP($AT76,RESOURCES!$C:$L,MATCH('PRODUCTIVITY RAW'!AY$2,RESOURCES!$C$3:$L$3,0),FALSE),"-")</f>
        <v>-</v>
      </c>
      <c r="AZ76" s="92" t="str">
        <f>IFERROR(VLOOKUP($AT76,RESOURCES!$C:$L,MATCH('PRODUCTIVITY RAW'!AZ$2,RESOURCES!$C$3:$L$3,0),FALSE),"-")</f>
        <v>-</v>
      </c>
      <c r="BA76" s="20"/>
    </row>
    <row r="77" spans="1:53">
      <c r="A77" s="664">
        <f t="shared" si="18"/>
        <v>75</v>
      </c>
      <c r="B77" s="466">
        <f t="shared" si="12"/>
        <v>10072453</v>
      </c>
      <c r="C77" s="92" t="str">
        <f>IFERROR(VLOOKUP($B77,RESOURCES!$C:$L,MATCH('PRODUCTIVITY RAW'!C$2,RESOURCES!$C$3:$L$3,0),FALSE),"-")</f>
        <v>HONRADO, RHEA L.</v>
      </c>
      <c r="D77" s="92" t="str">
        <f>IFERROR(VLOOKUP($B77,RESOURCES!$C:$L,MATCH('PRODUCTIVITY RAW'!D$2,RESOURCES!$C$3:$L$3,0),FALSE),"-")</f>
        <v>Web Designer</v>
      </c>
      <c r="E77" s="92" t="str">
        <f>IFERROR(VLOOKUP($B77,RESOURCES!$C:$L,MATCH('PRODUCTIVITY RAW'!E$2,RESOURCES!$C$3:$L$3,0),FALSE),"-")</f>
        <v>FLORES, Emmanuel</v>
      </c>
      <c r="F77" s="92" t="str">
        <f>IFERROR(VLOOKUP($B77,RESOURCES!$C:$L,MATCH('PRODUCTIVITY RAW'!F$2,RESOURCES!$C$3:$L$3,0),FALSE),"-")</f>
        <v>TAGUILASO, Daryl</v>
      </c>
      <c r="G77" s="92" t="str">
        <f>IFERROR(VLOOKUP($B77,RESOURCES!$C:$L,MATCH('PRODUCTIVITY RAW'!G$2,RESOURCES!$C$3:$L$3,0),FALSE),"-")</f>
        <v>MENDOZA, Carlo</v>
      </c>
      <c r="H77" s="92" t="str">
        <f>IFERROR(VLOOKUP($B77,RESOURCES!$C:$L,MATCH('PRODUCTIVITY RAW'!H$2,RESOURCES!$C$3:$L$3,0),FALSE),"-")</f>
        <v>Ventanilla, Mike</v>
      </c>
      <c r="I77" s="8"/>
      <c r="J77" s="8"/>
      <c r="K77" s="9" t="str">
        <f>IFERROR(VLOOKUP($B77,RESOURCES!$C:$L,MATCH('PRODUCTIVITY RAW'!K$2,RESOURCES!$C$3:$L$3,0),FALSE),"-")</f>
        <v>Beginner</v>
      </c>
      <c r="L77" s="21">
        <f t="shared" si="10"/>
        <v>161.69000000000005</v>
      </c>
      <c r="M77" s="21">
        <f t="shared" si="11"/>
        <v>135</v>
      </c>
      <c r="N77" s="21">
        <f t="shared" si="13"/>
        <v>18</v>
      </c>
      <c r="O77" s="86">
        <f t="shared" si="14"/>
        <v>8.9827777777777804</v>
      </c>
      <c r="P77" s="86">
        <f>IFERROR(VLOOKUP($D77,KPI!$V:$AN,2,FALSE),"-")</f>
        <v>8</v>
      </c>
      <c r="Q77" s="32">
        <f t="shared" si="15"/>
        <v>1</v>
      </c>
      <c r="R77" s="185">
        <f t="shared" si="16"/>
        <v>143.93333333333334</v>
      </c>
      <c r="S77" s="89" t="str">
        <f t="shared" si="17"/>
        <v>Web Designer</v>
      </c>
      <c r="AG77" s="664">
        <v>75</v>
      </c>
      <c r="AH77" s="664">
        <v>10072453</v>
      </c>
      <c r="AI77" s="664" t="s">
        <v>175</v>
      </c>
      <c r="AJ77" s="92" t="s">
        <v>83</v>
      </c>
      <c r="AK77" s="92" t="s">
        <v>169</v>
      </c>
      <c r="AL77" s="92" t="s">
        <v>170</v>
      </c>
      <c r="AM77" s="92" t="s">
        <v>85</v>
      </c>
      <c r="AN77" s="92" t="s">
        <v>86</v>
      </c>
      <c r="AO77" s="157">
        <v>161.69000000000005</v>
      </c>
      <c r="AP77" s="157">
        <v>135</v>
      </c>
      <c r="AQ77" s="571">
        <v>6.6666666666666666E-2</v>
      </c>
      <c r="AS77" s="664">
        <f t="shared" si="19"/>
        <v>75</v>
      </c>
      <c r="AT77" s="664"/>
      <c r="AU77" s="664"/>
      <c r="AV77" s="92" t="str">
        <f>IFERROR(VLOOKUP($AT77,RESOURCES!$C:$L,MATCH('PRODUCTIVITY RAW'!AV$2,RESOURCES!$C$3:$L$3,0),FALSE),"-")</f>
        <v>-</v>
      </c>
      <c r="AW77" s="92" t="str">
        <f>IFERROR(VLOOKUP($AT77,RESOURCES!$C:$L,MATCH('PRODUCTIVITY RAW'!AW$2,RESOURCES!$C$3:$L$3,0),FALSE),"-")</f>
        <v>-</v>
      </c>
      <c r="AX77" s="92" t="str">
        <f>IFERROR(VLOOKUP($AT77,RESOURCES!$C:$L,MATCH('PRODUCTIVITY RAW'!AX$2,RESOURCES!$C$3:$L$3,0),FALSE),"-")</f>
        <v>-</v>
      </c>
      <c r="AY77" s="92" t="str">
        <f>IFERROR(VLOOKUP($AT77,RESOURCES!$C:$L,MATCH('PRODUCTIVITY RAW'!AY$2,RESOURCES!$C$3:$L$3,0),FALSE),"-")</f>
        <v>-</v>
      </c>
      <c r="AZ77" s="92" t="str">
        <f>IFERROR(VLOOKUP($AT77,RESOURCES!$C:$L,MATCH('PRODUCTIVITY RAW'!AZ$2,RESOURCES!$C$3:$L$3,0),FALSE),"-")</f>
        <v>-</v>
      </c>
      <c r="BA77" s="20"/>
    </row>
    <row r="78" spans="1:53">
      <c r="A78" s="664">
        <f t="shared" si="18"/>
        <v>76</v>
      </c>
      <c r="B78" s="466">
        <f t="shared" si="12"/>
        <v>10071603</v>
      </c>
      <c r="C78" s="92" t="str">
        <f>IFERROR(VLOOKUP($B78,RESOURCES!$C:$L,MATCH('PRODUCTIVITY RAW'!C$2,RESOURCES!$C$3:$L$3,0),FALSE),"-")</f>
        <v>MERCADO, ROSEANN G.</v>
      </c>
      <c r="D78" s="92" t="str">
        <f>IFERROR(VLOOKUP($B78,RESOURCES!$C:$L,MATCH('PRODUCTIVITY RAW'!D$2,RESOURCES!$C$3:$L$3,0),FALSE),"-")</f>
        <v>DBA</v>
      </c>
      <c r="E78" s="92" t="str">
        <f>IFERROR(VLOOKUP($B78,RESOURCES!$C:$L,MATCH('PRODUCTIVITY RAW'!E$2,RESOURCES!$C$3:$L$3,0),FALSE),"-")</f>
        <v>FLORES, Emmanuel</v>
      </c>
      <c r="F78" s="92" t="str">
        <f>IFERROR(VLOOKUP($B78,RESOURCES!$C:$L,MATCH('PRODUCTIVITY RAW'!F$2,RESOURCES!$C$3:$L$3,0),FALSE),"-")</f>
        <v>TAGUILASO, Daryl</v>
      </c>
      <c r="G78" s="92" t="str">
        <f>IFERROR(VLOOKUP($B78,RESOURCES!$C:$L,MATCH('PRODUCTIVITY RAW'!G$2,RESOURCES!$C$3:$L$3,0),FALSE),"-")</f>
        <v>MENDOZA, Carlo</v>
      </c>
      <c r="H78" s="92" t="str">
        <f>IFERROR(VLOOKUP($B78,RESOURCES!$C:$L,MATCH('PRODUCTIVITY RAW'!H$2,RESOURCES!$C$3:$L$3,0),FALSE),"-")</f>
        <v>Ventanilla, Mike</v>
      </c>
      <c r="I78" s="8"/>
      <c r="J78" s="8"/>
      <c r="K78" s="9" t="str">
        <f>IFERROR(VLOOKUP($B78,RESOURCES!$C:$L,MATCH('PRODUCTIVITY RAW'!K$2,RESOURCES!$C$3:$L$3,0),FALSE),"-")</f>
        <v>Expert</v>
      </c>
      <c r="L78" s="21">
        <f t="shared" si="10"/>
        <v>26.39999999999997</v>
      </c>
      <c r="M78" s="21">
        <f t="shared" si="11"/>
        <v>127.5</v>
      </c>
      <c r="N78" s="21">
        <f t="shared" si="13"/>
        <v>17</v>
      </c>
      <c r="O78" s="86">
        <f t="shared" si="14"/>
        <v>1.5529411764705865</v>
      </c>
      <c r="P78" s="86">
        <f>IFERROR(VLOOKUP($D78,KPI!$V:$AN,2,FALSE),"-")</f>
        <v>1.92</v>
      </c>
      <c r="Q78" s="32">
        <f t="shared" si="15"/>
        <v>0.80882352941176383</v>
      </c>
      <c r="R78" s="185">
        <f t="shared" si="16"/>
        <v>32.64</v>
      </c>
      <c r="S78" s="89" t="str">
        <f t="shared" si="17"/>
        <v>DBA</v>
      </c>
      <c r="AG78" s="664">
        <v>76</v>
      </c>
      <c r="AH78" s="664">
        <v>10071603</v>
      </c>
      <c r="AI78" s="664" t="s">
        <v>176</v>
      </c>
      <c r="AJ78" s="92" t="s">
        <v>177</v>
      </c>
      <c r="AK78" s="92" t="s">
        <v>169</v>
      </c>
      <c r="AL78" s="92" t="s">
        <v>170</v>
      </c>
      <c r="AM78" s="92" t="s">
        <v>85</v>
      </c>
      <c r="AN78" s="92" t="s">
        <v>86</v>
      </c>
      <c r="AO78" s="157">
        <v>26.39999999999997</v>
      </c>
      <c r="AP78" s="157">
        <v>127.5</v>
      </c>
      <c r="AQ78" s="571">
        <v>0</v>
      </c>
      <c r="AS78" s="664">
        <f t="shared" si="19"/>
        <v>76</v>
      </c>
      <c r="AT78" s="664"/>
      <c r="AU78" s="664"/>
      <c r="AV78" s="92" t="str">
        <f>IFERROR(VLOOKUP($AT78,RESOURCES!$C:$L,MATCH('PRODUCTIVITY RAW'!AV$2,RESOURCES!$C$3:$L$3,0),FALSE),"-")</f>
        <v>-</v>
      </c>
      <c r="AW78" s="92" t="str">
        <f>IFERROR(VLOOKUP($AT78,RESOURCES!$C:$L,MATCH('PRODUCTIVITY RAW'!AW$2,RESOURCES!$C$3:$L$3,0),FALSE),"-")</f>
        <v>-</v>
      </c>
      <c r="AX78" s="92" t="str">
        <f>IFERROR(VLOOKUP($AT78,RESOURCES!$C:$L,MATCH('PRODUCTIVITY RAW'!AX$2,RESOURCES!$C$3:$L$3,0),FALSE),"-")</f>
        <v>-</v>
      </c>
      <c r="AY78" s="92" t="str">
        <f>IFERROR(VLOOKUP($AT78,RESOURCES!$C:$L,MATCH('PRODUCTIVITY RAW'!AY$2,RESOURCES!$C$3:$L$3,0),FALSE),"-")</f>
        <v>-</v>
      </c>
      <c r="AZ78" s="92" t="str">
        <f>IFERROR(VLOOKUP($AT78,RESOURCES!$C:$L,MATCH('PRODUCTIVITY RAW'!AZ$2,RESOURCES!$C$3:$L$3,0),FALSE),"-")</f>
        <v>-</v>
      </c>
      <c r="BA78" s="20"/>
    </row>
    <row r="79" spans="1:53">
      <c r="A79" s="664">
        <f t="shared" si="18"/>
        <v>77</v>
      </c>
      <c r="B79" s="466">
        <f t="shared" si="12"/>
        <v>10071268</v>
      </c>
      <c r="C79" s="92" t="str">
        <f>IFERROR(VLOOKUP($B79,RESOURCES!$C:$L,MATCH('PRODUCTIVITY RAW'!C$2,RESOURCES!$C$3:$L$3,0),FALSE),"-")</f>
        <v>OCENAR, PAULINE SIENNE M.</v>
      </c>
      <c r="D79" s="92" t="str">
        <f>IFERROR(VLOOKUP($B79,RESOURCES!$C:$L,MATCH('PRODUCTIVITY RAW'!D$2,RESOURCES!$C$3:$L$3,0),FALSE),"-")</f>
        <v>Web Designer</v>
      </c>
      <c r="E79" s="92" t="str">
        <f>IFERROR(VLOOKUP($B79,RESOURCES!$C:$L,MATCH('PRODUCTIVITY RAW'!E$2,RESOURCES!$C$3:$L$3,0),FALSE),"-")</f>
        <v>FLORES, Emmanuel</v>
      </c>
      <c r="F79" s="92" t="str">
        <f>IFERROR(VLOOKUP($B79,RESOURCES!$C:$L,MATCH('PRODUCTIVITY RAW'!F$2,RESOURCES!$C$3:$L$3,0),FALSE),"-")</f>
        <v>TAGUILASO, Daryl</v>
      </c>
      <c r="G79" s="92" t="str">
        <f>IFERROR(VLOOKUP($B79,RESOURCES!$C:$L,MATCH('PRODUCTIVITY RAW'!G$2,RESOURCES!$C$3:$L$3,0),FALSE),"-")</f>
        <v>MENDOZA, Carlo</v>
      </c>
      <c r="H79" s="92" t="str">
        <f>IFERROR(VLOOKUP($B79,RESOURCES!$C:$L,MATCH('PRODUCTIVITY RAW'!H$2,RESOURCES!$C$3:$L$3,0),FALSE),"-")</f>
        <v>Ventanilla, Mike</v>
      </c>
      <c r="I79" s="8"/>
      <c r="J79" s="8"/>
      <c r="K79" s="9" t="str">
        <f>IFERROR(VLOOKUP($B79,RESOURCES!$C:$L,MATCH('PRODUCTIVITY RAW'!K$2,RESOURCES!$C$3:$L$3,0),FALSE),"-")</f>
        <v>Expert</v>
      </c>
      <c r="L79" s="21">
        <f t="shared" si="10"/>
        <v>131.87</v>
      </c>
      <c r="M79" s="21">
        <f t="shared" si="11"/>
        <v>97.5</v>
      </c>
      <c r="N79" s="21">
        <f t="shared" si="13"/>
        <v>13</v>
      </c>
      <c r="O79" s="86">
        <f t="shared" si="14"/>
        <v>10.143846153846154</v>
      </c>
      <c r="P79" s="86">
        <f>IFERROR(VLOOKUP($D79,KPI!$V:$AN,2,FALSE),"-")</f>
        <v>8</v>
      </c>
      <c r="Q79" s="32">
        <f t="shared" si="15"/>
        <v>1</v>
      </c>
      <c r="R79" s="185">
        <f t="shared" si="16"/>
        <v>104</v>
      </c>
      <c r="S79" s="89" t="str">
        <f t="shared" si="17"/>
        <v>Web Designer</v>
      </c>
      <c r="AG79" s="664">
        <v>77</v>
      </c>
      <c r="AH79" s="664">
        <v>10071268</v>
      </c>
      <c r="AI79" s="664" t="s">
        <v>178</v>
      </c>
      <c r="AJ79" s="92" t="s">
        <v>83</v>
      </c>
      <c r="AK79" s="92" t="s">
        <v>169</v>
      </c>
      <c r="AL79" s="92" t="s">
        <v>170</v>
      </c>
      <c r="AM79" s="92" t="s">
        <v>85</v>
      </c>
      <c r="AN79" s="92" t="s">
        <v>86</v>
      </c>
      <c r="AO79" s="157">
        <v>131.87</v>
      </c>
      <c r="AP79" s="157">
        <v>97.5</v>
      </c>
      <c r="AQ79" s="571">
        <v>0</v>
      </c>
      <c r="AS79" s="664">
        <f t="shared" si="19"/>
        <v>77</v>
      </c>
      <c r="AT79" s="664"/>
      <c r="AU79" s="664"/>
      <c r="AV79" s="92" t="str">
        <f>IFERROR(VLOOKUP($AT79,RESOURCES!$C:$L,MATCH('PRODUCTIVITY RAW'!AV$2,RESOURCES!$C$3:$L$3,0),FALSE),"-")</f>
        <v>-</v>
      </c>
      <c r="AW79" s="92" t="str">
        <f>IFERROR(VLOOKUP($AT79,RESOURCES!$C:$L,MATCH('PRODUCTIVITY RAW'!AW$2,RESOURCES!$C$3:$L$3,0),FALSE),"-")</f>
        <v>-</v>
      </c>
      <c r="AX79" s="92" t="str">
        <f>IFERROR(VLOOKUP($AT79,RESOURCES!$C:$L,MATCH('PRODUCTIVITY RAW'!AX$2,RESOURCES!$C$3:$L$3,0),FALSE),"-")</f>
        <v>-</v>
      </c>
      <c r="AY79" s="92" t="str">
        <f>IFERROR(VLOOKUP($AT79,RESOURCES!$C:$L,MATCH('PRODUCTIVITY RAW'!AY$2,RESOURCES!$C$3:$L$3,0),FALSE),"-")</f>
        <v>-</v>
      </c>
      <c r="AZ79" s="92" t="str">
        <f>IFERROR(VLOOKUP($AT79,RESOURCES!$C:$L,MATCH('PRODUCTIVITY RAW'!AZ$2,RESOURCES!$C$3:$L$3,0),FALSE),"-")</f>
        <v>-</v>
      </c>
      <c r="BA79" s="20"/>
    </row>
    <row r="80" spans="1:53">
      <c r="A80" s="664">
        <f t="shared" si="18"/>
        <v>78</v>
      </c>
      <c r="B80" s="466">
        <f t="shared" si="12"/>
        <v>10071296</v>
      </c>
      <c r="C80" s="92" t="str">
        <f>IFERROR(VLOOKUP($B80,RESOURCES!$C:$L,MATCH('PRODUCTIVITY RAW'!C$2,RESOURCES!$C$3:$L$3,0),FALSE),"-")</f>
        <v>RODRIGUEZ, ALLAN R.</v>
      </c>
      <c r="D80" s="92" t="str">
        <f>IFERROR(VLOOKUP($B80,RESOURCES!$C:$L,MATCH('PRODUCTIVITY RAW'!D$2,RESOURCES!$C$3:$L$3,0),FALSE),"-")</f>
        <v>Web Designer</v>
      </c>
      <c r="E80" s="92" t="str">
        <f>IFERROR(VLOOKUP($B80,RESOURCES!$C:$L,MATCH('PRODUCTIVITY RAW'!E$2,RESOURCES!$C$3:$L$3,0),FALSE),"-")</f>
        <v>FLORES, Emmanuel</v>
      </c>
      <c r="F80" s="92" t="str">
        <f>IFERROR(VLOOKUP($B80,RESOURCES!$C:$L,MATCH('PRODUCTIVITY RAW'!F$2,RESOURCES!$C$3:$L$3,0),FALSE),"-")</f>
        <v>TAGUILASO, Daryl</v>
      </c>
      <c r="G80" s="92" t="str">
        <f>IFERROR(VLOOKUP($B80,RESOURCES!$C:$L,MATCH('PRODUCTIVITY RAW'!G$2,RESOURCES!$C$3:$L$3,0),FALSE),"-")</f>
        <v>MENDOZA, Carlo</v>
      </c>
      <c r="H80" s="92" t="str">
        <f>IFERROR(VLOOKUP($B80,RESOURCES!$C:$L,MATCH('PRODUCTIVITY RAW'!H$2,RESOURCES!$C$3:$L$3,0),FALSE),"-")</f>
        <v>Ventanilla, Mike</v>
      </c>
      <c r="I80" s="8"/>
      <c r="J80" s="8"/>
      <c r="K80" s="9" t="str">
        <f>IFERROR(VLOOKUP($B80,RESOURCES!$C:$L,MATCH('PRODUCTIVITY RAW'!K$2,RESOURCES!$C$3:$L$3,0),FALSE),"-")</f>
        <v>Expert</v>
      </c>
      <c r="L80" s="21">
        <f t="shared" si="10"/>
        <v>174.49000000000009</v>
      </c>
      <c r="M80" s="21">
        <f t="shared" si="11"/>
        <v>142.5</v>
      </c>
      <c r="N80" s="21">
        <f t="shared" si="13"/>
        <v>19</v>
      </c>
      <c r="O80" s="86">
        <f t="shared" si="14"/>
        <v>9.1836842105263212</v>
      </c>
      <c r="P80" s="86">
        <f>IFERROR(VLOOKUP($D80,KPI!$V:$AN,2,FALSE),"-")</f>
        <v>8</v>
      </c>
      <c r="Q80" s="32">
        <f t="shared" si="15"/>
        <v>1</v>
      </c>
      <c r="R80" s="185">
        <f t="shared" si="16"/>
        <v>151</v>
      </c>
      <c r="S80" s="89" t="str">
        <f t="shared" si="17"/>
        <v>Web Designer</v>
      </c>
      <c r="AG80" s="664">
        <v>78</v>
      </c>
      <c r="AH80" s="664">
        <v>10071296</v>
      </c>
      <c r="AI80" s="664" t="s">
        <v>179</v>
      </c>
      <c r="AJ80" s="92" t="s">
        <v>83</v>
      </c>
      <c r="AK80" s="92" t="s">
        <v>169</v>
      </c>
      <c r="AL80" s="92" t="s">
        <v>170</v>
      </c>
      <c r="AM80" s="92" t="s">
        <v>85</v>
      </c>
      <c r="AN80" s="92" t="s">
        <v>86</v>
      </c>
      <c r="AO80" s="157">
        <v>174.49000000000009</v>
      </c>
      <c r="AP80" s="157">
        <v>142.5</v>
      </c>
      <c r="AQ80" s="571">
        <v>1</v>
      </c>
      <c r="AS80" s="664">
        <f t="shared" si="19"/>
        <v>78</v>
      </c>
      <c r="AT80" s="664"/>
      <c r="AU80" s="664"/>
      <c r="AV80" s="92" t="str">
        <f>IFERROR(VLOOKUP($AT80,RESOURCES!$C:$L,MATCH('PRODUCTIVITY RAW'!AV$2,RESOURCES!$C$3:$L$3,0),FALSE),"-")</f>
        <v>-</v>
      </c>
      <c r="AW80" s="92" t="str">
        <f>IFERROR(VLOOKUP($AT80,RESOURCES!$C:$L,MATCH('PRODUCTIVITY RAW'!AW$2,RESOURCES!$C$3:$L$3,0),FALSE),"-")</f>
        <v>-</v>
      </c>
      <c r="AX80" s="92" t="str">
        <f>IFERROR(VLOOKUP($AT80,RESOURCES!$C:$L,MATCH('PRODUCTIVITY RAW'!AX$2,RESOURCES!$C$3:$L$3,0),FALSE),"-")</f>
        <v>-</v>
      </c>
      <c r="AY80" s="92" t="str">
        <f>IFERROR(VLOOKUP($AT80,RESOURCES!$C:$L,MATCH('PRODUCTIVITY RAW'!AY$2,RESOURCES!$C$3:$L$3,0),FALSE),"-")</f>
        <v>-</v>
      </c>
      <c r="AZ80" s="92" t="str">
        <f>IFERROR(VLOOKUP($AT80,RESOURCES!$C:$L,MATCH('PRODUCTIVITY RAW'!AZ$2,RESOURCES!$C$3:$L$3,0),FALSE),"-")</f>
        <v>-</v>
      </c>
      <c r="BA80" s="20"/>
    </row>
    <row r="81" spans="1:53">
      <c r="A81" s="664">
        <f t="shared" si="18"/>
        <v>79</v>
      </c>
      <c r="B81" s="466">
        <f t="shared" si="12"/>
        <v>10071972</v>
      </c>
      <c r="C81" s="92" t="str">
        <f>IFERROR(VLOOKUP($B81,RESOURCES!$C:$L,MATCH('PRODUCTIVITY RAW'!C$2,RESOURCES!$C$3:$L$3,0),FALSE),"-")</f>
        <v>SALAMANTE, DANIELL ERIK D.</v>
      </c>
      <c r="D81" s="92" t="str">
        <f>IFERROR(VLOOKUP($B81,RESOURCES!$C:$L,MATCH('PRODUCTIVITY RAW'!D$2,RESOURCES!$C$3:$L$3,0),FALSE),"-")</f>
        <v>DBA</v>
      </c>
      <c r="E81" s="92" t="str">
        <f>IFERROR(VLOOKUP($B81,RESOURCES!$C:$L,MATCH('PRODUCTIVITY RAW'!E$2,RESOURCES!$C$3:$L$3,0),FALSE),"-")</f>
        <v>FLORES, Emmanuel</v>
      </c>
      <c r="F81" s="92" t="str">
        <f>IFERROR(VLOOKUP($B81,RESOURCES!$C:$L,MATCH('PRODUCTIVITY RAW'!F$2,RESOURCES!$C$3:$L$3,0),FALSE),"-")</f>
        <v>TAGUILASO, Daryl</v>
      </c>
      <c r="G81" s="92" t="str">
        <f>IFERROR(VLOOKUP($B81,RESOURCES!$C:$L,MATCH('PRODUCTIVITY RAW'!G$2,RESOURCES!$C$3:$L$3,0),FALSE),"-")</f>
        <v>MENDOZA, Carlo</v>
      </c>
      <c r="H81" s="92" t="str">
        <f>IFERROR(VLOOKUP($B81,RESOURCES!$C:$L,MATCH('PRODUCTIVITY RAW'!H$2,RESOURCES!$C$3:$L$3,0),FALSE),"-")</f>
        <v>Ventanilla, Mike</v>
      </c>
      <c r="I81" s="8"/>
      <c r="J81" s="8"/>
      <c r="K81" s="9" t="str">
        <f>IFERROR(VLOOKUP($B81,RESOURCES!$C:$L,MATCH('PRODUCTIVITY RAW'!K$2,RESOURCES!$C$3:$L$3,0),FALSE),"-")</f>
        <v>Expert</v>
      </c>
      <c r="L81" s="21">
        <f t="shared" si="10"/>
        <v>27.999999999999964</v>
      </c>
      <c r="M81" s="21">
        <f t="shared" si="11"/>
        <v>127.5</v>
      </c>
      <c r="N81" s="21">
        <f t="shared" si="13"/>
        <v>17</v>
      </c>
      <c r="O81" s="86">
        <f t="shared" si="14"/>
        <v>1.6470588235294097</v>
      </c>
      <c r="P81" s="86">
        <f>IFERROR(VLOOKUP($D81,KPI!$V:$AN,2,FALSE),"-")</f>
        <v>1.92</v>
      </c>
      <c r="Q81" s="32">
        <f t="shared" si="15"/>
        <v>0.85784313725490091</v>
      </c>
      <c r="R81" s="185">
        <f t="shared" si="16"/>
        <v>32.64</v>
      </c>
      <c r="S81" s="89" t="str">
        <f t="shared" si="17"/>
        <v>DBA</v>
      </c>
      <c r="AG81" s="664">
        <v>79</v>
      </c>
      <c r="AH81" s="664">
        <v>10071972</v>
      </c>
      <c r="AI81" s="664" t="s">
        <v>180</v>
      </c>
      <c r="AJ81" s="92" t="s">
        <v>177</v>
      </c>
      <c r="AK81" s="92" t="s">
        <v>169</v>
      </c>
      <c r="AL81" s="92" t="s">
        <v>170</v>
      </c>
      <c r="AM81" s="92" t="s">
        <v>85</v>
      </c>
      <c r="AN81" s="92" t="s">
        <v>86</v>
      </c>
      <c r="AO81" s="157">
        <v>27.999999999999964</v>
      </c>
      <c r="AP81" s="157">
        <v>127.5</v>
      </c>
      <c r="AQ81" s="571">
        <v>0</v>
      </c>
      <c r="AS81" s="664">
        <f t="shared" si="19"/>
        <v>79</v>
      </c>
      <c r="AT81" s="664"/>
      <c r="AU81" s="664"/>
      <c r="AV81" s="92" t="str">
        <f>IFERROR(VLOOKUP($AT81,RESOURCES!$C:$L,MATCH('PRODUCTIVITY RAW'!AV$2,RESOURCES!$C$3:$L$3,0),FALSE),"-")</f>
        <v>-</v>
      </c>
      <c r="AW81" s="92" t="str">
        <f>IFERROR(VLOOKUP($AT81,RESOURCES!$C:$L,MATCH('PRODUCTIVITY RAW'!AW$2,RESOURCES!$C$3:$L$3,0),FALSE),"-")</f>
        <v>-</v>
      </c>
      <c r="AX81" s="92" t="str">
        <f>IFERROR(VLOOKUP($AT81,RESOURCES!$C:$L,MATCH('PRODUCTIVITY RAW'!AX$2,RESOURCES!$C$3:$L$3,0),FALSE),"-")</f>
        <v>-</v>
      </c>
      <c r="AY81" s="92" t="str">
        <f>IFERROR(VLOOKUP($AT81,RESOURCES!$C:$L,MATCH('PRODUCTIVITY RAW'!AY$2,RESOURCES!$C$3:$L$3,0),FALSE),"-")</f>
        <v>-</v>
      </c>
      <c r="AZ81" s="92" t="str">
        <f>IFERROR(VLOOKUP($AT81,RESOURCES!$C:$L,MATCH('PRODUCTIVITY RAW'!AZ$2,RESOURCES!$C$3:$L$3,0),FALSE),"-")</f>
        <v>-</v>
      </c>
      <c r="BA81" s="20"/>
    </row>
    <row r="82" spans="1:53">
      <c r="A82" s="664">
        <f t="shared" si="18"/>
        <v>80</v>
      </c>
      <c r="B82" s="466">
        <f t="shared" si="12"/>
        <v>10071283</v>
      </c>
      <c r="C82" s="92" t="str">
        <f>IFERROR(VLOOKUP($B82,RESOURCES!$C:$L,MATCH('PRODUCTIVITY RAW'!C$2,RESOURCES!$C$3:$L$3,0),FALSE),"-")</f>
        <v>SESTOSO, PATRICE ANNE M.</v>
      </c>
      <c r="D82" s="92" t="str">
        <f>IFERROR(VLOOKUP($B82,RESOURCES!$C:$L,MATCH('PRODUCTIVITY RAW'!D$2,RESOURCES!$C$3:$L$3,0),FALSE),"-")</f>
        <v>Web Designer</v>
      </c>
      <c r="E82" s="92" t="str">
        <f>IFERROR(VLOOKUP($B82,RESOURCES!$C:$L,MATCH('PRODUCTIVITY RAW'!E$2,RESOURCES!$C$3:$L$3,0),FALSE),"-")</f>
        <v>FLORES, Emmanuel</v>
      </c>
      <c r="F82" s="92" t="str">
        <f>IFERROR(VLOOKUP($B82,RESOURCES!$C:$L,MATCH('PRODUCTIVITY RAW'!F$2,RESOURCES!$C$3:$L$3,0),FALSE),"-")</f>
        <v>TAGUILASO, Daryl</v>
      </c>
      <c r="G82" s="92" t="str">
        <f>IFERROR(VLOOKUP($B82,RESOURCES!$C:$L,MATCH('PRODUCTIVITY RAW'!G$2,RESOURCES!$C$3:$L$3,0),FALSE),"-")</f>
        <v>MENDOZA, Carlo</v>
      </c>
      <c r="H82" s="92" t="str">
        <f>IFERROR(VLOOKUP($B82,RESOURCES!$C:$L,MATCH('PRODUCTIVITY RAW'!H$2,RESOURCES!$C$3:$L$3,0),FALSE),"-")</f>
        <v>Ventanilla, Mike</v>
      </c>
      <c r="I82" s="8"/>
      <c r="J82" s="8"/>
      <c r="K82" s="9" t="str">
        <f>IFERROR(VLOOKUP($B82,RESOURCES!$C:$L,MATCH('PRODUCTIVITY RAW'!K$2,RESOURCES!$C$3:$L$3,0),FALSE),"-")</f>
        <v>Expert</v>
      </c>
      <c r="L82" s="21">
        <f t="shared" si="10"/>
        <v>187.43000000000006</v>
      </c>
      <c r="M82" s="21">
        <f t="shared" si="11"/>
        <v>135</v>
      </c>
      <c r="N82" s="21">
        <f t="shared" si="13"/>
        <v>18</v>
      </c>
      <c r="O82" s="86">
        <f t="shared" si="14"/>
        <v>10.412777777777782</v>
      </c>
      <c r="P82" s="86">
        <f>IFERROR(VLOOKUP($D82,KPI!$V:$AN,2,FALSE),"-")</f>
        <v>8</v>
      </c>
      <c r="Q82" s="32">
        <f t="shared" si="15"/>
        <v>1</v>
      </c>
      <c r="R82" s="185">
        <f t="shared" si="16"/>
        <v>144</v>
      </c>
      <c r="S82" s="89" t="str">
        <f t="shared" si="17"/>
        <v>Web Designer</v>
      </c>
      <c r="AG82" s="664">
        <v>80</v>
      </c>
      <c r="AH82" s="664">
        <v>10071283</v>
      </c>
      <c r="AI82" s="664" t="s">
        <v>181</v>
      </c>
      <c r="AJ82" s="92" t="s">
        <v>83</v>
      </c>
      <c r="AK82" s="92" t="s">
        <v>169</v>
      </c>
      <c r="AL82" s="92" t="s">
        <v>170</v>
      </c>
      <c r="AM82" s="92" t="s">
        <v>85</v>
      </c>
      <c r="AN82" s="92" t="s">
        <v>86</v>
      </c>
      <c r="AO82" s="157">
        <v>187.43000000000006</v>
      </c>
      <c r="AP82" s="157">
        <v>135</v>
      </c>
      <c r="AQ82" s="571">
        <v>0</v>
      </c>
      <c r="AS82" s="664">
        <f t="shared" si="19"/>
        <v>80</v>
      </c>
      <c r="AT82" s="664"/>
      <c r="AU82" s="664"/>
      <c r="AV82" s="92" t="str">
        <f>IFERROR(VLOOKUP($AT82,RESOURCES!$C:$L,MATCH('PRODUCTIVITY RAW'!AV$2,RESOURCES!$C$3:$L$3,0),FALSE),"-")</f>
        <v>-</v>
      </c>
      <c r="AW82" s="92" t="str">
        <f>IFERROR(VLOOKUP($AT82,RESOURCES!$C:$L,MATCH('PRODUCTIVITY RAW'!AW$2,RESOURCES!$C$3:$L$3,0),FALSE),"-")</f>
        <v>-</v>
      </c>
      <c r="AX82" s="92" t="str">
        <f>IFERROR(VLOOKUP($AT82,RESOURCES!$C:$L,MATCH('PRODUCTIVITY RAW'!AX$2,RESOURCES!$C$3:$L$3,0),FALSE),"-")</f>
        <v>-</v>
      </c>
      <c r="AY82" s="92" t="str">
        <f>IFERROR(VLOOKUP($AT82,RESOURCES!$C:$L,MATCH('PRODUCTIVITY RAW'!AY$2,RESOURCES!$C$3:$L$3,0),FALSE),"-")</f>
        <v>-</v>
      </c>
      <c r="AZ82" s="92" t="str">
        <f>IFERROR(VLOOKUP($AT82,RESOURCES!$C:$L,MATCH('PRODUCTIVITY RAW'!AZ$2,RESOURCES!$C$3:$L$3,0),FALSE),"-")</f>
        <v>-</v>
      </c>
      <c r="BA82" s="20"/>
    </row>
    <row r="83" spans="1:53">
      <c r="A83" s="664">
        <f t="shared" si="18"/>
        <v>81</v>
      </c>
      <c r="B83" s="466">
        <f t="shared" si="12"/>
        <v>10071753</v>
      </c>
      <c r="C83" s="92" t="str">
        <f>IFERROR(VLOOKUP($B83,RESOURCES!$C:$L,MATCH('PRODUCTIVITY RAW'!C$2,RESOURCES!$C$3:$L$3,0),FALSE),"-")</f>
        <v>MAROTO, ARJIEL I.</v>
      </c>
      <c r="D83" s="92" t="str">
        <f>IFERROR(VLOOKUP($B83,RESOURCES!$C:$L,MATCH('PRODUCTIVITY RAW'!D$2,RESOURCES!$C$3:$L$3,0),FALSE),"-")</f>
        <v>Web Designer</v>
      </c>
      <c r="E83" s="92" t="str">
        <f>IFERROR(VLOOKUP($B83,RESOURCES!$C:$L,MATCH('PRODUCTIVITY RAW'!E$2,RESOURCES!$C$3:$L$3,0),FALSE),"-")</f>
        <v>FLORES, Emmanuel</v>
      </c>
      <c r="F83" s="92" t="str">
        <f>IFERROR(VLOOKUP($B83,RESOURCES!$C:$L,MATCH('PRODUCTIVITY RAW'!F$2,RESOURCES!$C$3:$L$3,0),FALSE),"-")</f>
        <v>TAGUILASO, Daryl</v>
      </c>
      <c r="G83" s="92" t="str">
        <f>IFERROR(VLOOKUP($B83,RESOURCES!$C:$L,MATCH('PRODUCTIVITY RAW'!G$2,RESOURCES!$C$3:$L$3,0),FALSE),"-")</f>
        <v>MENDOZA, Carlo</v>
      </c>
      <c r="H83" s="92" t="str">
        <f>IFERROR(VLOOKUP($B83,RESOURCES!$C:$L,MATCH('PRODUCTIVITY RAW'!H$2,RESOURCES!$C$3:$L$3,0),FALSE),"-")</f>
        <v>Ventanilla, Mike</v>
      </c>
      <c r="I83" s="8"/>
      <c r="J83" s="8"/>
      <c r="K83" s="9" t="str">
        <f>IFERROR(VLOOKUP($B83,RESOURCES!$C:$L,MATCH('PRODUCTIVITY RAW'!K$2,RESOURCES!$C$3:$L$3,0),FALSE),"-")</f>
        <v>Expert</v>
      </c>
      <c r="L83" s="21">
        <f t="shared" si="10"/>
        <v>155.55000000000007</v>
      </c>
      <c r="M83" s="21">
        <f t="shared" si="11"/>
        <v>135</v>
      </c>
      <c r="N83" s="21">
        <f t="shared" si="13"/>
        <v>18</v>
      </c>
      <c r="O83" s="86">
        <f t="shared" si="14"/>
        <v>8.641666666666671</v>
      </c>
      <c r="P83" s="86">
        <f>IFERROR(VLOOKUP($D83,KPI!$V:$AN,2,FALSE),"-")</f>
        <v>8</v>
      </c>
      <c r="Q83" s="32">
        <f t="shared" si="15"/>
        <v>1</v>
      </c>
      <c r="R83" s="185">
        <f t="shared" si="16"/>
        <v>143.66666666666666</v>
      </c>
      <c r="S83" s="89" t="str">
        <f t="shared" si="17"/>
        <v>Web Designer</v>
      </c>
      <c r="AG83" s="664">
        <v>81</v>
      </c>
      <c r="AH83" s="664">
        <v>10071753</v>
      </c>
      <c r="AI83" s="664" t="s">
        <v>182</v>
      </c>
      <c r="AJ83" s="92" t="s">
        <v>83</v>
      </c>
      <c r="AK83" s="92" t="s">
        <v>169</v>
      </c>
      <c r="AL83" s="92" t="s">
        <v>170</v>
      </c>
      <c r="AM83" s="92" t="s">
        <v>85</v>
      </c>
      <c r="AN83" s="92" t="s">
        <v>86</v>
      </c>
      <c r="AO83" s="157">
        <v>155.55000000000007</v>
      </c>
      <c r="AP83" s="157">
        <v>135</v>
      </c>
      <c r="AQ83" s="571">
        <v>0.33333333333333337</v>
      </c>
      <c r="AS83" s="664">
        <f t="shared" si="19"/>
        <v>81</v>
      </c>
      <c r="AT83" s="664"/>
      <c r="AU83" s="664"/>
      <c r="AV83" s="92" t="str">
        <f>IFERROR(VLOOKUP($AT83,RESOURCES!$C:$L,MATCH('PRODUCTIVITY RAW'!AV$2,RESOURCES!$C$3:$L$3,0),FALSE),"-")</f>
        <v>-</v>
      </c>
      <c r="AW83" s="92" t="str">
        <f>IFERROR(VLOOKUP($AT83,RESOURCES!$C:$L,MATCH('PRODUCTIVITY RAW'!AW$2,RESOURCES!$C$3:$L$3,0),FALSE),"-")</f>
        <v>-</v>
      </c>
      <c r="AX83" s="92" t="str">
        <f>IFERROR(VLOOKUP($AT83,RESOURCES!$C:$L,MATCH('PRODUCTIVITY RAW'!AX$2,RESOURCES!$C$3:$L$3,0),FALSE),"-")</f>
        <v>-</v>
      </c>
      <c r="AY83" s="92" t="str">
        <f>IFERROR(VLOOKUP($AT83,RESOURCES!$C:$L,MATCH('PRODUCTIVITY RAW'!AY$2,RESOURCES!$C$3:$L$3,0),FALSE),"-")</f>
        <v>-</v>
      </c>
      <c r="AZ83" s="92" t="str">
        <f>IFERROR(VLOOKUP($AT83,RESOURCES!$C:$L,MATCH('PRODUCTIVITY RAW'!AZ$2,RESOURCES!$C$3:$L$3,0),FALSE),"-")</f>
        <v>-</v>
      </c>
      <c r="BA83" s="20"/>
    </row>
    <row r="84" spans="1:53">
      <c r="A84" s="664">
        <f t="shared" si="18"/>
        <v>82</v>
      </c>
      <c r="B84" s="466">
        <f t="shared" si="12"/>
        <v>10071803</v>
      </c>
      <c r="C84" s="92" t="str">
        <f>IFERROR(VLOOKUP($B84,RESOURCES!$C:$L,MATCH('PRODUCTIVITY RAW'!C$2,RESOURCES!$C$3:$L$3,0),FALSE),"-")</f>
        <v>BRAGADO, PAULO G.</v>
      </c>
      <c r="D84" s="92" t="str">
        <f>IFERROR(VLOOKUP($B84,RESOURCES!$C:$L,MATCH('PRODUCTIVITY RAW'!D$2,RESOURCES!$C$3:$L$3,0),FALSE),"-")</f>
        <v>Web Designer</v>
      </c>
      <c r="E84" s="92" t="str">
        <f>IFERROR(VLOOKUP($B84,RESOURCES!$C:$L,MATCH('PRODUCTIVITY RAW'!E$2,RESOURCES!$C$3:$L$3,0),FALSE),"-")</f>
        <v>FLORES, Emmanuel</v>
      </c>
      <c r="F84" s="92" t="str">
        <f>IFERROR(VLOOKUP($B84,RESOURCES!$C:$L,MATCH('PRODUCTIVITY RAW'!F$2,RESOURCES!$C$3:$L$3,0),FALSE),"-")</f>
        <v>TAGUILASO, Daryl</v>
      </c>
      <c r="G84" s="92" t="str">
        <f>IFERROR(VLOOKUP($B84,RESOURCES!$C:$L,MATCH('PRODUCTIVITY RAW'!G$2,RESOURCES!$C$3:$L$3,0),FALSE),"-")</f>
        <v>MENDOZA, Carlo</v>
      </c>
      <c r="H84" s="92" t="str">
        <f>IFERROR(VLOOKUP($B84,RESOURCES!$C:$L,MATCH('PRODUCTIVITY RAW'!H$2,RESOURCES!$C$3:$L$3,0),FALSE),"-")</f>
        <v>Ventanilla, Mike</v>
      </c>
      <c r="I84" s="8"/>
      <c r="J84" s="8"/>
      <c r="K84" s="9" t="str">
        <f>IFERROR(VLOOKUP($B84,RESOURCES!$C:$L,MATCH('PRODUCTIVITY RAW'!K$2,RESOURCES!$C$3:$L$3,0),FALSE),"-")</f>
        <v>Expert</v>
      </c>
      <c r="L84" s="21">
        <f t="shared" si="10"/>
        <v>137.88</v>
      </c>
      <c r="M84" s="21">
        <f t="shared" si="11"/>
        <v>135</v>
      </c>
      <c r="N84" s="21">
        <f t="shared" si="13"/>
        <v>18</v>
      </c>
      <c r="O84" s="86">
        <f t="shared" si="14"/>
        <v>7.66</v>
      </c>
      <c r="P84" s="86">
        <f>IFERROR(VLOOKUP($D84,KPI!$V:$AN,2,FALSE),"-")</f>
        <v>8</v>
      </c>
      <c r="Q84" s="32">
        <f t="shared" si="15"/>
        <v>0.95750000000000002</v>
      </c>
      <c r="R84" s="185">
        <f t="shared" si="16"/>
        <v>144</v>
      </c>
      <c r="S84" s="89" t="str">
        <f t="shared" si="17"/>
        <v>Web Designer</v>
      </c>
      <c r="AG84" s="664">
        <v>82</v>
      </c>
      <c r="AH84" s="664">
        <v>10071803</v>
      </c>
      <c r="AI84" s="664" t="s">
        <v>183</v>
      </c>
      <c r="AJ84" s="92" t="s">
        <v>177</v>
      </c>
      <c r="AK84" s="92" t="s">
        <v>169</v>
      </c>
      <c r="AL84" s="92" t="s">
        <v>170</v>
      </c>
      <c r="AM84" s="92" t="s">
        <v>85</v>
      </c>
      <c r="AN84" s="92" t="s">
        <v>86</v>
      </c>
      <c r="AO84" s="157">
        <v>137.88</v>
      </c>
      <c r="AP84" s="157">
        <v>135</v>
      </c>
      <c r="AQ84" s="571">
        <v>0</v>
      </c>
      <c r="AS84" s="664">
        <f t="shared" si="19"/>
        <v>82</v>
      </c>
      <c r="AT84" s="664"/>
      <c r="AU84" s="664"/>
      <c r="AV84" s="92" t="str">
        <f>IFERROR(VLOOKUP($AT84,RESOURCES!$C:$L,MATCH('PRODUCTIVITY RAW'!AV$2,RESOURCES!$C$3:$L$3,0),FALSE),"-")</f>
        <v>-</v>
      </c>
      <c r="AW84" s="92" t="str">
        <f>IFERROR(VLOOKUP($AT84,RESOURCES!$C:$L,MATCH('PRODUCTIVITY RAW'!AW$2,RESOURCES!$C$3:$L$3,0),FALSE),"-")</f>
        <v>-</v>
      </c>
      <c r="AX84" s="92" t="str">
        <f>IFERROR(VLOOKUP($AT84,RESOURCES!$C:$L,MATCH('PRODUCTIVITY RAW'!AX$2,RESOURCES!$C$3:$L$3,0),FALSE),"-")</f>
        <v>-</v>
      </c>
      <c r="AY84" s="92" t="str">
        <f>IFERROR(VLOOKUP($AT84,RESOURCES!$C:$L,MATCH('PRODUCTIVITY RAW'!AY$2,RESOURCES!$C$3:$L$3,0),FALSE),"-")</f>
        <v>-</v>
      </c>
      <c r="AZ84" s="92" t="str">
        <f>IFERROR(VLOOKUP($AT84,RESOURCES!$C:$L,MATCH('PRODUCTIVITY RAW'!AZ$2,RESOURCES!$C$3:$L$3,0),FALSE),"-")</f>
        <v>-</v>
      </c>
      <c r="BA84" s="20"/>
    </row>
    <row r="85" spans="1:53">
      <c r="A85" s="664">
        <f t="shared" si="18"/>
        <v>83</v>
      </c>
      <c r="B85" s="466">
        <f t="shared" si="12"/>
        <v>10072076</v>
      </c>
      <c r="C85" s="92" t="str">
        <f>IFERROR(VLOOKUP($B85,RESOURCES!$C:$L,MATCH('PRODUCTIVITY RAW'!C$2,RESOURCES!$C$3:$L$3,0),FALSE),"-")</f>
        <v>FERNANDEZ, ELMER Q.</v>
      </c>
      <c r="D85" s="92" t="str">
        <f>IFERROR(VLOOKUP($B85,RESOURCES!$C:$L,MATCH('PRODUCTIVITY RAW'!D$2,RESOURCES!$C$3:$L$3,0),FALSE),"-")</f>
        <v>Web Designer</v>
      </c>
      <c r="E85" s="92" t="str">
        <f>IFERROR(VLOOKUP($B85,RESOURCES!$C:$L,MATCH('PRODUCTIVITY RAW'!E$2,RESOURCES!$C$3:$L$3,0),FALSE),"-")</f>
        <v>FLORES, Emmanuel</v>
      </c>
      <c r="F85" s="92" t="str">
        <f>IFERROR(VLOOKUP($B85,RESOURCES!$C:$L,MATCH('PRODUCTIVITY RAW'!F$2,RESOURCES!$C$3:$L$3,0),FALSE),"-")</f>
        <v>TAGUILASO, Daryl</v>
      </c>
      <c r="G85" s="92" t="str">
        <f>IFERROR(VLOOKUP($B85,RESOURCES!$C:$L,MATCH('PRODUCTIVITY RAW'!G$2,RESOURCES!$C$3:$L$3,0),FALSE),"-")</f>
        <v>MENDOZA, Carlo</v>
      </c>
      <c r="H85" s="92" t="str">
        <f>IFERROR(VLOOKUP($B85,RESOURCES!$C:$L,MATCH('PRODUCTIVITY RAW'!H$2,RESOURCES!$C$3:$L$3,0),FALSE),"-")</f>
        <v>Ventanilla, Mike</v>
      </c>
      <c r="I85" s="8"/>
      <c r="J85" s="8"/>
      <c r="K85" s="9" t="str">
        <f>IFERROR(VLOOKUP($B85,RESOURCES!$C:$L,MATCH('PRODUCTIVITY RAW'!K$2,RESOURCES!$C$3:$L$3,0),FALSE),"-")</f>
        <v>Expert</v>
      </c>
      <c r="L85" s="21">
        <f t="shared" si="10"/>
        <v>117.64000000000001</v>
      </c>
      <c r="M85" s="21">
        <f t="shared" si="11"/>
        <v>127.5</v>
      </c>
      <c r="N85" s="21">
        <f t="shared" si="13"/>
        <v>17</v>
      </c>
      <c r="O85" s="86">
        <f t="shared" si="14"/>
        <v>6.9200000000000008</v>
      </c>
      <c r="P85" s="86">
        <f>IFERROR(VLOOKUP($D85,KPI!$V:$AN,2,FALSE),"-")</f>
        <v>8</v>
      </c>
      <c r="Q85" s="32">
        <f t="shared" si="15"/>
        <v>0.8650000000000001</v>
      </c>
      <c r="R85" s="185">
        <f t="shared" si="16"/>
        <v>136</v>
      </c>
      <c r="S85" s="89" t="str">
        <f t="shared" si="17"/>
        <v>Web Designer</v>
      </c>
      <c r="AG85" s="664">
        <v>83</v>
      </c>
      <c r="AH85" s="664">
        <v>10072076</v>
      </c>
      <c r="AI85" s="664" t="s">
        <v>184</v>
      </c>
      <c r="AJ85" s="92" t="s">
        <v>83</v>
      </c>
      <c r="AK85" s="92" t="s">
        <v>169</v>
      </c>
      <c r="AL85" s="92" t="s">
        <v>170</v>
      </c>
      <c r="AM85" s="92" t="s">
        <v>85</v>
      </c>
      <c r="AN85" s="92" t="s">
        <v>86</v>
      </c>
      <c r="AO85" s="157">
        <v>117.64000000000001</v>
      </c>
      <c r="AP85" s="157">
        <v>127.5</v>
      </c>
      <c r="AQ85" s="571">
        <v>0</v>
      </c>
      <c r="AS85" s="664">
        <f t="shared" si="19"/>
        <v>83</v>
      </c>
      <c r="AT85" s="664"/>
      <c r="AU85" s="664"/>
      <c r="AV85" s="92" t="str">
        <f>IFERROR(VLOOKUP($AT85,RESOURCES!$C:$L,MATCH('PRODUCTIVITY RAW'!AV$2,RESOURCES!$C$3:$L$3,0),FALSE),"-")</f>
        <v>-</v>
      </c>
      <c r="AW85" s="92" t="str">
        <f>IFERROR(VLOOKUP($AT85,RESOURCES!$C:$L,MATCH('PRODUCTIVITY RAW'!AW$2,RESOURCES!$C$3:$L$3,0),FALSE),"-")</f>
        <v>-</v>
      </c>
      <c r="AX85" s="92" t="str">
        <f>IFERROR(VLOOKUP($AT85,RESOURCES!$C:$L,MATCH('PRODUCTIVITY RAW'!AX$2,RESOURCES!$C$3:$L$3,0),FALSE),"-")</f>
        <v>-</v>
      </c>
      <c r="AY85" s="92" t="str">
        <f>IFERROR(VLOOKUP($AT85,RESOURCES!$C:$L,MATCH('PRODUCTIVITY RAW'!AY$2,RESOURCES!$C$3:$L$3,0),FALSE),"-")</f>
        <v>-</v>
      </c>
      <c r="AZ85" s="92" t="str">
        <f>IFERROR(VLOOKUP($AT85,RESOURCES!$C:$L,MATCH('PRODUCTIVITY RAW'!AZ$2,RESOURCES!$C$3:$L$3,0),FALSE),"-")</f>
        <v>-</v>
      </c>
      <c r="BA85" s="20"/>
    </row>
    <row r="86" spans="1:53">
      <c r="A86" s="664">
        <f t="shared" si="18"/>
        <v>84</v>
      </c>
      <c r="B86" s="466">
        <f t="shared" si="12"/>
        <v>10072458</v>
      </c>
      <c r="C86" s="92" t="str">
        <f>IFERROR(VLOOKUP($B86,RESOURCES!$C:$L,MATCH('PRODUCTIVITY RAW'!C$2,RESOURCES!$C$3:$L$3,0),FALSE),"-")</f>
        <v>BACURIN, APOLINARIO M., JR.</v>
      </c>
      <c r="D86" s="92" t="str">
        <f>IFERROR(VLOOKUP($B86,RESOURCES!$C:$L,MATCH('PRODUCTIVITY RAW'!D$2,RESOURCES!$C$3:$L$3,0),FALSE),"-")</f>
        <v>Web Designer</v>
      </c>
      <c r="E86" s="92" t="str">
        <f>IFERROR(VLOOKUP($B86,RESOURCES!$C:$L,MATCH('PRODUCTIVITY RAW'!E$2,RESOURCES!$C$3:$L$3,0),FALSE),"-")</f>
        <v>DE LOS SANTOS, Richard</v>
      </c>
      <c r="F86" s="92" t="str">
        <f>IFERROR(VLOOKUP($B86,RESOURCES!$C:$L,MATCH('PRODUCTIVITY RAW'!F$2,RESOURCES!$C$3:$L$3,0),FALSE),"-")</f>
        <v>TAGUILASO, Daryl</v>
      </c>
      <c r="G86" s="92" t="str">
        <f>IFERROR(VLOOKUP($B86,RESOURCES!$C:$L,MATCH('PRODUCTIVITY RAW'!G$2,RESOURCES!$C$3:$L$3,0),FALSE),"-")</f>
        <v>MENDOZA, Carlo</v>
      </c>
      <c r="H86" s="92" t="str">
        <f>IFERROR(VLOOKUP($B86,RESOURCES!$C:$L,MATCH('PRODUCTIVITY RAW'!H$2,RESOURCES!$C$3:$L$3,0),FALSE),"-")</f>
        <v>Ventanilla, Mike</v>
      </c>
      <c r="I86" s="8"/>
      <c r="J86" s="8"/>
      <c r="K86" s="9" t="str">
        <f>IFERROR(VLOOKUP($B86,RESOURCES!$C:$L,MATCH('PRODUCTIVITY RAW'!K$2,RESOURCES!$C$3:$L$3,0),FALSE),"-")</f>
        <v>Expert</v>
      </c>
      <c r="L86" s="21">
        <f t="shared" si="10"/>
        <v>138.18</v>
      </c>
      <c r="M86" s="21">
        <f t="shared" si="11"/>
        <v>120</v>
      </c>
      <c r="N86" s="21">
        <f t="shared" si="13"/>
        <v>16</v>
      </c>
      <c r="O86" s="86">
        <f t="shared" si="14"/>
        <v>8.6362500000000004</v>
      </c>
      <c r="P86" s="86">
        <f>IFERROR(VLOOKUP($D86,KPI!$V:$AN,2,FALSE),"-")</f>
        <v>8</v>
      </c>
      <c r="Q86" s="32">
        <f t="shared" si="15"/>
        <v>1</v>
      </c>
      <c r="R86" s="185">
        <f t="shared" si="16"/>
        <v>127</v>
      </c>
      <c r="S86" s="89" t="str">
        <f t="shared" si="17"/>
        <v>Web Designer</v>
      </c>
      <c r="AG86" s="664">
        <v>84</v>
      </c>
      <c r="AH86" s="664">
        <v>10072458</v>
      </c>
      <c r="AI86" s="664" t="s">
        <v>185</v>
      </c>
      <c r="AJ86" s="92" t="s">
        <v>83</v>
      </c>
      <c r="AK86" s="92" t="s">
        <v>186</v>
      </c>
      <c r="AL86" s="92" t="s">
        <v>170</v>
      </c>
      <c r="AM86" s="92" t="s">
        <v>85</v>
      </c>
      <c r="AN86" s="92" t="s">
        <v>86</v>
      </c>
      <c r="AO86" s="157">
        <v>138.18</v>
      </c>
      <c r="AP86" s="157">
        <v>120</v>
      </c>
      <c r="AQ86" s="571">
        <v>1</v>
      </c>
      <c r="AS86" s="664">
        <f t="shared" si="19"/>
        <v>84</v>
      </c>
      <c r="AT86" s="664"/>
      <c r="AU86" s="664"/>
      <c r="AV86" s="92" t="str">
        <f>IFERROR(VLOOKUP($AT86,RESOURCES!$C:$L,MATCH('PRODUCTIVITY RAW'!AV$2,RESOURCES!$C$3:$L$3,0),FALSE),"-")</f>
        <v>-</v>
      </c>
      <c r="AW86" s="92" t="str">
        <f>IFERROR(VLOOKUP($AT86,RESOURCES!$C:$L,MATCH('PRODUCTIVITY RAW'!AW$2,RESOURCES!$C$3:$L$3,0),FALSE),"-")</f>
        <v>-</v>
      </c>
      <c r="AX86" s="92" t="str">
        <f>IFERROR(VLOOKUP($AT86,RESOURCES!$C:$L,MATCH('PRODUCTIVITY RAW'!AX$2,RESOURCES!$C$3:$L$3,0),FALSE),"-")</f>
        <v>-</v>
      </c>
      <c r="AY86" s="92" t="str">
        <f>IFERROR(VLOOKUP($AT86,RESOURCES!$C:$L,MATCH('PRODUCTIVITY RAW'!AY$2,RESOURCES!$C$3:$L$3,0),FALSE),"-")</f>
        <v>-</v>
      </c>
      <c r="AZ86" s="92" t="str">
        <f>IFERROR(VLOOKUP($AT86,RESOURCES!$C:$L,MATCH('PRODUCTIVITY RAW'!AZ$2,RESOURCES!$C$3:$L$3,0),FALSE),"-")</f>
        <v>-</v>
      </c>
      <c r="BA86" s="20"/>
    </row>
    <row r="87" spans="1:53">
      <c r="A87" s="664">
        <f t="shared" si="18"/>
        <v>85</v>
      </c>
      <c r="B87" s="466">
        <f t="shared" si="12"/>
        <v>10071322</v>
      </c>
      <c r="C87" s="92" t="str">
        <f>IFERROR(VLOOKUP($B87,RESOURCES!$C:$L,MATCH('PRODUCTIVITY RAW'!C$2,RESOURCES!$C$3:$L$3,0),FALSE),"-")</f>
        <v>DE GUZMAN, MONNEYR JHON D.</v>
      </c>
      <c r="D87" s="92" t="str">
        <f>IFERROR(VLOOKUP($B87,RESOURCES!$C:$L,MATCH('PRODUCTIVITY RAW'!D$2,RESOURCES!$C$3:$L$3,0),FALSE),"-")</f>
        <v>Logo Designer</v>
      </c>
      <c r="E87" s="92" t="str">
        <f>IFERROR(VLOOKUP($B87,RESOURCES!$C:$L,MATCH('PRODUCTIVITY RAW'!E$2,RESOURCES!$C$3:$L$3,0),FALSE),"-")</f>
        <v>DE LOS SANTOS, Richard</v>
      </c>
      <c r="F87" s="92" t="str">
        <f>IFERROR(VLOOKUP($B87,RESOURCES!$C:$L,MATCH('PRODUCTIVITY RAW'!F$2,RESOURCES!$C$3:$L$3,0),FALSE),"-")</f>
        <v>TAGUILASO, Daryl</v>
      </c>
      <c r="G87" s="92" t="str">
        <f>IFERROR(VLOOKUP($B87,RESOURCES!$C:$L,MATCH('PRODUCTIVITY RAW'!G$2,RESOURCES!$C$3:$L$3,0),FALSE),"-")</f>
        <v>MENDOZA, Carlo</v>
      </c>
      <c r="H87" s="92" t="str">
        <f>IFERROR(VLOOKUP($B87,RESOURCES!$C:$L,MATCH('PRODUCTIVITY RAW'!H$2,RESOURCES!$C$3:$L$3,0),FALSE),"-")</f>
        <v>Ventanilla, Mike</v>
      </c>
      <c r="I87" s="8"/>
      <c r="J87" s="8"/>
      <c r="K87" s="9" t="str">
        <f>IFERROR(VLOOKUP($B87,RESOURCES!$C:$L,MATCH('PRODUCTIVITY RAW'!K$2,RESOURCES!$C$3:$L$3,0),FALSE),"-")</f>
        <v>Expert</v>
      </c>
      <c r="L87" s="21">
        <f t="shared" si="10"/>
        <v>104.70000000000007</v>
      </c>
      <c r="M87" s="21">
        <f t="shared" si="11"/>
        <v>135</v>
      </c>
      <c r="N87" s="21">
        <f t="shared" si="13"/>
        <v>18</v>
      </c>
      <c r="O87" s="86">
        <f t="shared" si="14"/>
        <v>5.8166666666666709</v>
      </c>
      <c r="P87" s="86">
        <f>IFERROR(VLOOKUP($D87,KPI!$V:$AN,2,FALSE),"-")</f>
        <v>8</v>
      </c>
      <c r="Q87" s="32">
        <f t="shared" si="15"/>
        <v>0.72944728286112459</v>
      </c>
      <c r="R87" s="185">
        <f t="shared" si="16"/>
        <v>143.53333333333333</v>
      </c>
      <c r="S87" s="89" t="str">
        <f t="shared" si="17"/>
        <v>Logo Designer</v>
      </c>
      <c r="AG87" s="664">
        <v>85</v>
      </c>
      <c r="AH87" s="664">
        <v>10071322</v>
      </c>
      <c r="AI87" s="664" t="s">
        <v>187</v>
      </c>
      <c r="AJ87" s="92" t="s">
        <v>165</v>
      </c>
      <c r="AK87" s="92" t="s">
        <v>186</v>
      </c>
      <c r="AL87" s="92" t="s">
        <v>170</v>
      </c>
      <c r="AM87" s="92" t="s">
        <v>85</v>
      </c>
      <c r="AN87" s="92" t="s">
        <v>86</v>
      </c>
      <c r="AO87" s="157">
        <v>104.70000000000007</v>
      </c>
      <c r="AP87" s="157">
        <v>135</v>
      </c>
      <c r="AQ87" s="571">
        <v>0.46666666666666667</v>
      </c>
      <c r="AS87" s="664">
        <f t="shared" si="19"/>
        <v>85</v>
      </c>
      <c r="AT87" s="664"/>
      <c r="AU87" s="664"/>
      <c r="AV87" s="92" t="str">
        <f>IFERROR(VLOOKUP($AT87,RESOURCES!$C:$L,MATCH('PRODUCTIVITY RAW'!AV$2,RESOURCES!$C$3:$L$3,0),FALSE),"-")</f>
        <v>-</v>
      </c>
      <c r="AW87" s="92" t="str">
        <f>IFERROR(VLOOKUP($AT87,RESOURCES!$C:$L,MATCH('PRODUCTIVITY RAW'!AW$2,RESOURCES!$C$3:$L$3,0),FALSE),"-")</f>
        <v>-</v>
      </c>
      <c r="AX87" s="92" t="str">
        <f>IFERROR(VLOOKUP($AT87,RESOURCES!$C:$L,MATCH('PRODUCTIVITY RAW'!AX$2,RESOURCES!$C$3:$L$3,0),FALSE),"-")</f>
        <v>-</v>
      </c>
      <c r="AY87" s="92" t="str">
        <f>IFERROR(VLOOKUP($AT87,RESOURCES!$C:$L,MATCH('PRODUCTIVITY RAW'!AY$2,RESOURCES!$C$3:$L$3,0),FALSE),"-")</f>
        <v>-</v>
      </c>
      <c r="AZ87" s="92" t="str">
        <f>IFERROR(VLOOKUP($AT87,RESOURCES!$C:$L,MATCH('PRODUCTIVITY RAW'!AZ$2,RESOURCES!$C$3:$L$3,0),FALSE),"-")</f>
        <v>-</v>
      </c>
      <c r="BA87" s="20"/>
    </row>
    <row r="88" spans="1:53">
      <c r="A88" s="664">
        <f t="shared" si="18"/>
        <v>86</v>
      </c>
      <c r="B88" s="466">
        <f t="shared" si="12"/>
        <v>10071429</v>
      </c>
      <c r="C88" s="92" t="str">
        <f>IFERROR(VLOOKUP($B88,RESOURCES!$C:$L,MATCH('PRODUCTIVITY RAW'!C$2,RESOURCES!$C$3:$L$3,0),FALSE),"-")</f>
        <v>DEDEL, PAUL ANDREW B.</v>
      </c>
      <c r="D88" s="92" t="str">
        <f>IFERROR(VLOOKUP($B88,RESOURCES!$C:$L,MATCH('PRODUCTIVITY RAW'!D$2,RESOURCES!$C$3:$L$3,0),FALSE),"-")</f>
        <v>Legacy Product Maintenance</v>
      </c>
      <c r="E88" s="92" t="str">
        <f>IFERROR(VLOOKUP($B88,RESOURCES!$C:$L,MATCH('PRODUCTIVITY RAW'!E$2,RESOURCES!$C$3:$L$3,0),FALSE),"-")</f>
        <v>DE LOS SANTOS, Richard</v>
      </c>
      <c r="F88" s="92" t="str">
        <f>IFERROR(VLOOKUP($B88,RESOURCES!$C:$L,MATCH('PRODUCTIVITY RAW'!F$2,RESOURCES!$C$3:$L$3,0),FALSE),"-")</f>
        <v>TAGUILASO, Daryl</v>
      </c>
      <c r="G88" s="92" t="str">
        <f>IFERROR(VLOOKUP($B88,RESOURCES!$C:$L,MATCH('PRODUCTIVITY RAW'!G$2,RESOURCES!$C$3:$L$3,0),FALSE),"-")</f>
        <v>MENDOZA, Carlo</v>
      </c>
      <c r="H88" s="92" t="str">
        <f>IFERROR(VLOOKUP($B88,RESOURCES!$C:$L,MATCH('PRODUCTIVITY RAW'!H$2,RESOURCES!$C$3:$L$3,0),FALSE),"-")</f>
        <v>Ventanilla, Mike</v>
      </c>
      <c r="I88" s="8"/>
      <c r="J88" s="8"/>
      <c r="K88" s="9" t="str">
        <f>IFERROR(VLOOKUP($B88,RESOURCES!$C:$L,MATCH('PRODUCTIVITY RAW'!K$2,RESOURCES!$C$3:$L$3,0),FALSE),"-")</f>
        <v>Expert</v>
      </c>
      <c r="L88" s="21">
        <f t="shared" si="10"/>
        <v>86.38</v>
      </c>
      <c r="M88" s="21">
        <f t="shared" si="11"/>
        <v>135</v>
      </c>
      <c r="N88" s="21">
        <f t="shared" si="13"/>
        <v>18</v>
      </c>
      <c r="O88" s="86">
        <f t="shared" si="14"/>
        <v>4.7988888888888885</v>
      </c>
      <c r="P88" s="86">
        <f>IFERROR(VLOOKUP($D88,KPI!$V:$AN,2,FALSE),"-")</f>
        <v>8</v>
      </c>
      <c r="Q88" s="32">
        <f t="shared" si="15"/>
        <v>0.60490196078431369</v>
      </c>
      <c r="R88" s="185">
        <f t="shared" si="16"/>
        <v>142.80000000000001</v>
      </c>
      <c r="S88" s="89" t="str">
        <f t="shared" si="17"/>
        <v>Legacy Product Maintenance</v>
      </c>
      <c r="AG88" s="664">
        <v>86</v>
      </c>
      <c r="AH88" s="664">
        <v>10071429</v>
      </c>
      <c r="AI88" s="664" t="s">
        <v>188</v>
      </c>
      <c r="AJ88" s="92" t="s">
        <v>158</v>
      </c>
      <c r="AK88" s="92" t="s">
        <v>186</v>
      </c>
      <c r="AL88" s="92" t="s">
        <v>170</v>
      </c>
      <c r="AM88" s="92" t="s">
        <v>85</v>
      </c>
      <c r="AN88" s="92" t="s">
        <v>86</v>
      </c>
      <c r="AO88" s="157">
        <v>86.38</v>
      </c>
      <c r="AP88" s="157">
        <v>135</v>
      </c>
      <c r="AQ88" s="571">
        <v>1.2000000000000002</v>
      </c>
      <c r="AS88" s="664">
        <f t="shared" si="19"/>
        <v>86</v>
      </c>
      <c r="AT88" s="664"/>
      <c r="AU88" s="664"/>
      <c r="AV88" s="92" t="str">
        <f>IFERROR(VLOOKUP($AT88,RESOURCES!$C:$L,MATCH('PRODUCTIVITY RAW'!AV$2,RESOURCES!$C$3:$L$3,0),FALSE),"-")</f>
        <v>-</v>
      </c>
      <c r="AW88" s="92" t="str">
        <f>IFERROR(VLOOKUP($AT88,RESOURCES!$C:$L,MATCH('PRODUCTIVITY RAW'!AW$2,RESOURCES!$C$3:$L$3,0),FALSE),"-")</f>
        <v>-</v>
      </c>
      <c r="AX88" s="92" t="str">
        <f>IFERROR(VLOOKUP($AT88,RESOURCES!$C:$L,MATCH('PRODUCTIVITY RAW'!AX$2,RESOURCES!$C$3:$L$3,0),FALSE),"-")</f>
        <v>-</v>
      </c>
      <c r="AY88" s="92" t="str">
        <f>IFERROR(VLOOKUP($AT88,RESOURCES!$C:$L,MATCH('PRODUCTIVITY RAW'!AY$2,RESOURCES!$C$3:$L$3,0),FALSE),"-")</f>
        <v>-</v>
      </c>
      <c r="AZ88" s="92" t="str">
        <f>IFERROR(VLOOKUP($AT88,RESOURCES!$C:$L,MATCH('PRODUCTIVITY RAW'!AZ$2,RESOURCES!$C$3:$L$3,0),FALSE),"-")</f>
        <v>-</v>
      </c>
      <c r="BA88" s="20"/>
    </row>
    <row r="89" spans="1:53">
      <c r="A89" s="664">
        <f t="shared" si="18"/>
        <v>87</v>
      </c>
      <c r="B89" s="466">
        <f t="shared" si="12"/>
        <v>10071430</v>
      </c>
      <c r="C89" s="92" t="str">
        <f>IFERROR(VLOOKUP($B89,RESOURCES!$C:$L,MATCH('PRODUCTIVITY RAW'!C$2,RESOURCES!$C$3:$L$3,0),FALSE),"-")</f>
        <v>ENRIQUEZ, AMIEL JAESO F.</v>
      </c>
      <c r="D89" s="92" t="str">
        <f>IFERROR(VLOOKUP($B89,RESOURCES!$C:$L,MATCH('PRODUCTIVITY RAW'!D$2,RESOURCES!$C$3:$L$3,0),FALSE),"-")</f>
        <v>Web Designer</v>
      </c>
      <c r="E89" s="92" t="str">
        <f>IFERROR(VLOOKUP($B89,RESOURCES!$C:$L,MATCH('PRODUCTIVITY RAW'!E$2,RESOURCES!$C$3:$L$3,0),FALSE),"-")</f>
        <v>DE LOS SANTOS, Richard</v>
      </c>
      <c r="F89" s="92" t="str">
        <f>IFERROR(VLOOKUP($B89,RESOURCES!$C:$L,MATCH('PRODUCTIVITY RAW'!F$2,RESOURCES!$C$3:$L$3,0),FALSE),"-")</f>
        <v>TAGUILASO, Daryl</v>
      </c>
      <c r="G89" s="92" t="str">
        <f>IFERROR(VLOOKUP($B89,RESOURCES!$C:$L,MATCH('PRODUCTIVITY RAW'!G$2,RESOURCES!$C$3:$L$3,0),FALSE),"-")</f>
        <v>MENDOZA, Carlo</v>
      </c>
      <c r="H89" s="92" t="str">
        <f>IFERROR(VLOOKUP($B89,RESOURCES!$C:$L,MATCH('PRODUCTIVITY RAW'!H$2,RESOURCES!$C$3:$L$3,0),FALSE),"-")</f>
        <v>Ventanilla, Mike</v>
      </c>
      <c r="I89" s="8"/>
      <c r="J89" s="8"/>
      <c r="K89" s="9" t="str">
        <f>IFERROR(VLOOKUP($B89,RESOURCES!$C:$L,MATCH('PRODUCTIVITY RAW'!K$2,RESOURCES!$C$3:$L$3,0),FALSE),"-")</f>
        <v>Beginner</v>
      </c>
      <c r="L89" s="21">
        <f t="shared" si="10"/>
        <v>153.95000000000005</v>
      </c>
      <c r="M89" s="21">
        <f t="shared" si="11"/>
        <v>142.5</v>
      </c>
      <c r="N89" s="21">
        <f t="shared" si="13"/>
        <v>19</v>
      </c>
      <c r="O89" s="86">
        <f t="shared" si="14"/>
        <v>8.1026315789473706</v>
      </c>
      <c r="P89" s="86">
        <f>IFERROR(VLOOKUP($D89,KPI!$V:$AN,2,FALSE),"-")</f>
        <v>8</v>
      </c>
      <c r="Q89" s="32">
        <f t="shared" si="15"/>
        <v>1</v>
      </c>
      <c r="R89" s="185">
        <f t="shared" si="16"/>
        <v>151.6</v>
      </c>
      <c r="S89" s="89" t="str">
        <f t="shared" si="17"/>
        <v>Web Designer</v>
      </c>
      <c r="AG89" s="664">
        <v>87</v>
      </c>
      <c r="AH89" s="664">
        <v>10071430</v>
      </c>
      <c r="AI89" s="664" t="s">
        <v>189</v>
      </c>
      <c r="AJ89" s="92" t="s">
        <v>83</v>
      </c>
      <c r="AK89" s="92" t="s">
        <v>186</v>
      </c>
      <c r="AL89" s="92" t="s">
        <v>170</v>
      </c>
      <c r="AM89" s="92" t="s">
        <v>85</v>
      </c>
      <c r="AN89" s="92" t="s">
        <v>86</v>
      </c>
      <c r="AO89" s="157">
        <v>153.95000000000005</v>
      </c>
      <c r="AP89" s="157">
        <v>142.5</v>
      </c>
      <c r="AQ89" s="571">
        <v>0.4</v>
      </c>
      <c r="AS89" s="664">
        <f t="shared" si="19"/>
        <v>87</v>
      </c>
      <c r="AT89" s="664"/>
      <c r="AU89" s="664"/>
      <c r="AV89" s="92" t="str">
        <f>IFERROR(VLOOKUP($AT89,RESOURCES!$C:$L,MATCH('PRODUCTIVITY RAW'!AV$2,RESOURCES!$C$3:$L$3,0),FALSE),"-")</f>
        <v>-</v>
      </c>
      <c r="AW89" s="92" t="str">
        <f>IFERROR(VLOOKUP($AT89,RESOURCES!$C:$L,MATCH('PRODUCTIVITY RAW'!AW$2,RESOURCES!$C$3:$L$3,0),FALSE),"-")</f>
        <v>-</v>
      </c>
      <c r="AX89" s="92" t="str">
        <f>IFERROR(VLOOKUP($AT89,RESOURCES!$C:$L,MATCH('PRODUCTIVITY RAW'!AX$2,RESOURCES!$C$3:$L$3,0),FALSE),"-")</f>
        <v>-</v>
      </c>
      <c r="AY89" s="92" t="str">
        <f>IFERROR(VLOOKUP($AT89,RESOURCES!$C:$L,MATCH('PRODUCTIVITY RAW'!AY$2,RESOURCES!$C$3:$L$3,0),FALSE),"-")</f>
        <v>-</v>
      </c>
      <c r="AZ89" s="92" t="str">
        <f>IFERROR(VLOOKUP($AT89,RESOURCES!$C:$L,MATCH('PRODUCTIVITY RAW'!AZ$2,RESOURCES!$C$3:$L$3,0),FALSE),"-")</f>
        <v>-</v>
      </c>
      <c r="BA89" s="20"/>
    </row>
    <row r="90" spans="1:53">
      <c r="A90" s="664">
        <f t="shared" si="18"/>
        <v>88</v>
      </c>
      <c r="B90" s="466">
        <f t="shared" si="12"/>
        <v>10072202</v>
      </c>
      <c r="C90" s="92" t="str">
        <f>IFERROR(VLOOKUP($B90,RESOURCES!$C:$L,MATCH('PRODUCTIVITY RAW'!C$2,RESOURCES!$C$3:$L$3,0),FALSE),"-")</f>
        <v>GARCIA, MARC RANIELLE R.</v>
      </c>
      <c r="D90" s="92" t="str">
        <f>IFERROR(VLOOKUP($B90,RESOURCES!$C:$L,MATCH('PRODUCTIVITY RAW'!D$2,RESOURCES!$C$3:$L$3,0),FALSE),"-")</f>
        <v>Senior Web Designer</v>
      </c>
      <c r="E90" s="92" t="str">
        <f>IFERROR(VLOOKUP($B90,RESOURCES!$C:$L,MATCH('PRODUCTIVITY RAW'!E$2,RESOURCES!$C$3:$L$3,0),FALSE),"-")</f>
        <v>DE LOS SANTOS, Richard</v>
      </c>
      <c r="F90" s="92" t="str">
        <f>IFERROR(VLOOKUP($B90,RESOURCES!$C:$L,MATCH('PRODUCTIVITY RAW'!F$2,RESOURCES!$C$3:$L$3,0),FALSE),"-")</f>
        <v>TAGUILASO, Daryl</v>
      </c>
      <c r="G90" s="92" t="str">
        <f>IFERROR(VLOOKUP($B90,RESOURCES!$C:$L,MATCH('PRODUCTIVITY RAW'!G$2,RESOURCES!$C$3:$L$3,0),FALSE),"-")</f>
        <v>MENDOZA, Carlo</v>
      </c>
      <c r="H90" s="92" t="str">
        <f>IFERROR(VLOOKUP($B90,RESOURCES!$C:$L,MATCH('PRODUCTIVITY RAW'!H$2,RESOURCES!$C$3:$L$3,0),FALSE),"-")</f>
        <v>Ventanilla, Mike</v>
      </c>
      <c r="I90" s="8"/>
      <c r="J90" s="8"/>
      <c r="K90" s="9" t="str">
        <f>IFERROR(VLOOKUP($B90,RESOURCES!$C:$L,MATCH('PRODUCTIVITY RAW'!K$2,RESOURCES!$C$3:$L$3,0),FALSE),"-")</f>
        <v>Expert</v>
      </c>
      <c r="L90" s="21">
        <f t="shared" si="10"/>
        <v>103.92999999999999</v>
      </c>
      <c r="M90" s="21">
        <f t="shared" si="11"/>
        <v>112.5</v>
      </c>
      <c r="N90" s="21">
        <f t="shared" si="13"/>
        <v>15</v>
      </c>
      <c r="O90" s="86">
        <f t="shared" si="14"/>
        <v>6.9286666666666665</v>
      </c>
      <c r="P90" s="86">
        <f>IFERROR(VLOOKUP($D90,KPI!$V:$AN,2,FALSE),"-")</f>
        <v>7</v>
      </c>
      <c r="Q90" s="32">
        <f t="shared" si="15"/>
        <v>0.98980952380952369</v>
      </c>
      <c r="R90" s="185">
        <f t="shared" si="16"/>
        <v>105</v>
      </c>
      <c r="S90" s="89" t="str">
        <f t="shared" si="17"/>
        <v>Senior Web Designer</v>
      </c>
      <c r="AG90" s="664">
        <v>88</v>
      </c>
      <c r="AH90" s="664">
        <v>10072202</v>
      </c>
      <c r="AI90" s="664" t="s">
        <v>190</v>
      </c>
      <c r="AJ90" s="92" t="s">
        <v>142</v>
      </c>
      <c r="AK90" s="92" t="s">
        <v>186</v>
      </c>
      <c r="AL90" s="92" t="s">
        <v>170</v>
      </c>
      <c r="AM90" s="92" t="s">
        <v>85</v>
      </c>
      <c r="AN90" s="92" t="s">
        <v>86</v>
      </c>
      <c r="AO90" s="157">
        <v>103.92999999999999</v>
      </c>
      <c r="AP90" s="157">
        <v>112.5</v>
      </c>
      <c r="AQ90" s="571">
        <v>0</v>
      </c>
      <c r="AS90" s="664">
        <f t="shared" si="19"/>
        <v>88</v>
      </c>
      <c r="AT90" s="664"/>
      <c r="AU90" s="664"/>
      <c r="AV90" s="92" t="str">
        <f>IFERROR(VLOOKUP($AT90,RESOURCES!$C:$L,MATCH('PRODUCTIVITY RAW'!AV$2,RESOURCES!$C$3:$L$3,0),FALSE),"-")</f>
        <v>-</v>
      </c>
      <c r="AW90" s="92" t="str">
        <f>IFERROR(VLOOKUP($AT90,RESOURCES!$C:$L,MATCH('PRODUCTIVITY RAW'!AW$2,RESOURCES!$C$3:$L$3,0),FALSE),"-")</f>
        <v>-</v>
      </c>
      <c r="AX90" s="92" t="str">
        <f>IFERROR(VLOOKUP($AT90,RESOURCES!$C:$L,MATCH('PRODUCTIVITY RAW'!AX$2,RESOURCES!$C$3:$L$3,0),FALSE),"-")</f>
        <v>-</v>
      </c>
      <c r="AY90" s="92" t="str">
        <f>IFERROR(VLOOKUP($AT90,RESOURCES!$C:$L,MATCH('PRODUCTIVITY RAW'!AY$2,RESOURCES!$C$3:$L$3,0),FALSE),"-")</f>
        <v>-</v>
      </c>
      <c r="AZ90" s="92" t="str">
        <f>IFERROR(VLOOKUP($AT90,RESOURCES!$C:$L,MATCH('PRODUCTIVITY RAW'!AZ$2,RESOURCES!$C$3:$L$3,0),FALSE),"-")</f>
        <v>-</v>
      </c>
      <c r="BA90" s="20"/>
    </row>
    <row r="91" spans="1:53">
      <c r="A91" s="664">
        <f t="shared" si="18"/>
        <v>89</v>
      </c>
      <c r="B91" s="466">
        <f t="shared" si="12"/>
        <v>10072205</v>
      </c>
      <c r="C91" s="92" t="str">
        <f>IFERROR(VLOOKUP($B91,RESOURCES!$C:$L,MATCH('PRODUCTIVITY RAW'!C$2,RESOURCES!$C$3:$L$3,0),FALSE),"-")</f>
        <v>HERNAEZ, SHAIRA MAE A.</v>
      </c>
      <c r="D91" s="92" t="str">
        <f>IFERROR(VLOOKUP($B91,RESOURCES!$C:$L,MATCH('PRODUCTIVITY RAW'!D$2,RESOURCES!$C$3:$L$3,0),FALSE),"-")</f>
        <v>Web Designer</v>
      </c>
      <c r="E91" s="92" t="str">
        <f>IFERROR(VLOOKUP($B91,RESOURCES!$C:$L,MATCH('PRODUCTIVITY RAW'!E$2,RESOURCES!$C$3:$L$3,0),FALSE),"-")</f>
        <v>DE LOS SANTOS, Richard</v>
      </c>
      <c r="F91" s="92" t="str">
        <f>IFERROR(VLOOKUP($B91,RESOURCES!$C:$L,MATCH('PRODUCTIVITY RAW'!F$2,RESOURCES!$C$3:$L$3,0),FALSE),"-")</f>
        <v>TAGUILASO, Daryl</v>
      </c>
      <c r="G91" s="92" t="str">
        <f>IFERROR(VLOOKUP($B91,RESOURCES!$C:$L,MATCH('PRODUCTIVITY RAW'!G$2,RESOURCES!$C$3:$L$3,0),FALSE),"-")</f>
        <v>MENDOZA, Carlo</v>
      </c>
      <c r="H91" s="92" t="str">
        <f>IFERROR(VLOOKUP($B91,RESOURCES!$C:$L,MATCH('PRODUCTIVITY RAW'!H$2,RESOURCES!$C$3:$L$3,0),FALSE),"-")</f>
        <v>Ventanilla, Mike</v>
      </c>
      <c r="I91" s="8"/>
      <c r="J91" s="8"/>
      <c r="K91" s="9" t="str">
        <f>IFERROR(VLOOKUP($B91,RESOURCES!$C:$L,MATCH('PRODUCTIVITY RAW'!K$2,RESOURCES!$C$3:$L$3,0),FALSE),"-")</f>
        <v>Expert</v>
      </c>
      <c r="L91" s="21">
        <f t="shared" si="10"/>
        <v>119.93999999999998</v>
      </c>
      <c r="M91" s="21">
        <f t="shared" si="11"/>
        <v>135</v>
      </c>
      <c r="N91" s="21">
        <f t="shared" si="13"/>
        <v>18</v>
      </c>
      <c r="O91" s="86">
        <f t="shared" si="14"/>
        <v>6.6633333333333322</v>
      </c>
      <c r="P91" s="86">
        <f>IFERROR(VLOOKUP($D91,KPI!$V:$AN,2,FALSE),"-")</f>
        <v>8</v>
      </c>
      <c r="Q91" s="32">
        <f t="shared" si="15"/>
        <v>0.83679069767441838</v>
      </c>
      <c r="R91" s="185">
        <f t="shared" si="16"/>
        <v>143.33333333333334</v>
      </c>
      <c r="S91" s="89" t="str">
        <f t="shared" si="17"/>
        <v>Web Designer</v>
      </c>
      <c r="AG91" s="664">
        <v>89</v>
      </c>
      <c r="AH91" s="664">
        <v>10072205</v>
      </c>
      <c r="AI91" s="664" t="s">
        <v>191</v>
      </c>
      <c r="AJ91" s="92" t="s">
        <v>83</v>
      </c>
      <c r="AK91" s="92" t="s">
        <v>186</v>
      </c>
      <c r="AL91" s="92" t="s">
        <v>170</v>
      </c>
      <c r="AM91" s="92" t="s">
        <v>85</v>
      </c>
      <c r="AN91" s="92" t="s">
        <v>86</v>
      </c>
      <c r="AO91" s="157">
        <v>119.93999999999998</v>
      </c>
      <c r="AP91" s="157">
        <v>135</v>
      </c>
      <c r="AQ91" s="571">
        <v>0.66666666666666663</v>
      </c>
      <c r="AS91" s="664">
        <f t="shared" si="19"/>
        <v>89</v>
      </c>
      <c r="AT91" s="664"/>
      <c r="AU91" s="664"/>
      <c r="AV91" s="92" t="str">
        <f>IFERROR(VLOOKUP($AT91,RESOURCES!$C:$L,MATCH('PRODUCTIVITY RAW'!AV$2,RESOURCES!$C$3:$L$3,0),FALSE),"-")</f>
        <v>-</v>
      </c>
      <c r="AW91" s="92" t="str">
        <f>IFERROR(VLOOKUP($AT91,RESOURCES!$C:$L,MATCH('PRODUCTIVITY RAW'!AW$2,RESOURCES!$C$3:$L$3,0),FALSE),"-")</f>
        <v>-</v>
      </c>
      <c r="AX91" s="92" t="str">
        <f>IFERROR(VLOOKUP($AT91,RESOURCES!$C:$L,MATCH('PRODUCTIVITY RAW'!AX$2,RESOURCES!$C$3:$L$3,0),FALSE),"-")</f>
        <v>-</v>
      </c>
      <c r="AY91" s="92" t="str">
        <f>IFERROR(VLOOKUP($AT91,RESOURCES!$C:$L,MATCH('PRODUCTIVITY RAW'!AY$2,RESOURCES!$C$3:$L$3,0),FALSE),"-")</f>
        <v>-</v>
      </c>
      <c r="AZ91" s="92" t="str">
        <f>IFERROR(VLOOKUP($AT91,RESOURCES!$C:$L,MATCH('PRODUCTIVITY RAW'!AZ$2,RESOURCES!$C$3:$L$3,0),FALSE),"-")</f>
        <v>-</v>
      </c>
      <c r="BA91" s="20"/>
    </row>
    <row r="92" spans="1:53">
      <c r="A92" s="664">
        <f t="shared" si="18"/>
        <v>90</v>
      </c>
      <c r="B92" s="466">
        <f t="shared" si="12"/>
        <v>10072256</v>
      </c>
      <c r="C92" s="92" t="str">
        <f>IFERROR(VLOOKUP($B92,RESOURCES!$C:$L,MATCH('PRODUCTIVITY RAW'!C$2,RESOURCES!$C$3:$L$3,0),FALSE),"-")</f>
        <v>LANSIGAN, ERICKA R.</v>
      </c>
      <c r="D92" s="92" t="str">
        <f>IFERROR(VLOOKUP($B92,RESOURCES!$C:$L,MATCH('PRODUCTIVITY RAW'!D$2,RESOURCES!$C$3:$L$3,0),FALSE),"-")</f>
        <v>Web Designer</v>
      </c>
      <c r="E92" s="92" t="str">
        <f>IFERROR(VLOOKUP($B92,RESOURCES!$C:$L,MATCH('PRODUCTIVITY RAW'!E$2,RESOURCES!$C$3:$L$3,0),FALSE),"-")</f>
        <v>DE LOS SANTOS, Richard</v>
      </c>
      <c r="F92" s="92" t="str">
        <f>IFERROR(VLOOKUP($B92,RESOURCES!$C:$L,MATCH('PRODUCTIVITY RAW'!F$2,RESOURCES!$C$3:$L$3,0),FALSE),"-")</f>
        <v>TAGUILASO, Daryl</v>
      </c>
      <c r="G92" s="92" t="str">
        <f>IFERROR(VLOOKUP($B92,RESOURCES!$C:$L,MATCH('PRODUCTIVITY RAW'!G$2,RESOURCES!$C$3:$L$3,0),FALSE),"-")</f>
        <v>MENDOZA, Carlo</v>
      </c>
      <c r="H92" s="92" t="str">
        <f>IFERROR(VLOOKUP($B92,RESOURCES!$C:$L,MATCH('PRODUCTIVITY RAW'!H$2,RESOURCES!$C$3:$L$3,0),FALSE),"-")</f>
        <v>Ventanilla, Mike</v>
      </c>
      <c r="I92" s="8"/>
      <c r="J92" s="8"/>
      <c r="K92" s="9" t="str">
        <f>IFERROR(VLOOKUP($B92,RESOURCES!$C:$L,MATCH('PRODUCTIVITY RAW'!K$2,RESOURCES!$C$3:$L$3,0),FALSE),"-")</f>
        <v>Expert</v>
      </c>
      <c r="L92" s="21">
        <f t="shared" si="10"/>
        <v>256.08000000000004</v>
      </c>
      <c r="M92" s="21">
        <f t="shared" si="11"/>
        <v>105</v>
      </c>
      <c r="N92" s="21">
        <f t="shared" si="13"/>
        <v>14</v>
      </c>
      <c r="O92" s="86">
        <f t="shared" si="14"/>
        <v>18.291428571428575</v>
      </c>
      <c r="P92" s="86">
        <f>IFERROR(VLOOKUP($D92,KPI!$V:$AN,2,FALSE),"-")</f>
        <v>8</v>
      </c>
      <c r="Q92" s="32">
        <f t="shared" si="15"/>
        <v>1</v>
      </c>
      <c r="R92" s="185">
        <f t="shared" si="16"/>
        <v>111.4</v>
      </c>
      <c r="S92" s="89" t="str">
        <f t="shared" si="17"/>
        <v>Web Designer</v>
      </c>
      <c r="AG92" s="664">
        <v>90</v>
      </c>
      <c r="AH92" s="664">
        <v>10072256</v>
      </c>
      <c r="AI92" s="664" t="s">
        <v>192</v>
      </c>
      <c r="AJ92" s="92" t="s">
        <v>83</v>
      </c>
      <c r="AK92" s="92" t="s">
        <v>186</v>
      </c>
      <c r="AL92" s="92" t="s">
        <v>170</v>
      </c>
      <c r="AM92" s="92" t="s">
        <v>85</v>
      </c>
      <c r="AN92" s="92" t="s">
        <v>86</v>
      </c>
      <c r="AO92" s="157">
        <v>256.08000000000004</v>
      </c>
      <c r="AP92" s="157">
        <v>105</v>
      </c>
      <c r="AQ92" s="571">
        <v>0.6</v>
      </c>
      <c r="AS92" s="664">
        <f t="shared" si="19"/>
        <v>90</v>
      </c>
      <c r="AT92" s="664"/>
      <c r="AU92" s="664"/>
      <c r="AV92" s="92" t="str">
        <f>IFERROR(VLOOKUP($AT92,RESOURCES!$C:$L,MATCH('PRODUCTIVITY RAW'!AV$2,RESOURCES!$C$3:$L$3,0),FALSE),"-")</f>
        <v>-</v>
      </c>
      <c r="AW92" s="92" t="str">
        <f>IFERROR(VLOOKUP($AT92,RESOURCES!$C:$L,MATCH('PRODUCTIVITY RAW'!AW$2,RESOURCES!$C$3:$L$3,0),FALSE),"-")</f>
        <v>-</v>
      </c>
      <c r="AX92" s="92" t="str">
        <f>IFERROR(VLOOKUP($AT92,RESOURCES!$C:$L,MATCH('PRODUCTIVITY RAW'!AX$2,RESOURCES!$C$3:$L$3,0),FALSE),"-")</f>
        <v>-</v>
      </c>
      <c r="AY92" s="92" t="str">
        <f>IFERROR(VLOOKUP($AT92,RESOURCES!$C:$L,MATCH('PRODUCTIVITY RAW'!AY$2,RESOURCES!$C$3:$L$3,0),FALSE),"-")</f>
        <v>-</v>
      </c>
      <c r="AZ92" s="92" t="str">
        <f>IFERROR(VLOOKUP($AT92,RESOURCES!$C:$L,MATCH('PRODUCTIVITY RAW'!AZ$2,RESOURCES!$C$3:$L$3,0),FALSE),"-")</f>
        <v>-</v>
      </c>
      <c r="BA92" s="20"/>
    </row>
    <row r="93" spans="1:53">
      <c r="A93" s="664">
        <f t="shared" si="18"/>
        <v>91</v>
      </c>
      <c r="B93" s="466">
        <f t="shared" si="12"/>
        <v>10071811</v>
      </c>
      <c r="C93" s="92" t="str">
        <f>IFERROR(VLOOKUP($B93,RESOURCES!$C:$L,MATCH('PRODUCTIVITY RAW'!C$2,RESOURCES!$C$3:$L$3,0),FALSE),"-")</f>
        <v>LITAM, JOHN DEXTER M.</v>
      </c>
      <c r="D93" s="92" t="str">
        <f>IFERROR(VLOOKUP($B93,RESOURCES!$C:$L,MATCH('PRODUCTIVITY RAW'!D$2,RESOURCES!$C$3:$L$3,0),FALSE),"-")</f>
        <v>Web Designer</v>
      </c>
      <c r="E93" s="92" t="str">
        <f>IFERROR(VLOOKUP($B93,RESOURCES!$C:$L,MATCH('PRODUCTIVITY RAW'!E$2,RESOURCES!$C$3:$L$3,0),FALSE),"-")</f>
        <v>DE LOS SANTOS, Richard</v>
      </c>
      <c r="F93" s="92" t="str">
        <f>IFERROR(VLOOKUP($B93,RESOURCES!$C:$L,MATCH('PRODUCTIVITY RAW'!F$2,RESOURCES!$C$3:$L$3,0),FALSE),"-")</f>
        <v>TAGUILASO, Daryl</v>
      </c>
      <c r="G93" s="92" t="str">
        <f>IFERROR(VLOOKUP($B93,RESOURCES!$C:$L,MATCH('PRODUCTIVITY RAW'!G$2,RESOURCES!$C$3:$L$3,0),FALSE),"-")</f>
        <v>MENDOZA, Carlo</v>
      </c>
      <c r="H93" s="92" t="str">
        <f>IFERROR(VLOOKUP($B93,RESOURCES!$C:$L,MATCH('PRODUCTIVITY RAW'!H$2,RESOURCES!$C$3:$L$3,0),FALSE),"-")</f>
        <v>Ventanilla, Mike</v>
      </c>
      <c r="I93" s="8"/>
      <c r="J93" s="8"/>
      <c r="K93" s="9" t="str">
        <f>IFERROR(VLOOKUP($B93,RESOURCES!$C:$L,MATCH('PRODUCTIVITY RAW'!K$2,RESOURCES!$C$3:$L$3,0),FALSE),"-")</f>
        <v>Expert</v>
      </c>
      <c r="L93" s="21">
        <f t="shared" si="10"/>
        <v>88.610000000000028</v>
      </c>
      <c r="M93" s="21">
        <f t="shared" si="11"/>
        <v>90</v>
      </c>
      <c r="N93" s="21">
        <f t="shared" si="13"/>
        <v>12</v>
      </c>
      <c r="O93" s="86">
        <f t="shared" si="14"/>
        <v>7.384166666666669</v>
      </c>
      <c r="P93" s="86">
        <f>IFERROR(VLOOKUP($D93,KPI!$V:$AN,2,FALSE),"-")</f>
        <v>8</v>
      </c>
      <c r="Q93" s="32">
        <f t="shared" si="15"/>
        <v>0.92302083333333362</v>
      </c>
      <c r="R93" s="185">
        <f t="shared" si="16"/>
        <v>96</v>
      </c>
      <c r="S93" s="89" t="str">
        <f t="shared" si="17"/>
        <v>Web Designer</v>
      </c>
      <c r="AG93" s="664">
        <v>91</v>
      </c>
      <c r="AH93" s="664">
        <v>10071811</v>
      </c>
      <c r="AI93" s="664" t="s">
        <v>193</v>
      </c>
      <c r="AJ93" s="92" t="s">
        <v>83</v>
      </c>
      <c r="AK93" s="92" t="s">
        <v>186</v>
      </c>
      <c r="AL93" s="92" t="s">
        <v>170</v>
      </c>
      <c r="AM93" s="92" t="s">
        <v>85</v>
      </c>
      <c r="AN93" s="92" t="s">
        <v>86</v>
      </c>
      <c r="AO93" s="157">
        <v>88.610000000000028</v>
      </c>
      <c r="AP93" s="157">
        <v>90</v>
      </c>
      <c r="AQ93" s="571">
        <v>0</v>
      </c>
      <c r="AS93" s="664">
        <f t="shared" si="19"/>
        <v>91</v>
      </c>
      <c r="AT93" s="664"/>
      <c r="AU93" s="664"/>
      <c r="AV93" s="92" t="str">
        <f>IFERROR(VLOOKUP($AT93,RESOURCES!$C:$L,MATCH('PRODUCTIVITY RAW'!AV$2,RESOURCES!$C$3:$L$3,0),FALSE),"-")</f>
        <v>-</v>
      </c>
      <c r="AW93" s="92" t="str">
        <f>IFERROR(VLOOKUP($AT93,RESOURCES!$C:$L,MATCH('PRODUCTIVITY RAW'!AW$2,RESOURCES!$C$3:$L$3,0),FALSE),"-")</f>
        <v>-</v>
      </c>
      <c r="AX93" s="92" t="str">
        <f>IFERROR(VLOOKUP($AT93,RESOURCES!$C:$L,MATCH('PRODUCTIVITY RAW'!AX$2,RESOURCES!$C$3:$L$3,0),FALSE),"-")</f>
        <v>-</v>
      </c>
      <c r="AY93" s="92" t="str">
        <f>IFERROR(VLOOKUP($AT93,RESOURCES!$C:$L,MATCH('PRODUCTIVITY RAW'!AY$2,RESOURCES!$C$3:$L$3,0),FALSE),"-")</f>
        <v>-</v>
      </c>
      <c r="AZ93" s="92" t="str">
        <f>IFERROR(VLOOKUP($AT93,RESOURCES!$C:$L,MATCH('PRODUCTIVITY RAW'!AZ$2,RESOURCES!$C$3:$L$3,0),FALSE),"-")</f>
        <v>-</v>
      </c>
      <c r="BA93" s="20"/>
    </row>
    <row r="94" spans="1:53">
      <c r="A94" s="664">
        <f t="shared" si="18"/>
        <v>92</v>
      </c>
      <c r="B94" s="466">
        <f t="shared" si="12"/>
        <v>10072516</v>
      </c>
      <c r="C94" s="92" t="str">
        <f>IFERROR(VLOOKUP($B94,RESOURCES!$C:$L,MATCH('PRODUCTIVITY RAW'!C$2,RESOURCES!$C$3:$L$3,0),FALSE),"-")</f>
        <v>MARTINEZ, LYCEL L.</v>
      </c>
      <c r="D94" s="92" t="str">
        <f>IFERROR(VLOOKUP($B94,RESOURCES!$C:$L,MATCH('PRODUCTIVITY RAW'!D$2,RESOURCES!$C$3:$L$3,0),FALSE),"-")</f>
        <v>Web Designer</v>
      </c>
      <c r="E94" s="92" t="str">
        <f>IFERROR(VLOOKUP($B94,RESOURCES!$C:$L,MATCH('PRODUCTIVITY RAW'!E$2,RESOURCES!$C$3:$L$3,0),FALSE),"-")</f>
        <v>DE LOS SANTOS, Richard</v>
      </c>
      <c r="F94" s="92" t="str">
        <f>IFERROR(VLOOKUP($B94,RESOURCES!$C:$L,MATCH('PRODUCTIVITY RAW'!F$2,RESOURCES!$C$3:$L$3,0),FALSE),"-")</f>
        <v>TAGUILASO, Daryl</v>
      </c>
      <c r="G94" s="92" t="str">
        <f>IFERROR(VLOOKUP($B94,RESOURCES!$C:$L,MATCH('PRODUCTIVITY RAW'!G$2,RESOURCES!$C$3:$L$3,0),FALSE),"-")</f>
        <v>MENDOZA, Carlo</v>
      </c>
      <c r="H94" s="92" t="str">
        <f>IFERROR(VLOOKUP($B94,RESOURCES!$C:$L,MATCH('PRODUCTIVITY RAW'!H$2,RESOURCES!$C$3:$L$3,0),FALSE),"-")</f>
        <v>Ventanilla, Mike</v>
      </c>
      <c r="I94" s="8"/>
      <c r="J94" s="8"/>
      <c r="K94" s="9" t="str">
        <f>IFERROR(VLOOKUP($B94,RESOURCES!$C:$L,MATCH('PRODUCTIVITY RAW'!K$2,RESOURCES!$C$3:$L$3,0),FALSE),"-")</f>
        <v>Expert</v>
      </c>
      <c r="L94" s="21">
        <f t="shared" si="10"/>
        <v>173.32000000000008</v>
      </c>
      <c r="M94" s="21">
        <f t="shared" si="11"/>
        <v>135</v>
      </c>
      <c r="N94" s="21">
        <f t="shared" si="13"/>
        <v>18</v>
      </c>
      <c r="O94" s="86">
        <f t="shared" si="14"/>
        <v>9.628888888888893</v>
      </c>
      <c r="P94" s="86">
        <f>IFERROR(VLOOKUP($D94,KPI!$V:$AN,2,FALSE),"-")</f>
        <v>8</v>
      </c>
      <c r="Q94" s="32">
        <f t="shared" si="15"/>
        <v>1</v>
      </c>
      <c r="R94" s="185">
        <f t="shared" si="16"/>
        <v>143.13333333333333</v>
      </c>
      <c r="S94" s="89" t="str">
        <f t="shared" si="17"/>
        <v>Web Designer</v>
      </c>
      <c r="AG94" s="664">
        <v>92</v>
      </c>
      <c r="AH94" s="664">
        <v>10072516</v>
      </c>
      <c r="AI94" s="664" t="s">
        <v>194</v>
      </c>
      <c r="AJ94" s="92" t="s">
        <v>83</v>
      </c>
      <c r="AK94" s="92" t="s">
        <v>186</v>
      </c>
      <c r="AL94" s="92" t="s">
        <v>170</v>
      </c>
      <c r="AM94" s="92" t="s">
        <v>85</v>
      </c>
      <c r="AN94" s="92" t="s">
        <v>86</v>
      </c>
      <c r="AO94" s="157">
        <v>173.32000000000008</v>
      </c>
      <c r="AP94" s="157">
        <v>135</v>
      </c>
      <c r="AQ94" s="571">
        <v>0.86666666666666659</v>
      </c>
      <c r="AS94" s="664">
        <f t="shared" si="19"/>
        <v>92</v>
      </c>
      <c r="AT94" s="664"/>
      <c r="AU94" s="664"/>
      <c r="AV94" s="92" t="str">
        <f>IFERROR(VLOOKUP($AT94,RESOURCES!$C:$L,MATCH('PRODUCTIVITY RAW'!AV$2,RESOURCES!$C$3:$L$3,0),FALSE),"-")</f>
        <v>-</v>
      </c>
      <c r="AW94" s="92" t="str">
        <f>IFERROR(VLOOKUP($AT94,RESOURCES!$C:$L,MATCH('PRODUCTIVITY RAW'!AW$2,RESOURCES!$C$3:$L$3,0),FALSE),"-")</f>
        <v>-</v>
      </c>
      <c r="AX94" s="92" t="str">
        <f>IFERROR(VLOOKUP($AT94,RESOURCES!$C:$L,MATCH('PRODUCTIVITY RAW'!AX$2,RESOURCES!$C$3:$L$3,0),FALSE),"-")</f>
        <v>-</v>
      </c>
      <c r="AY94" s="92" t="str">
        <f>IFERROR(VLOOKUP($AT94,RESOURCES!$C:$L,MATCH('PRODUCTIVITY RAW'!AY$2,RESOURCES!$C$3:$L$3,0),FALSE),"-")</f>
        <v>-</v>
      </c>
      <c r="AZ94" s="92" t="str">
        <f>IFERROR(VLOOKUP($AT94,RESOURCES!$C:$L,MATCH('PRODUCTIVITY RAW'!AZ$2,RESOURCES!$C$3:$L$3,0),FALSE),"-")</f>
        <v>-</v>
      </c>
      <c r="BA94" s="20"/>
    </row>
    <row r="95" spans="1:53">
      <c r="A95" s="664">
        <f t="shared" si="18"/>
        <v>93</v>
      </c>
      <c r="B95" s="466">
        <f t="shared" si="12"/>
        <v>10072243</v>
      </c>
      <c r="C95" s="92" t="str">
        <f>IFERROR(VLOOKUP($B95,RESOURCES!$C:$L,MATCH('PRODUCTIVITY RAW'!C$2,RESOURCES!$C$3:$L$3,0),FALSE),"-")</f>
        <v>SAULON, JOHN ARCHER L.</v>
      </c>
      <c r="D95" s="92" t="str">
        <f>IFERROR(VLOOKUP($B95,RESOURCES!$C:$L,MATCH('PRODUCTIVITY RAW'!D$2,RESOURCES!$C$3:$L$3,0),FALSE),"-")</f>
        <v>Senior Web Designer</v>
      </c>
      <c r="E95" s="92" t="str">
        <f>IFERROR(VLOOKUP($B95,RESOURCES!$C:$L,MATCH('PRODUCTIVITY RAW'!E$2,RESOURCES!$C$3:$L$3,0),FALSE),"-")</f>
        <v>DE LOS SANTOS, Richard</v>
      </c>
      <c r="F95" s="92" t="str">
        <f>IFERROR(VLOOKUP($B95,RESOURCES!$C:$L,MATCH('PRODUCTIVITY RAW'!F$2,RESOURCES!$C$3:$L$3,0),FALSE),"-")</f>
        <v>TAGUILASO, Daryl</v>
      </c>
      <c r="G95" s="92" t="str">
        <f>IFERROR(VLOOKUP($B95,RESOURCES!$C:$L,MATCH('PRODUCTIVITY RAW'!G$2,RESOURCES!$C$3:$L$3,0),FALSE),"-")</f>
        <v>MENDOZA, Carlo</v>
      </c>
      <c r="H95" s="92" t="str">
        <f>IFERROR(VLOOKUP($B95,RESOURCES!$C:$L,MATCH('PRODUCTIVITY RAW'!H$2,RESOURCES!$C$3:$L$3,0),FALSE),"-")</f>
        <v>Ventanilla, Mike</v>
      </c>
      <c r="I95" s="8"/>
      <c r="J95" s="8"/>
      <c r="K95" s="9" t="str">
        <f>IFERROR(VLOOKUP($B95,RESOURCES!$C:$L,MATCH('PRODUCTIVITY RAW'!K$2,RESOURCES!$C$3:$L$3,0),FALSE),"-")</f>
        <v>Expert</v>
      </c>
      <c r="L95" s="21">
        <f t="shared" si="10"/>
        <v>142.22</v>
      </c>
      <c r="M95" s="21">
        <f t="shared" si="11"/>
        <v>127.5</v>
      </c>
      <c r="N95" s="21">
        <f t="shared" si="13"/>
        <v>17</v>
      </c>
      <c r="O95" s="86">
        <f t="shared" si="14"/>
        <v>8.3658823529411759</v>
      </c>
      <c r="P95" s="86">
        <f>IFERROR(VLOOKUP($D95,KPI!$V:$AN,2,FALSE),"-")</f>
        <v>7</v>
      </c>
      <c r="Q95" s="32">
        <f t="shared" si="15"/>
        <v>1</v>
      </c>
      <c r="R95" s="185">
        <f t="shared" si="16"/>
        <v>118.26666666666667</v>
      </c>
      <c r="S95" s="89" t="str">
        <f t="shared" si="17"/>
        <v>Senior Web Designer</v>
      </c>
      <c r="AG95" s="664">
        <v>93</v>
      </c>
      <c r="AH95" s="664">
        <v>10072243</v>
      </c>
      <c r="AI95" s="664" t="s">
        <v>195</v>
      </c>
      <c r="AJ95" s="92" t="s">
        <v>142</v>
      </c>
      <c r="AK95" s="92" t="s">
        <v>186</v>
      </c>
      <c r="AL95" s="92" t="s">
        <v>170</v>
      </c>
      <c r="AM95" s="92" t="s">
        <v>85</v>
      </c>
      <c r="AN95" s="92" t="s">
        <v>86</v>
      </c>
      <c r="AO95" s="157">
        <v>142.22</v>
      </c>
      <c r="AP95" s="157">
        <v>127.5</v>
      </c>
      <c r="AQ95" s="571">
        <v>0.73333333333333328</v>
      </c>
      <c r="AS95" s="664">
        <f t="shared" si="19"/>
        <v>93</v>
      </c>
      <c r="AT95" s="664"/>
      <c r="AU95" s="664"/>
      <c r="AV95" s="92" t="str">
        <f>IFERROR(VLOOKUP($AT95,RESOURCES!$C:$L,MATCH('PRODUCTIVITY RAW'!AV$2,RESOURCES!$C$3:$L$3,0),FALSE),"-")</f>
        <v>-</v>
      </c>
      <c r="AW95" s="92" t="str">
        <f>IFERROR(VLOOKUP($AT95,RESOURCES!$C:$L,MATCH('PRODUCTIVITY RAW'!AW$2,RESOURCES!$C$3:$L$3,0),FALSE),"-")</f>
        <v>-</v>
      </c>
      <c r="AX95" s="92" t="str">
        <f>IFERROR(VLOOKUP($AT95,RESOURCES!$C:$L,MATCH('PRODUCTIVITY RAW'!AX$2,RESOURCES!$C$3:$L$3,0),FALSE),"-")</f>
        <v>-</v>
      </c>
      <c r="AY95" s="92" t="str">
        <f>IFERROR(VLOOKUP($AT95,RESOURCES!$C:$L,MATCH('PRODUCTIVITY RAW'!AY$2,RESOURCES!$C$3:$L$3,0),FALSE),"-")</f>
        <v>-</v>
      </c>
      <c r="AZ95" s="92" t="str">
        <f>IFERROR(VLOOKUP($AT95,RESOURCES!$C:$L,MATCH('PRODUCTIVITY RAW'!AZ$2,RESOURCES!$C$3:$L$3,0),FALSE),"-")</f>
        <v>-</v>
      </c>
      <c r="BA95" s="20"/>
    </row>
    <row r="96" spans="1:53">
      <c r="A96" s="664">
        <f t="shared" si="18"/>
        <v>94</v>
      </c>
      <c r="B96" s="466">
        <f t="shared" si="12"/>
        <v>10072096</v>
      </c>
      <c r="C96" s="92" t="str">
        <f>IFERROR(VLOOKUP($B96,RESOURCES!$C:$L,MATCH('PRODUCTIVITY RAW'!C$2,RESOURCES!$C$3:$L$3,0),FALSE),"-")</f>
        <v>TALANIA, DEAN FELIX G.</v>
      </c>
      <c r="D96" s="92" t="str">
        <f>IFERROR(VLOOKUP($B96,RESOURCES!$C:$L,MATCH('PRODUCTIVITY RAW'!D$2,RESOURCES!$C$3:$L$3,0),FALSE),"-")</f>
        <v>Web Designer</v>
      </c>
      <c r="E96" s="92" t="str">
        <f>IFERROR(VLOOKUP($B96,RESOURCES!$C:$L,MATCH('PRODUCTIVITY RAW'!E$2,RESOURCES!$C$3:$L$3,0),FALSE),"-")</f>
        <v>DE LOS SANTOS, Richard</v>
      </c>
      <c r="F96" s="92" t="str">
        <f>IFERROR(VLOOKUP($B96,RESOURCES!$C:$L,MATCH('PRODUCTIVITY RAW'!F$2,RESOURCES!$C$3:$L$3,0),FALSE),"-")</f>
        <v>TAGUILASO, Daryl</v>
      </c>
      <c r="G96" s="92" t="str">
        <f>IFERROR(VLOOKUP($B96,RESOURCES!$C:$L,MATCH('PRODUCTIVITY RAW'!G$2,RESOURCES!$C$3:$L$3,0),FALSE),"-")</f>
        <v>MENDOZA, Carlo</v>
      </c>
      <c r="H96" s="92" t="str">
        <f>IFERROR(VLOOKUP($B96,RESOURCES!$C:$L,MATCH('PRODUCTIVITY RAW'!H$2,RESOURCES!$C$3:$L$3,0),FALSE),"-")</f>
        <v>Ventanilla, Mike</v>
      </c>
      <c r="I96" s="8"/>
      <c r="J96" s="8"/>
      <c r="K96" s="9" t="str">
        <f>IFERROR(VLOOKUP($B96,RESOURCES!$C:$L,MATCH('PRODUCTIVITY RAW'!K$2,RESOURCES!$C$3:$L$3,0),FALSE),"-")</f>
        <v>Expert</v>
      </c>
      <c r="L96" s="21">
        <f t="shared" si="10"/>
        <v>105.92</v>
      </c>
      <c r="M96" s="21">
        <f t="shared" si="11"/>
        <v>120</v>
      </c>
      <c r="N96" s="21">
        <f t="shared" si="13"/>
        <v>16</v>
      </c>
      <c r="O96" s="86">
        <f t="shared" si="14"/>
        <v>6.62</v>
      </c>
      <c r="P96" s="86">
        <f>IFERROR(VLOOKUP($D96,KPI!$V:$AN,2,FALSE),"-")</f>
        <v>8</v>
      </c>
      <c r="Q96" s="32">
        <f t="shared" si="15"/>
        <v>0.83445378151260508</v>
      </c>
      <c r="R96" s="185">
        <f t="shared" si="16"/>
        <v>126.93333333333334</v>
      </c>
      <c r="S96" s="89" t="str">
        <f t="shared" si="17"/>
        <v>Web Designer</v>
      </c>
      <c r="AG96" s="664">
        <v>94</v>
      </c>
      <c r="AH96" s="664">
        <v>10072096</v>
      </c>
      <c r="AI96" s="664" t="s">
        <v>196</v>
      </c>
      <c r="AJ96" s="92" t="s">
        <v>83</v>
      </c>
      <c r="AK96" s="92" t="s">
        <v>186</v>
      </c>
      <c r="AL96" s="92" t="s">
        <v>170</v>
      </c>
      <c r="AM96" s="92" t="s">
        <v>85</v>
      </c>
      <c r="AN96" s="92" t="s">
        <v>86</v>
      </c>
      <c r="AO96" s="157">
        <v>105.92</v>
      </c>
      <c r="AP96" s="157">
        <v>120</v>
      </c>
      <c r="AQ96" s="571">
        <v>1.0666666666666667</v>
      </c>
      <c r="AS96" s="664">
        <f t="shared" si="19"/>
        <v>94</v>
      </c>
      <c r="AT96" s="664"/>
      <c r="AU96" s="664"/>
      <c r="AV96" s="92" t="str">
        <f>IFERROR(VLOOKUP($AT96,RESOURCES!$C:$L,MATCH('PRODUCTIVITY RAW'!AV$2,RESOURCES!$C$3:$L$3,0),FALSE),"-")</f>
        <v>-</v>
      </c>
      <c r="AW96" s="92" t="str">
        <f>IFERROR(VLOOKUP($AT96,RESOURCES!$C:$L,MATCH('PRODUCTIVITY RAW'!AW$2,RESOURCES!$C$3:$L$3,0),FALSE),"-")</f>
        <v>-</v>
      </c>
      <c r="AX96" s="92" t="str">
        <f>IFERROR(VLOOKUP($AT96,RESOURCES!$C:$L,MATCH('PRODUCTIVITY RAW'!AX$2,RESOURCES!$C$3:$L$3,0),FALSE),"-")</f>
        <v>-</v>
      </c>
      <c r="AY96" s="92" t="str">
        <f>IFERROR(VLOOKUP($AT96,RESOURCES!$C:$L,MATCH('PRODUCTIVITY RAW'!AY$2,RESOURCES!$C$3:$L$3,0),FALSE),"-")</f>
        <v>-</v>
      </c>
      <c r="AZ96" s="92" t="str">
        <f>IFERROR(VLOOKUP($AT96,RESOURCES!$C:$L,MATCH('PRODUCTIVITY RAW'!AZ$2,RESOURCES!$C$3:$L$3,0),FALSE),"-")</f>
        <v>-</v>
      </c>
      <c r="BA96" s="20"/>
    </row>
    <row r="97" spans="1:53">
      <c r="A97" s="664">
        <f t="shared" si="18"/>
        <v>95</v>
      </c>
      <c r="B97" s="466">
        <f t="shared" si="12"/>
        <v>10071432</v>
      </c>
      <c r="C97" s="92" t="str">
        <f>IFERROR(VLOOKUP($B97,RESOURCES!$C:$L,MATCH('PRODUCTIVITY RAW'!C$2,RESOURCES!$C$3:$L$3,0),FALSE),"-")</f>
        <v>LARDIZABAL, JAN O.</v>
      </c>
      <c r="D97" s="92" t="str">
        <f>IFERROR(VLOOKUP($B97,RESOURCES!$C:$L,MATCH('PRODUCTIVITY RAW'!D$2,RESOURCES!$C$3:$L$3,0),FALSE),"-")</f>
        <v>Senior Web Designer</v>
      </c>
      <c r="E97" s="92" t="str">
        <f>IFERROR(VLOOKUP($B97,RESOURCES!$C:$L,MATCH('PRODUCTIVITY RAW'!E$2,RESOURCES!$C$3:$L$3,0),FALSE),"-")</f>
        <v>DE LOS SANTOS, Richard</v>
      </c>
      <c r="F97" s="92" t="str">
        <f>IFERROR(VLOOKUP($B97,RESOURCES!$C:$L,MATCH('PRODUCTIVITY RAW'!F$2,RESOURCES!$C$3:$L$3,0),FALSE),"-")</f>
        <v>TAGUILASO, Daryl</v>
      </c>
      <c r="G97" s="92" t="str">
        <f>IFERROR(VLOOKUP($B97,RESOURCES!$C:$L,MATCH('PRODUCTIVITY RAW'!G$2,RESOURCES!$C$3:$L$3,0),FALSE),"-")</f>
        <v>MENDOZA, Carlo</v>
      </c>
      <c r="H97" s="92" t="str">
        <f>IFERROR(VLOOKUP($B97,RESOURCES!$C:$L,MATCH('PRODUCTIVITY RAW'!H$2,RESOURCES!$C$3:$L$3,0),FALSE),"-")</f>
        <v>Ventanilla, Mike</v>
      </c>
      <c r="I97" s="8"/>
      <c r="J97" s="8"/>
      <c r="K97" s="9" t="str">
        <f>IFERROR(VLOOKUP($B97,RESOURCES!$C:$L,MATCH('PRODUCTIVITY RAW'!K$2,RESOURCES!$C$3:$L$3,0),FALSE),"-")</f>
        <v>Expert</v>
      </c>
      <c r="L97" s="21">
        <f t="shared" si="10"/>
        <v>142.22</v>
      </c>
      <c r="M97" s="21">
        <f t="shared" si="11"/>
        <v>142.5</v>
      </c>
      <c r="N97" s="21">
        <f t="shared" si="13"/>
        <v>19</v>
      </c>
      <c r="O97" s="86">
        <f t="shared" si="14"/>
        <v>7.4852631578947371</v>
      </c>
      <c r="P97" s="86">
        <f>IFERROR(VLOOKUP($D97,KPI!$V:$AN,2,FALSE),"-")</f>
        <v>7</v>
      </c>
      <c r="Q97" s="32">
        <f t="shared" si="15"/>
        <v>1</v>
      </c>
      <c r="R97" s="185">
        <f t="shared" si="16"/>
        <v>133</v>
      </c>
      <c r="S97" s="89" t="str">
        <f t="shared" si="17"/>
        <v>Senior Web Designer</v>
      </c>
      <c r="AG97" s="664">
        <v>95</v>
      </c>
      <c r="AH97" s="664">
        <v>10071432</v>
      </c>
      <c r="AI97" s="664" t="s">
        <v>197</v>
      </c>
      <c r="AJ97" s="92" t="s">
        <v>142</v>
      </c>
      <c r="AK97" s="92" t="s">
        <v>186</v>
      </c>
      <c r="AL97" s="92" t="s">
        <v>170</v>
      </c>
      <c r="AM97" s="92" t="s">
        <v>85</v>
      </c>
      <c r="AN97" s="92" t="s">
        <v>86</v>
      </c>
      <c r="AO97" s="157">
        <v>142.22</v>
      </c>
      <c r="AP97" s="157">
        <v>142.5</v>
      </c>
      <c r="AQ97" s="571">
        <v>0</v>
      </c>
      <c r="AS97" s="664">
        <f t="shared" si="19"/>
        <v>95</v>
      </c>
      <c r="AT97" s="664"/>
      <c r="AU97" s="664"/>
      <c r="AV97" s="92" t="str">
        <f>IFERROR(VLOOKUP($AT97,RESOURCES!$C:$L,MATCH('PRODUCTIVITY RAW'!AV$2,RESOURCES!$C$3:$L$3,0),FALSE),"-")</f>
        <v>-</v>
      </c>
      <c r="AW97" s="92" t="str">
        <f>IFERROR(VLOOKUP($AT97,RESOURCES!$C:$L,MATCH('PRODUCTIVITY RAW'!AW$2,RESOURCES!$C$3:$L$3,0),FALSE),"-")</f>
        <v>-</v>
      </c>
      <c r="AX97" s="92" t="str">
        <f>IFERROR(VLOOKUP($AT97,RESOURCES!$C:$L,MATCH('PRODUCTIVITY RAW'!AX$2,RESOURCES!$C$3:$L$3,0),FALSE),"-")</f>
        <v>-</v>
      </c>
      <c r="AY97" s="92" t="str">
        <f>IFERROR(VLOOKUP($AT97,RESOURCES!$C:$L,MATCH('PRODUCTIVITY RAW'!AY$2,RESOURCES!$C$3:$L$3,0),FALSE),"-")</f>
        <v>-</v>
      </c>
      <c r="AZ97" s="92" t="str">
        <f>IFERROR(VLOOKUP($AT97,RESOURCES!$C:$L,MATCH('PRODUCTIVITY RAW'!AZ$2,RESOURCES!$C$3:$L$3,0),FALSE),"-")</f>
        <v>-</v>
      </c>
      <c r="BA97" s="20"/>
    </row>
    <row r="98" spans="1:53">
      <c r="A98" s="664">
        <f t="shared" si="18"/>
        <v>96</v>
      </c>
      <c r="B98" s="466">
        <f t="shared" si="12"/>
        <v>10071188</v>
      </c>
      <c r="C98" s="92" t="str">
        <f>IFERROR(VLOOKUP($B98,RESOURCES!$C:$L,MATCH('PRODUCTIVITY RAW'!C$2,RESOURCES!$C$3:$L$3,0),FALSE),"-")</f>
        <v>CABAUATAN, JOHN BENNETH B.</v>
      </c>
      <c r="D98" s="92" t="str">
        <f>IFERROR(VLOOKUP($B98,RESOURCES!$C:$L,MATCH('PRODUCTIVITY RAW'!D$2,RESOURCES!$C$3:$L$3,0),FALSE),"-")</f>
        <v>Web Designer</v>
      </c>
      <c r="E98" s="92" t="str">
        <f>IFERROR(VLOOKUP($B98,RESOURCES!$C:$L,MATCH('PRODUCTIVITY RAW'!E$2,RESOURCES!$C$3:$L$3,0),FALSE),"-")</f>
        <v>DE LOS SANTOS, Richard</v>
      </c>
      <c r="F98" s="92" t="str">
        <f>IFERROR(VLOOKUP($B98,RESOURCES!$C:$L,MATCH('PRODUCTIVITY RAW'!F$2,RESOURCES!$C$3:$L$3,0),FALSE),"-")</f>
        <v>TAGUILASO, Daryl</v>
      </c>
      <c r="G98" s="92" t="str">
        <f>IFERROR(VLOOKUP($B98,RESOURCES!$C:$L,MATCH('PRODUCTIVITY RAW'!G$2,RESOURCES!$C$3:$L$3,0),FALSE),"-")</f>
        <v>MENDOZA, Carlo</v>
      </c>
      <c r="H98" s="92" t="str">
        <f>IFERROR(VLOOKUP($B98,RESOURCES!$C:$L,MATCH('PRODUCTIVITY RAW'!H$2,RESOURCES!$C$3:$L$3,0),FALSE),"-")</f>
        <v>Ventanilla, Mike</v>
      </c>
      <c r="I98" s="8"/>
      <c r="J98" s="8"/>
      <c r="K98" s="9" t="str">
        <f>IFERROR(VLOOKUP($B98,RESOURCES!$C:$L,MATCH('PRODUCTIVITY RAW'!K$2,RESOURCES!$C$3:$L$3,0),FALSE),"-")</f>
        <v>Expert</v>
      </c>
      <c r="L98" s="21">
        <f t="shared" si="10"/>
        <v>159.96000000000009</v>
      </c>
      <c r="M98" s="21">
        <f t="shared" si="11"/>
        <v>142.5</v>
      </c>
      <c r="N98" s="21">
        <f t="shared" si="13"/>
        <v>19</v>
      </c>
      <c r="O98" s="86">
        <f t="shared" si="14"/>
        <v>8.4189473684210583</v>
      </c>
      <c r="P98" s="86">
        <f>IFERROR(VLOOKUP($D98,KPI!$V:$AN,2,FALSE),"-")</f>
        <v>8</v>
      </c>
      <c r="Q98" s="32">
        <f t="shared" si="15"/>
        <v>1</v>
      </c>
      <c r="R98" s="185">
        <f t="shared" si="16"/>
        <v>151.46666666666667</v>
      </c>
      <c r="S98" s="89" t="str">
        <f t="shared" si="17"/>
        <v>Web Designer</v>
      </c>
      <c r="AG98" s="664">
        <v>96</v>
      </c>
      <c r="AH98" s="664">
        <v>10071188</v>
      </c>
      <c r="AI98" s="664" t="s">
        <v>198</v>
      </c>
      <c r="AJ98" s="92" t="s">
        <v>83</v>
      </c>
      <c r="AK98" s="92" t="s">
        <v>186</v>
      </c>
      <c r="AL98" s="92" t="s">
        <v>170</v>
      </c>
      <c r="AM98" s="92" t="s">
        <v>85</v>
      </c>
      <c r="AN98" s="92" t="s">
        <v>86</v>
      </c>
      <c r="AO98" s="157">
        <v>159.96000000000009</v>
      </c>
      <c r="AP98" s="157">
        <v>142.5</v>
      </c>
      <c r="AQ98" s="571">
        <v>0.53333333333333333</v>
      </c>
      <c r="AS98" s="664">
        <f t="shared" si="19"/>
        <v>96</v>
      </c>
      <c r="AT98" s="664"/>
      <c r="AU98" s="664"/>
      <c r="AV98" s="92" t="str">
        <f>IFERROR(VLOOKUP($AT98,RESOURCES!$C:$L,MATCH('PRODUCTIVITY RAW'!AV$2,RESOURCES!$C$3:$L$3,0),FALSE),"-")</f>
        <v>-</v>
      </c>
      <c r="AW98" s="92" t="str">
        <f>IFERROR(VLOOKUP($AT98,RESOURCES!$C:$L,MATCH('PRODUCTIVITY RAW'!AW$2,RESOURCES!$C$3:$L$3,0),FALSE),"-")</f>
        <v>-</v>
      </c>
      <c r="AX98" s="92" t="str">
        <f>IFERROR(VLOOKUP($AT98,RESOURCES!$C:$L,MATCH('PRODUCTIVITY RAW'!AX$2,RESOURCES!$C$3:$L$3,0),FALSE),"-")</f>
        <v>-</v>
      </c>
      <c r="AY98" s="92" t="str">
        <f>IFERROR(VLOOKUP($AT98,RESOURCES!$C:$L,MATCH('PRODUCTIVITY RAW'!AY$2,RESOURCES!$C$3:$L$3,0),FALSE),"-")</f>
        <v>-</v>
      </c>
      <c r="AZ98" s="92" t="str">
        <f>IFERROR(VLOOKUP($AT98,RESOURCES!$C:$L,MATCH('PRODUCTIVITY RAW'!AZ$2,RESOURCES!$C$3:$L$3,0),FALSE),"-")</f>
        <v>-</v>
      </c>
      <c r="BA98" s="20"/>
    </row>
    <row r="99" spans="1:53">
      <c r="A99" s="664">
        <f t="shared" si="18"/>
        <v>97</v>
      </c>
      <c r="B99" s="466">
        <f t="shared" si="12"/>
        <v>10072244</v>
      </c>
      <c r="C99" s="92" t="str">
        <f>IFERROR(VLOOKUP($B99,RESOURCES!$C:$L,MATCH('PRODUCTIVITY RAW'!C$2,RESOURCES!$C$3:$L$3,0),FALSE),"-")</f>
        <v>CANTAL, JINKY E.</v>
      </c>
      <c r="D99" s="92" t="str">
        <f>IFERROR(VLOOKUP($B99,RESOURCES!$C:$L,MATCH('PRODUCTIVITY RAW'!D$2,RESOURCES!$C$3:$L$3,0),FALSE),"-")</f>
        <v>Web Designer</v>
      </c>
      <c r="E99" s="92" t="str">
        <f>IFERROR(VLOOKUP($B99,RESOURCES!$C:$L,MATCH('PRODUCTIVITY RAW'!E$2,RESOURCES!$C$3:$L$3,0),FALSE),"-")</f>
        <v>CRUZ, Noel</v>
      </c>
      <c r="F99" s="92" t="str">
        <f>IFERROR(VLOOKUP($B99,RESOURCES!$C:$L,MATCH('PRODUCTIVITY RAW'!F$2,RESOURCES!$C$3:$L$3,0),FALSE),"-")</f>
        <v>TAGUILASO, Daryl</v>
      </c>
      <c r="G99" s="92" t="str">
        <f>IFERROR(VLOOKUP($B99,RESOURCES!$C:$L,MATCH('PRODUCTIVITY RAW'!G$2,RESOURCES!$C$3:$L$3,0),FALSE),"-")</f>
        <v>MENDOZA, Carlo</v>
      </c>
      <c r="H99" s="92" t="str">
        <f>IFERROR(VLOOKUP($B99,RESOURCES!$C:$L,MATCH('PRODUCTIVITY RAW'!H$2,RESOURCES!$C$3:$L$3,0),FALSE),"-")</f>
        <v>Ventanilla, Mike</v>
      </c>
      <c r="I99" s="8"/>
      <c r="J99" s="8"/>
      <c r="K99" s="9" t="str">
        <f>IFERROR(VLOOKUP($B99,RESOURCES!$C:$L,MATCH('PRODUCTIVITY RAW'!K$2,RESOURCES!$C$3:$L$3,0),FALSE),"-")</f>
        <v>Expert</v>
      </c>
      <c r="L99" s="21">
        <f t="shared" si="10"/>
        <v>106.50000000000009</v>
      </c>
      <c r="M99" s="21">
        <f t="shared" si="11"/>
        <v>123.75</v>
      </c>
      <c r="N99" s="21">
        <f t="shared" si="13"/>
        <v>16.5</v>
      </c>
      <c r="O99" s="86">
        <f t="shared" si="14"/>
        <v>6.4545454545454595</v>
      </c>
      <c r="P99" s="86">
        <f>IFERROR(VLOOKUP($D99,KPI!$V:$AN,2,FALSE),"-")</f>
        <v>8</v>
      </c>
      <c r="Q99" s="32">
        <f t="shared" si="15"/>
        <v>0.80886075949367164</v>
      </c>
      <c r="R99" s="185">
        <f t="shared" si="16"/>
        <v>131.66666666666666</v>
      </c>
      <c r="S99" s="89" t="str">
        <f t="shared" si="17"/>
        <v>Web Designer</v>
      </c>
      <c r="AG99" s="664">
        <v>97</v>
      </c>
      <c r="AH99" s="664">
        <v>10072244</v>
      </c>
      <c r="AI99" s="664" t="s">
        <v>199</v>
      </c>
      <c r="AJ99" s="92" t="s">
        <v>83</v>
      </c>
      <c r="AK99" s="92" t="s">
        <v>200</v>
      </c>
      <c r="AL99" s="92" t="s">
        <v>170</v>
      </c>
      <c r="AM99" s="92" t="s">
        <v>85</v>
      </c>
      <c r="AN99" s="92" t="s">
        <v>86</v>
      </c>
      <c r="AO99" s="157">
        <v>106.50000000000009</v>
      </c>
      <c r="AP99" s="157">
        <v>123.75</v>
      </c>
      <c r="AQ99" s="571">
        <v>0.33333333333333337</v>
      </c>
      <c r="AS99" s="664">
        <f t="shared" si="19"/>
        <v>97</v>
      </c>
      <c r="AT99" s="664"/>
      <c r="AU99" s="664"/>
      <c r="AV99" s="92" t="str">
        <f>IFERROR(VLOOKUP($AT99,RESOURCES!$C:$L,MATCH('PRODUCTIVITY RAW'!AV$2,RESOURCES!$C$3:$L$3,0),FALSE),"-")</f>
        <v>-</v>
      </c>
      <c r="AW99" s="92" t="str">
        <f>IFERROR(VLOOKUP($AT99,RESOURCES!$C:$L,MATCH('PRODUCTIVITY RAW'!AW$2,RESOURCES!$C$3:$L$3,0),FALSE),"-")</f>
        <v>-</v>
      </c>
      <c r="AX99" s="92" t="str">
        <f>IFERROR(VLOOKUP($AT99,RESOURCES!$C:$L,MATCH('PRODUCTIVITY RAW'!AX$2,RESOURCES!$C$3:$L$3,0),FALSE),"-")</f>
        <v>-</v>
      </c>
      <c r="AY99" s="92" t="str">
        <f>IFERROR(VLOOKUP($AT99,RESOURCES!$C:$L,MATCH('PRODUCTIVITY RAW'!AY$2,RESOURCES!$C$3:$L$3,0),FALSE),"-")</f>
        <v>-</v>
      </c>
      <c r="AZ99" s="92" t="str">
        <f>IFERROR(VLOOKUP($AT99,RESOURCES!$C:$L,MATCH('PRODUCTIVITY RAW'!AZ$2,RESOURCES!$C$3:$L$3,0),FALSE),"-")</f>
        <v>-</v>
      </c>
      <c r="BA99" s="20"/>
    </row>
    <row r="100" spans="1:53">
      <c r="A100" s="664">
        <f t="shared" si="18"/>
        <v>98</v>
      </c>
      <c r="B100" s="466">
        <f t="shared" si="12"/>
        <v>10072449</v>
      </c>
      <c r="C100" s="92" t="str">
        <f>IFERROR(VLOOKUP($B100,RESOURCES!$C:$L,MATCH('PRODUCTIVITY RAW'!C$2,RESOURCES!$C$3:$L$3,0),FALSE),"-")</f>
        <v>GUDEN, JACK THOMSON D.</v>
      </c>
      <c r="D100" s="92" t="str">
        <f>IFERROR(VLOOKUP($B100,RESOURCES!$C:$L,MATCH('PRODUCTIVITY RAW'!D$2,RESOURCES!$C$3:$L$3,0),FALSE),"-")</f>
        <v>Web Designer</v>
      </c>
      <c r="E100" s="92" t="str">
        <f>IFERROR(VLOOKUP($B100,RESOURCES!$C:$L,MATCH('PRODUCTIVITY RAW'!E$2,RESOURCES!$C$3:$L$3,0),FALSE),"-")</f>
        <v>CRUZ, Noel</v>
      </c>
      <c r="F100" s="92" t="str">
        <f>IFERROR(VLOOKUP($B100,RESOURCES!$C:$L,MATCH('PRODUCTIVITY RAW'!F$2,RESOURCES!$C$3:$L$3,0),FALSE),"-")</f>
        <v>TAGUILASO, Daryl</v>
      </c>
      <c r="G100" s="92" t="str">
        <f>IFERROR(VLOOKUP($B100,RESOURCES!$C:$L,MATCH('PRODUCTIVITY RAW'!G$2,RESOURCES!$C$3:$L$3,0),FALSE),"-")</f>
        <v>MENDOZA, Carlo</v>
      </c>
      <c r="H100" s="92" t="str">
        <f>IFERROR(VLOOKUP($B100,RESOURCES!$C:$L,MATCH('PRODUCTIVITY RAW'!H$2,RESOURCES!$C$3:$L$3,0),FALSE),"-")</f>
        <v>Ventanilla, Mike</v>
      </c>
      <c r="I100" s="8"/>
      <c r="J100" s="8"/>
      <c r="K100" s="9" t="str">
        <f>IFERROR(VLOOKUP($B100,RESOURCES!$C:$L,MATCH('PRODUCTIVITY RAW'!K$2,RESOURCES!$C$3:$L$3,0),FALSE),"-")</f>
        <v>Expert</v>
      </c>
      <c r="L100" s="21">
        <f t="shared" si="10"/>
        <v>128.43</v>
      </c>
      <c r="M100" s="21">
        <f t="shared" si="11"/>
        <v>135</v>
      </c>
      <c r="N100" s="21">
        <f t="shared" si="13"/>
        <v>18</v>
      </c>
      <c r="O100" s="86">
        <f t="shared" si="14"/>
        <v>7.1350000000000007</v>
      </c>
      <c r="P100" s="86">
        <f>IFERROR(VLOOKUP($D100,KPI!$V:$AN,2,FALSE),"-")</f>
        <v>8</v>
      </c>
      <c r="Q100" s="32">
        <f t="shared" si="15"/>
        <v>0.89270157553290086</v>
      </c>
      <c r="R100" s="185">
        <f t="shared" si="16"/>
        <v>143.86666666666667</v>
      </c>
      <c r="S100" s="89" t="str">
        <f t="shared" si="17"/>
        <v>Web Designer</v>
      </c>
      <c r="AG100" s="664">
        <v>98</v>
      </c>
      <c r="AH100" s="664">
        <v>10072449</v>
      </c>
      <c r="AI100" s="664" t="s">
        <v>201</v>
      </c>
      <c r="AJ100" s="92" t="s">
        <v>83</v>
      </c>
      <c r="AK100" s="92" t="s">
        <v>200</v>
      </c>
      <c r="AL100" s="92" t="s">
        <v>170</v>
      </c>
      <c r="AM100" s="92" t="s">
        <v>85</v>
      </c>
      <c r="AN100" s="92" t="s">
        <v>86</v>
      </c>
      <c r="AO100" s="157">
        <v>128.43</v>
      </c>
      <c r="AP100" s="157">
        <v>135</v>
      </c>
      <c r="AQ100" s="571">
        <v>0.13333333333333333</v>
      </c>
      <c r="AS100" s="664">
        <f t="shared" si="19"/>
        <v>98</v>
      </c>
      <c r="AT100" s="664"/>
      <c r="AU100" s="664"/>
      <c r="AV100" s="92" t="str">
        <f>IFERROR(VLOOKUP($AT100,RESOURCES!$C:$L,MATCH('PRODUCTIVITY RAW'!AV$2,RESOURCES!$C$3:$L$3,0),FALSE),"-")</f>
        <v>-</v>
      </c>
      <c r="AW100" s="92" t="str">
        <f>IFERROR(VLOOKUP($AT100,RESOURCES!$C:$L,MATCH('PRODUCTIVITY RAW'!AW$2,RESOURCES!$C$3:$L$3,0),FALSE),"-")</f>
        <v>-</v>
      </c>
      <c r="AX100" s="92" t="str">
        <f>IFERROR(VLOOKUP($AT100,RESOURCES!$C:$L,MATCH('PRODUCTIVITY RAW'!AX$2,RESOURCES!$C$3:$L$3,0),FALSE),"-")</f>
        <v>-</v>
      </c>
      <c r="AY100" s="92" t="str">
        <f>IFERROR(VLOOKUP($AT100,RESOURCES!$C:$L,MATCH('PRODUCTIVITY RAW'!AY$2,RESOURCES!$C$3:$L$3,0),FALSE),"-")</f>
        <v>-</v>
      </c>
      <c r="AZ100" s="92" t="str">
        <f>IFERROR(VLOOKUP($AT100,RESOURCES!$C:$L,MATCH('PRODUCTIVITY RAW'!AZ$2,RESOURCES!$C$3:$L$3,0),FALSE),"-")</f>
        <v>-</v>
      </c>
      <c r="BA100" s="20"/>
    </row>
    <row r="101" spans="1:53">
      <c r="A101" s="664">
        <f t="shared" si="18"/>
        <v>99</v>
      </c>
      <c r="B101" s="466">
        <f t="shared" si="12"/>
        <v>10071692</v>
      </c>
      <c r="C101" s="92" t="str">
        <f>IFERROR(VLOOKUP($B101,RESOURCES!$C:$L,MATCH('PRODUCTIVITY RAW'!C$2,RESOURCES!$C$3:$L$3,0),FALSE),"-")</f>
        <v>MANALO, PAUL ALEXIUS F.</v>
      </c>
      <c r="D101" s="92" t="str">
        <f>IFERROR(VLOOKUP($B101,RESOURCES!$C:$L,MATCH('PRODUCTIVITY RAW'!D$2,RESOURCES!$C$3:$L$3,0),FALSE),"-")</f>
        <v>Web Designer</v>
      </c>
      <c r="E101" s="92" t="str">
        <f>IFERROR(VLOOKUP($B101,RESOURCES!$C:$L,MATCH('PRODUCTIVITY RAW'!E$2,RESOURCES!$C$3:$L$3,0),FALSE),"-")</f>
        <v>CRUZ, Noel</v>
      </c>
      <c r="F101" s="92" t="str">
        <f>IFERROR(VLOOKUP($B101,RESOURCES!$C:$L,MATCH('PRODUCTIVITY RAW'!F$2,RESOURCES!$C$3:$L$3,0),FALSE),"-")</f>
        <v>TAGUILASO, Daryl</v>
      </c>
      <c r="G101" s="92" t="str">
        <f>IFERROR(VLOOKUP($B101,RESOURCES!$C:$L,MATCH('PRODUCTIVITY RAW'!G$2,RESOURCES!$C$3:$L$3,0),FALSE),"-")</f>
        <v>MENDOZA, Carlo</v>
      </c>
      <c r="H101" s="92" t="str">
        <f>IFERROR(VLOOKUP($B101,RESOURCES!$C:$L,MATCH('PRODUCTIVITY RAW'!H$2,RESOURCES!$C$3:$L$3,0),FALSE),"-")</f>
        <v>Ventanilla, Mike</v>
      </c>
      <c r="I101" s="8"/>
      <c r="J101" s="8"/>
      <c r="K101" s="9" t="str">
        <f>IFERROR(VLOOKUP($B101,RESOURCES!$C:$L,MATCH('PRODUCTIVITY RAW'!K$2,RESOURCES!$C$3:$L$3,0),FALSE),"-")</f>
        <v>Expert</v>
      </c>
      <c r="L101" s="21">
        <f t="shared" si="10"/>
        <v>98.840000000000032</v>
      </c>
      <c r="M101" s="21">
        <f t="shared" si="11"/>
        <v>120</v>
      </c>
      <c r="N101" s="21">
        <f t="shared" si="13"/>
        <v>16</v>
      </c>
      <c r="O101" s="86">
        <f t="shared" si="14"/>
        <v>6.177500000000002</v>
      </c>
      <c r="P101" s="86">
        <f>IFERROR(VLOOKUP($D101,KPI!$V:$AN,2,FALSE),"-")</f>
        <v>8</v>
      </c>
      <c r="Q101" s="32">
        <f t="shared" si="15"/>
        <v>0.77299270072992732</v>
      </c>
      <c r="R101" s="185">
        <f t="shared" si="16"/>
        <v>127.86666666666666</v>
      </c>
      <c r="S101" s="89" t="str">
        <f t="shared" si="17"/>
        <v>Web Designer</v>
      </c>
      <c r="AG101" s="664">
        <v>99</v>
      </c>
      <c r="AH101" s="664">
        <v>10071692</v>
      </c>
      <c r="AI101" s="664" t="s">
        <v>202</v>
      </c>
      <c r="AJ101" s="92" t="s">
        <v>83</v>
      </c>
      <c r="AK101" s="92" t="s">
        <v>200</v>
      </c>
      <c r="AL101" s="92" t="s">
        <v>170</v>
      </c>
      <c r="AM101" s="92" t="s">
        <v>85</v>
      </c>
      <c r="AN101" s="92" t="s">
        <v>86</v>
      </c>
      <c r="AO101" s="157">
        <v>98.840000000000032</v>
      </c>
      <c r="AP101" s="157">
        <v>120</v>
      </c>
      <c r="AQ101" s="571">
        <v>0.13333333333333333</v>
      </c>
      <c r="AS101" s="664">
        <f t="shared" si="19"/>
        <v>99</v>
      </c>
      <c r="AT101" s="664"/>
      <c r="AU101" s="664"/>
      <c r="AV101" s="92" t="str">
        <f>IFERROR(VLOOKUP($AT101,RESOURCES!$C:$L,MATCH('PRODUCTIVITY RAW'!AV$2,RESOURCES!$C$3:$L$3,0),FALSE),"-")</f>
        <v>-</v>
      </c>
      <c r="AW101" s="92" t="str">
        <f>IFERROR(VLOOKUP($AT101,RESOURCES!$C:$L,MATCH('PRODUCTIVITY RAW'!AW$2,RESOURCES!$C$3:$L$3,0),FALSE),"-")</f>
        <v>-</v>
      </c>
      <c r="AX101" s="92" t="str">
        <f>IFERROR(VLOOKUP($AT101,RESOURCES!$C:$L,MATCH('PRODUCTIVITY RAW'!AX$2,RESOURCES!$C$3:$L$3,0),FALSE),"-")</f>
        <v>-</v>
      </c>
      <c r="AY101" s="92" t="str">
        <f>IFERROR(VLOOKUP($AT101,RESOURCES!$C:$L,MATCH('PRODUCTIVITY RAW'!AY$2,RESOURCES!$C$3:$L$3,0),FALSE),"-")</f>
        <v>-</v>
      </c>
      <c r="AZ101" s="92" t="str">
        <f>IFERROR(VLOOKUP($AT101,RESOURCES!$C:$L,MATCH('PRODUCTIVITY RAW'!AZ$2,RESOURCES!$C$3:$L$3,0),FALSE),"-")</f>
        <v>-</v>
      </c>
      <c r="BA101" s="20"/>
    </row>
    <row r="102" spans="1:53">
      <c r="A102" s="664">
        <f t="shared" si="18"/>
        <v>100</v>
      </c>
      <c r="B102" s="466">
        <f t="shared" si="12"/>
        <v>10072180</v>
      </c>
      <c r="C102" s="92" t="str">
        <f>IFERROR(VLOOKUP($B102,RESOURCES!$C:$L,MATCH('PRODUCTIVITY RAW'!C$2,RESOURCES!$C$3:$L$3,0),FALSE),"-")</f>
        <v>ROQUE, CHRISTIAN MARI T.</v>
      </c>
      <c r="D102" s="92" t="str">
        <f>IFERROR(VLOOKUP($B102,RESOURCES!$C:$L,MATCH('PRODUCTIVITY RAW'!D$2,RESOURCES!$C$3:$L$3,0),FALSE),"-")</f>
        <v>Web Designer</v>
      </c>
      <c r="E102" s="92" t="str">
        <f>IFERROR(VLOOKUP($B102,RESOURCES!$C:$L,MATCH('PRODUCTIVITY RAW'!E$2,RESOURCES!$C$3:$L$3,0),FALSE),"-")</f>
        <v>CRUZ, Noel</v>
      </c>
      <c r="F102" s="92" t="str">
        <f>IFERROR(VLOOKUP($B102,RESOURCES!$C:$L,MATCH('PRODUCTIVITY RAW'!F$2,RESOURCES!$C$3:$L$3,0),FALSE),"-")</f>
        <v>TAGUILASO, Daryl</v>
      </c>
      <c r="G102" s="92" t="str">
        <f>IFERROR(VLOOKUP($B102,RESOURCES!$C:$L,MATCH('PRODUCTIVITY RAW'!G$2,RESOURCES!$C$3:$L$3,0),FALSE),"-")</f>
        <v>MENDOZA, Carlo</v>
      </c>
      <c r="H102" s="92" t="str">
        <f>IFERROR(VLOOKUP($B102,RESOURCES!$C:$L,MATCH('PRODUCTIVITY RAW'!H$2,RESOURCES!$C$3:$L$3,0),FALSE),"-")</f>
        <v>Ventanilla, Mike</v>
      </c>
      <c r="I102" s="8"/>
      <c r="J102" s="8"/>
      <c r="K102" s="9" t="str">
        <f>IFERROR(VLOOKUP($B102,RESOURCES!$C:$L,MATCH('PRODUCTIVITY RAW'!K$2,RESOURCES!$C$3:$L$3,0),FALSE),"-")</f>
        <v>Beginner</v>
      </c>
      <c r="L102" s="21">
        <f t="shared" si="10"/>
        <v>131.01999999999998</v>
      </c>
      <c r="M102" s="21">
        <f t="shared" si="11"/>
        <v>120</v>
      </c>
      <c r="N102" s="21">
        <f t="shared" si="13"/>
        <v>16</v>
      </c>
      <c r="O102" s="86">
        <f t="shared" si="14"/>
        <v>8.1887499999999989</v>
      </c>
      <c r="P102" s="86">
        <f>IFERROR(VLOOKUP($D102,KPI!$V:$AN,2,FALSE),"-")</f>
        <v>8</v>
      </c>
      <c r="Q102" s="32">
        <f t="shared" si="15"/>
        <v>1</v>
      </c>
      <c r="R102" s="185">
        <f t="shared" si="16"/>
        <v>126.13333333333334</v>
      </c>
      <c r="S102" s="89" t="str">
        <f t="shared" si="17"/>
        <v>Web Designer</v>
      </c>
      <c r="AG102" s="664">
        <v>100</v>
      </c>
      <c r="AH102" s="664">
        <v>10072180</v>
      </c>
      <c r="AI102" s="664" t="s">
        <v>203</v>
      </c>
      <c r="AJ102" s="92" t="s">
        <v>83</v>
      </c>
      <c r="AK102" s="92" t="s">
        <v>200</v>
      </c>
      <c r="AL102" s="92" t="s">
        <v>170</v>
      </c>
      <c r="AM102" s="92" t="s">
        <v>85</v>
      </c>
      <c r="AN102" s="92" t="s">
        <v>86</v>
      </c>
      <c r="AO102" s="157">
        <v>131.01999999999998</v>
      </c>
      <c r="AP102" s="157">
        <v>120</v>
      </c>
      <c r="AQ102" s="571">
        <v>1.8666666666666667</v>
      </c>
      <c r="AS102" s="664">
        <f t="shared" si="19"/>
        <v>100</v>
      </c>
      <c r="AT102" s="664"/>
      <c r="AU102" s="664"/>
      <c r="AV102" s="92" t="str">
        <f>IFERROR(VLOOKUP($AT102,RESOURCES!$C:$L,MATCH('PRODUCTIVITY RAW'!AV$2,RESOURCES!$C$3:$L$3,0),FALSE),"-")</f>
        <v>-</v>
      </c>
      <c r="AW102" s="92" t="str">
        <f>IFERROR(VLOOKUP($AT102,RESOURCES!$C:$L,MATCH('PRODUCTIVITY RAW'!AW$2,RESOURCES!$C$3:$L$3,0),FALSE),"-")</f>
        <v>-</v>
      </c>
      <c r="AX102" s="92" t="str">
        <f>IFERROR(VLOOKUP($AT102,RESOURCES!$C:$L,MATCH('PRODUCTIVITY RAW'!AX$2,RESOURCES!$C$3:$L$3,0),FALSE),"-")</f>
        <v>-</v>
      </c>
      <c r="AY102" s="92" t="str">
        <f>IFERROR(VLOOKUP($AT102,RESOURCES!$C:$L,MATCH('PRODUCTIVITY RAW'!AY$2,RESOURCES!$C$3:$L$3,0),FALSE),"-")</f>
        <v>-</v>
      </c>
      <c r="AZ102" s="92" t="str">
        <f>IFERROR(VLOOKUP($AT102,RESOURCES!$C:$L,MATCH('PRODUCTIVITY RAW'!AZ$2,RESOURCES!$C$3:$L$3,0),FALSE),"-")</f>
        <v>-</v>
      </c>
      <c r="BA102" s="20"/>
    </row>
    <row r="103" spans="1:53">
      <c r="A103" s="664">
        <f t="shared" si="18"/>
        <v>101</v>
      </c>
      <c r="B103" s="466">
        <f t="shared" si="12"/>
        <v>10072198</v>
      </c>
      <c r="C103" s="92" t="str">
        <f>IFERROR(VLOOKUP($B103,RESOURCES!$C:$L,MATCH('PRODUCTIVITY RAW'!C$2,RESOURCES!$C$3:$L$3,0),FALSE),"-")</f>
        <v>ALLINGAG, EDWIN B., JR.</v>
      </c>
      <c r="D103" s="92" t="str">
        <f>IFERROR(VLOOKUP($B103,RESOURCES!$C:$L,MATCH('PRODUCTIVITY RAW'!D$2,RESOURCES!$C$3:$L$3,0),FALSE),"-")</f>
        <v>Web Designer</v>
      </c>
      <c r="E103" s="92" t="str">
        <f>IFERROR(VLOOKUP($B103,RESOURCES!$C:$L,MATCH('PRODUCTIVITY RAW'!E$2,RESOURCES!$C$3:$L$3,0),FALSE),"-")</f>
        <v>CRUZ, Noel</v>
      </c>
      <c r="F103" s="92" t="str">
        <f>IFERROR(VLOOKUP($B103,RESOURCES!$C:$L,MATCH('PRODUCTIVITY RAW'!F$2,RESOURCES!$C$3:$L$3,0),FALSE),"-")</f>
        <v>TAGUILASO, Daryl</v>
      </c>
      <c r="G103" s="92" t="str">
        <f>IFERROR(VLOOKUP($B103,RESOURCES!$C:$L,MATCH('PRODUCTIVITY RAW'!G$2,RESOURCES!$C$3:$L$3,0),FALSE),"-")</f>
        <v>MENDOZA, Carlo</v>
      </c>
      <c r="H103" s="92" t="str">
        <f>IFERROR(VLOOKUP($B103,RESOURCES!$C:$L,MATCH('PRODUCTIVITY RAW'!H$2,RESOURCES!$C$3:$L$3,0),FALSE),"-")</f>
        <v>Ventanilla, Mike</v>
      </c>
      <c r="I103" s="8"/>
      <c r="J103" s="8"/>
      <c r="K103" s="9" t="str">
        <f>IFERROR(VLOOKUP($B103,RESOURCES!$C:$L,MATCH('PRODUCTIVITY RAW'!K$2,RESOURCES!$C$3:$L$3,0),FALSE),"-")</f>
        <v>Expert</v>
      </c>
      <c r="L103" s="21">
        <f t="shared" si="10"/>
        <v>104.73</v>
      </c>
      <c r="M103" s="21">
        <f t="shared" si="11"/>
        <v>127.5</v>
      </c>
      <c r="N103" s="21">
        <f t="shared" si="13"/>
        <v>17</v>
      </c>
      <c r="O103" s="86">
        <f t="shared" si="14"/>
        <v>6.1605882352941181</v>
      </c>
      <c r="P103" s="86">
        <f>IFERROR(VLOOKUP($D103,KPI!$V:$AN,2,FALSE),"-")</f>
        <v>8</v>
      </c>
      <c r="Q103" s="32">
        <f t="shared" si="15"/>
        <v>0.77577777777777779</v>
      </c>
      <c r="R103" s="185">
        <f t="shared" si="16"/>
        <v>135</v>
      </c>
      <c r="S103" s="89" t="str">
        <f t="shared" si="17"/>
        <v>Web Designer</v>
      </c>
      <c r="AG103" s="664">
        <v>101</v>
      </c>
      <c r="AH103" s="664">
        <v>10072198</v>
      </c>
      <c r="AI103" s="664" t="s">
        <v>204</v>
      </c>
      <c r="AJ103" s="92" t="s">
        <v>83</v>
      </c>
      <c r="AK103" s="92" t="s">
        <v>200</v>
      </c>
      <c r="AL103" s="92" t="s">
        <v>170</v>
      </c>
      <c r="AM103" s="92" t="s">
        <v>85</v>
      </c>
      <c r="AN103" s="92" t="s">
        <v>86</v>
      </c>
      <c r="AO103" s="157">
        <v>104.73</v>
      </c>
      <c r="AP103" s="157">
        <v>127.5</v>
      </c>
      <c r="AQ103" s="571">
        <v>1</v>
      </c>
      <c r="AS103" s="664">
        <f t="shared" si="19"/>
        <v>101</v>
      </c>
      <c r="AT103" s="664"/>
      <c r="AU103" s="664"/>
      <c r="AV103" s="92" t="str">
        <f>IFERROR(VLOOKUP($AT103,RESOURCES!$C:$L,MATCH('PRODUCTIVITY RAW'!AV$2,RESOURCES!$C$3:$L$3,0),FALSE),"-")</f>
        <v>-</v>
      </c>
      <c r="AW103" s="92" t="str">
        <f>IFERROR(VLOOKUP($AT103,RESOURCES!$C:$L,MATCH('PRODUCTIVITY RAW'!AW$2,RESOURCES!$C$3:$L$3,0),FALSE),"-")</f>
        <v>-</v>
      </c>
      <c r="AX103" s="92" t="str">
        <f>IFERROR(VLOOKUP($AT103,RESOURCES!$C:$L,MATCH('PRODUCTIVITY RAW'!AX$2,RESOURCES!$C$3:$L$3,0),FALSE),"-")</f>
        <v>-</v>
      </c>
      <c r="AY103" s="92" t="str">
        <f>IFERROR(VLOOKUP($AT103,RESOURCES!$C:$L,MATCH('PRODUCTIVITY RAW'!AY$2,RESOURCES!$C$3:$L$3,0),FALSE),"-")</f>
        <v>-</v>
      </c>
      <c r="AZ103" s="92" t="str">
        <f>IFERROR(VLOOKUP($AT103,RESOURCES!$C:$L,MATCH('PRODUCTIVITY RAW'!AZ$2,RESOURCES!$C$3:$L$3,0),FALSE),"-")</f>
        <v>-</v>
      </c>
      <c r="BA103" s="20"/>
    </row>
    <row r="104" spans="1:53">
      <c r="A104" s="664">
        <f t="shared" si="18"/>
        <v>102</v>
      </c>
      <c r="B104" s="466">
        <f t="shared" si="12"/>
        <v>10072444</v>
      </c>
      <c r="C104" s="92" t="str">
        <f>IFERROR(VLOOKUP($B104,RESOURCES!$C:$L,MATCH('PRODUCTIVITY RAW'!C$2,RESOURCES!$C$3:$L$3,0),FALSE),"-")</f>
        <v>DIZON, JUSTIN IVAN F.</v>
      </c>
      <c r="D104" s="92" t="str">
        <f>IFERROR(VLOOKUP($B104,RESOURCES!$C:$L,MATCH('PRODUCTIVITY RAW'!D$2,RESOURCES!$C$3:$L$3,0),FALSE),"-")</f>
        <v>Web Designer</v>
      </c>
      <c r="E104" s="92" t="str">
        <f>IFERROR(VLOOKUP($B104,RESOURCES!$C:$L,MATCH('PRODUCTIVITY RAW'!E$2,RESOURCES!$C$3:$L$3,0),FALSE),"-")</f>
        <v>CRUZ, Noel</v>
      </c>
      <c r="F104" s="92" t="str">
        <f>IFERROR(VLOOKUP($B104,RESOURCES!$C:$L,MATCH('PRODUCTIVITY RAW'!F$2,RESOURCES!$C$3:$L$3,0),FALSE),"-")</f>
        <v>TAGUILASO, Daryl</v>
      </c>
      <c r="G104" s="92" t="str">
        <f>IFERROR(VLOOKUP($B104,RESOURCES!$C:$L,MATCH('PRODUCTIVITY RAW'!G$2,RESOURCES!$C$3:$L$3,0),FALSE),"-")</f>
        <v>MENDOZA, Carlo</v>
      </c>
      <c r="H104" s="92" t="str">
        <f>IFERROR(VLOOKUP($B104,RESOURCES!$C:$L,MATCH('PRODUCTIVITY RAW'!H$2,RESOURCES!$C$3:$L$3,0),FALSE),"-")</f>
        <v>Ventanilla, Mike</v>
      </c>
      <c r="I104" s="8"/>
      <c r="J104" s="8"/>
      <c r="K104" s="9" t="str">
        <f>IFERROR(VLOOKUP($B104,RESOURCES!$C:$L,MATCH('PRODUCTIVITY RAW'!K$2,RESOURCES!$C$3:$L$3,0),FALSE),"-")</f>
        <v>Expert</v>
      </c>
      <c r="L104" s="21">
        <f t="shared" si="10"/>
        <v>101.11999999999999</v>
      </c>
      <c r="M104" s="21">
        <f t="shared" si="11"/>
        <v>142.5</v>
      </c>
      <c r="N104" s="21">
        <f t="shared" si="13"/>
        <v>19</v>
      </c>
      <c r="O104" s="86">
        <f t="shared" si="14"/>
        <v>5.3221052631578942</v>
      </c>
      <c r="P104" s="86">
        <f>IFERROR(VLOOKUP($D104,KPI!$V:$AN,2,FALSE),"-")</f>
        <v>8</v>
      </c>
      <c r="Q104" s="32">
        <f t="shared" si="15"/>
        <v>0.66526315789473678</v>
      </c>
      <c r="R104" s="185">
        <f t="shared" si="16"/>
        <v>152</v>
      </c>
      <c r="S104" s="89" t="str">
        <f t="shared" si="17"/>
        <v>Web Designer</v>
      </c>
      <c r="AG104" s="664">
        <v>102</v>
      </c>
      <c r="AH104" s="664">
        <v>10072444</v>
      </c>
      <c r="AI104" s="664" t="s">
        <v>205</v>
      </c>
      <c r="AJ104" s="92" t="s">
        <v>83</v>
      </c>
      <c r="AK104" s="92" t="s">
        <v>200</v>
      </c>
      <c r="AL104" s="92" t="s">
        <v>170</v>
      </c>
      <c r="AM104" s="92" t="s">
        <v>85</v>
      </c>
      <c r="AN104" s="92" t="s">
        <v>86</v>
      </c>
      <c r="AO104" s="157">
        <v>101.11999999999999</v>
      </c>
      <c r="AP104" s="157">
        <v>142.5</v>
      </c>
      <c r="AQ104" s="571">
        <v>0</v>
      </c>
      <c r="AS104" s="664">
        <f t="shared" si="19"/>
        <v>102</v>
      </c>
      <c r="AT104" s="664"/>
      <c r="AU104" s="664"/>
      <c r="AV104" s="92" t="str">
        <f>IFERROR(VLOOKUP($AT104,RESOURCES!$C:$L,MATCH('PRODUCTIVITY RAW'!AV$2,RESOURCES!$C$3:$L$3,0),FALSE),"-")</f>
        <v>-</v>
      </c>
      <c r="AW104" s="92" t="str">
        <f>IFERROR(VLOOKUP($AT104,RESOURCES!$C:$L,MATCH('PRODUCTIVITY RAW'!AW$2,RESOURCES!$C$3:$L$3,0),FALSE),"-")</f>
        <v>-</v>
      </c>
      <c r="AX104" s="92" t="str">
        <f>IFERROR(VLOOKUP($AT104,RESOURCES!$C:$L,MATCH('PRODUCTIVITY RAW'!AX$2,RESOURCES!$C$3:$L$3,0),FALSE),"-")</f>
        <v>-</v>
      </c>
      <c r="AY104" s="92" t="str">
        <f>IFERROR(VLOOKUP($AT104,RESOURCES!$C:$L,MATCH('PRODUCTIVITY RAW'!AY$2,RESOURCES!$C$3:$L$3,0),FALSE),"-")</f>
        <v>-</v>
      </c>
      <c r="AZ104" s="92" t="str">
        <f>IFERROR(VLOOKUP($AT104,RESOURCES!$C:$L,MATCH('PRODUCTIVITY RAW'!AZ$2,RESOURCES!$C$3:$L$3,0),FALSE),"-")</f>
        <v>-</v>
      </c>
      <c r="BA104" s="20"/>
    </row>
    <row r="105" spans="1:53">
      <c r="A105" s="664">
        <f t="shared" si="18"/>
        <v>103</v>
      </c>
      <c r="B105" s="466">
        <f t="shared" si="12"/>
        <v>10071306</v>
      </c>
      <c r="C105" s="92" t="str">
        <f>IFERROR(VLOOKUP($B105,RESOURCES!$C:$L,MATCH('PRODUCTIVITY RAW'!C$2,RESOURCES!$C$3:$L$3,0),FALSE),"-")</f>
        <v>MACOROL, JEAN ERIKA D.</v>
      </c>
      <c r="D105" s="92" t="str">
        <f>IFERROR(VLOOKUP($B105,RESOURCES!$C:$L,MATCH('PRODUCTIVITY RAW'!D$2,RESOURCES!$C$3:$L$3,0),FALSE),"-")</f>
        <v>Web Designer</v>
      </c>
      <c r="E105" s="92" t="str">
        <f>IFERROR(VLOOKUP($B105,RESOURCES!$C:$L,MATCH('PRODUCTIVITY RAW'!E$2,RESOURCES!$C$3:$L$3,0),FALSE),"-")</f>
        <v>CRUZ, Noel</v>
      </c>
      <c r="F105" s="92" t="str">
        <f>IFERROR(VLOOKUP($B105,RESOURCES!$C:$L,MATCH('PRODUCTIVITY RAW'!F$2,RESOURCES!$C$3:$L$3,0),FALSE),"-")</f>
        <v>TAGUILASO, Daryl</v>
      </c>
      <c r="G105" s="92" t="str">
        <f>IFERROR(VLOOKUP($B105,RESOURCES!$C:$L,MATCH('PRODUCTIVITY RAW'!G$2,RESOURCES!$C$3:$L$3,0),FALSE),"-")</f>
        <v>MENDOZA, Carlo</v>
      </c>
      <c r="H105" s="92" t="str">
        <f>IFERROR(VLOOKUP($B105,RESOURCES!$C:$L,MATCH('PRODUCTIVITY RAW'!H$2,RESOURCES!$C$3:$L$3,0),FALSE),"-")</f>
        <v>Ventanilla, Mike</v>
      </c>
      <c r="I105" s="8"/>
      <c r="J105" s="8"/>
      <c r="K105" s="9" t="str">
        <f>IFERROR(VLOOKUP($B105,RESOURCES!$C:$L,MATCH('PRODUCTIVITY RAW'!K$2,RESOURCES!$C$3:$L$3,0),FALSE),"-")</f>
        <v>Expert</v>
      </c>
      <c r="L105" s="21">
        <f t="shared" si="10"/>
        <v>137.7700000000001</v>
      </c>
      <c r="M105" s="21">
        <f t="shared" si="11"/>
        <v>135</v>
      </c>
      <c r="N105" s="21">
        <f t="shared" si="13"/>
        <v>18</v>
      </c>
      <c r="O105" s="86">
        <f t="shared" si="14"/>
        <v>7.6538888888888943</v>
      </c>
      <c r="P105" s="86">
        <f>IFERROR(VLOOKUP($D105,KPI!$V:$AN,2,FALSE),"-")</f>
        <v>8</v>
      </c>
      <c r="Q105" s="32">
        <f t="shared" si="15"/>
        <v>0.95673611111111179</v>
      </c>
      <c r="R105" s="185">
        <f t="shared" si="16"/>
        <v>144</v>
      </c>
      <c r="S105" s="89" t="str">
        <f t="shared" si="17"/>
        <v>Web Designer</v>
      </c>
      <c r="AG105" s="664">
        <v>103</v>
      </c>
      <c r="AH105" s="664">
        <v>10071306</v>
      </c>
      <c r="AI105" s="664" t="s">
        <v>206</v>
      </c>
      <c r="AJ105" s="92" t="s">
        <v>83</v>
      </c>
      <c r="AK105" s="92" t="s">
        <v>200</v>
      </c>
      <c r="AL105" s="92" t="s">
        <v>170</v>
      </c>
      <c r="AM105" s="92" t="s">
        <v>85</v>
      </c>
      <c r="AN105" s="92" t="s">
        <v>86</v>
      </c>
      <c r="AO105" s="157">
        <v>137.7700000000001</v>
      </c>
      <c r="AP105" s="157">
        <v>135</v>
      </c>
      <c r="AQ105" s="571">
        <v>0</v>
      </c>
      <c r="AS105" s="664">
        <f t="shared" si="19"/>
        <v>103</v>
      </c>
      <c r="AT105" s="664"/>
      <c r="AU105" s="664"/>
      <c r="AV105" s="92" t="str">
        <f>IFERROR(VLOOKUP($AT105,RESOURCES!$C:$L,MATCH('PRODUCTIVITY RAW'!AV$2,RESOURCES!$C$3:$L$3,0),FALSE),"-")</f>
        <v>-</v>
      </c>
      <c r="AW105" s="92" t="str">
        <f>IFERROR(VLOOKUP($AT105,RESOURCES!$C:$L,MATCH('PRODUCTIVITY RAW'!AW$2,RESOURCES!$C$3:$L$3,0),FALSE),"-")</f>
        <v>-</v>
      </c>
      <c r="AX105" s="92" t="str">
        <f>IFERROR(VLOOKUP($AT105,RESOURCES!$C:$L,MATCH('PRODUCTIVITY RAW'!AX$2,RESOURCES!$C$3:$L$3,0),FALSE),"-")</f>
        <v>-</v>
      </c>
      <c r="AY105" s="92" t="str">
        <f>IFERROR(VLOOKUP($AT105,RESOURCES!$C:$L,MATCH('PRODUCTIVITY RAW'!AY$2,RESOURCES!$C$3:$L$3,0),FALSE),"-")</f>
        <v>-</v>
      </c>
      <c r="AZ105" s="92" t="str">
        <f>IFERROR(VLOOKUP($AT105,RESOURCES!$C:$L,MATCH('PRODUCTIVITY RAW'!AZ$2,RESOURCES!$C$3:$L$3,0),FALSE),"-")</f>
        <v>-</v>
      </c>
      <c r="BA105" s="20"/>
    </row>
    <row r="106" spans="1:53">
      <c r="A106" s="664">
        <f t="shared" si="18"/>
        <v>104</v>
      </c>
      <c r="B106" s="466">
        <f t="shared" si="12"/>
        <v>10072517</v>
      </c>
      <c r="C106" s="92" t="str">
        <f>IFERROR(VLOOKUP($B106,RESOURCES!$C:$L,MATCH('PRODUCTIVITY RAW'!C$2,RESOURCES!$C$3:$L$3,0),FALSE),"-")</f>
        <v>MANICLANG, KRISTIAN JAY B.</v>
      </c>
      <c r="D106" s="92" t="str">
        <f>IFERROR(VLOOKUP($B106,RESOURCES!$C:$L,MATCH('PRODUCTIVITY RAW'!D$2,RESOURCES!$C$3:$L$3,0),FALSE),"-")</f>
        <v>Web Designer</v>
      </c>
      <c r="E106" s="92" t="str">
        <f>IFERROR(VLOOKUP($B106,RESOURCES!$C:$L,MATCH('PRODUCTIVITY RAW'!E$2,RESOURCES!$C$3:$L$3,0),FALSE),"-")</f>
        <v>CRUZ, Noel</v>
      </c>
      <c r="F106" s="92" t="str">
        <f>IFERROR(VLOOKUP($B106,RESOURCES!$C:$L,MATCH('PRODUCTIVITY RAW'!F$2,RESOURCES!$C$3:$L$3,0),FALSE),"-")</f>
        <v>TAGUILASO, Daryl</v>
      </c>
      <c r="G106" s="92" t="str">
        <f>IFERROR(VLOOKUP($B106,RESOURCES!$C:$L,MATCH('PRODUCTIVITY RAW'!G$2,RESOURCES!$C$3:$L$3,0),FALSE),"-")</f>
        <v>MENDOZA, Carlo</v>
      </c>
      <c r="H106" s="92" t="str">
        <f>IFERROR(VLOOKUP($B106,RESOURCES!$C:$L,MATCH('PRODUCTIVITY RAW'!H$2,RESOURCES!$C$3:$L$3,0),FALSE),"-")</f>
        <v>Ventanilla, Mike</v>
      </c>
      <c r="I106" s="8"/>
      <c r="J106" s="8"/>
      <c r="K106" s="9" t="str">
        <f>IFERROR(VLOOKUP($B106,RESOURCES!$C:$L,MATCH('PRODUCTIVITY RAW'!K$2,RESOURCES!$C$3:$L$3,0),FALSE),"-")</f>
        <v>Expert</v>
      </c>
      <c r="L106" s="21">
        <f t="shared" si="10"/>
        <v>68.97999999999999</v>
      </c>
      <c r="M106" s="21">
        <f t="shared" si="11"/>
        <v>97.5</v>
      </c>
      <c r="N106" s="21">
        <f t="shared" si="13"/>
        <v>13</v>
      </c>
      <c r="O106" s="86">
        <f t="shared" si="14"/>
        <v>5.3061538461538458</v>
      </c>
      <c r="P106" s="86">
        <f>IFERROR(VLOOKUP($D106,KPI!$V:$AN,2,FALSE),"-")</f>
        <v>8</v>
      </c>
      <c r="Q106" s="32">
        <f t="shared" si="15"/>
        <v>0.66326923076923072</v>
      </c>
      <c r="R106" s="185">
        <f t="shared" si="16"/>
        <v>104</v>
      </c>
      <c r="S106" s="89" t="str">
        <f t="shared" si="17"/>
        <v>Web Designer</v>
      </c>
      <c r="AG106" s="664">
        <v>104</v>
      </c>
      <c r="AH106" s="664">
        <v>10072517</v>
      </c>
      <c r="AI106" s="664" t="s">
        <v>207</v>
      </c>
      <c r="AJ106" s="92" t="s">
        <v>83</v>
      </c>
      <c r="AK106" s="92" t="s">
        <v>200</v>
      </c>
      <c r="AL106" s="92" t="s">
        <v>170</v>
      </c>
      <c r="AM106" s="92" t="s">
        <v>85</v>
      </c>
      <c r="AN106" s="92" t="s">
        <v>86</v>
      </c>
      <c r="AO106" s="157">
        <v>68.97999999999999</v>
      </c>
      <c r="AP106" s="157">
        <v>97.5</v>
      </c>
      <c r="AQ106" s="571">
        <v>0</v>
      </c>
      <c r="AS106" s="664">
        <f t="shared" si="19"/>
        <v>104</v>
      </c>
      <c r="AT106" s="664"/>
      <c r="AU106" s="664"/>
      <c r="AV106" s="92" t="str">
        <f>IFERROR(VLOOKUP($AT106,RESOURCES!$C:$L,MATCH('PRODUCTIVITY RAW'!AV$2,RESOURCES!$C$3:$L$3,0),FALSE),"-")</f>
        <v>-</v>
      </c>
      <c r="AW106" s="92" t="str">
        <f>IFERROR(VLOOKUP($AT106,RESOURCES!$C:$L,MATCH('PRODUCTIVITY RAW'!AW$2,RESOURCES!$C$3:$L$3,0),FALSE),"-")</f>
        <v>-</v>
      </c>
      <c r="AX106" s="92" t="str">
        <f>IFERROR(VLOOKUP($AT106,RESOURCES!$C:$L,MATCH('PRODUCTIVITY RAW'!AX$2,RESOURCES!$C$3:$L$3,0),FALSE),"-")</f>
        <v>-</v>
      </c>
      <c r="AY106" s="92" t="str">
        <f>IFERROR(VLOOKUP($AT106,RESOURCES!$C:$L,MATCH('PRODUCTIVITY RAW'!AY$2,RESOURCES!$C$3:$L$3,0),FALSE),"-")</f>
        <v>-</v>
      </c>
      <c r="AZ106" s="92" t="str">
        <f>IFERROR(VLOOKUP($AT106,RESOURCES!$C:$L,MATCH('PRODUCTIVITY RAW'!AZ$2,RESOURCES!$C$3:$L$3,0),FALSE),"-")</f>
        <v>-</v>
      </c>
      <c r="BA106" s="20"/>
    </row>
    <row r="107" spans="1:53">
      <c r="A107" s="664">
        <f t="shared" si="18"/>
        <v>105</v>
      </c>
      <c r="B107" s="466">
        <f t="shared" si="12"/>
        <v>10072204</v>
      </c>
      <c r="C107" s="92" t="str">
        <f>IFERROR(VLOOKUP($B107,RESOURCES!$C:$L,MATCH('PRODUCTIVITY RAW'!C$2,RESOURCES!$C$3:$L$3,0),FALSE),"-")</f>
        <v>MONTEREY, JAYVENEIL Q.</v>
      </c>
      <c r="D107" s="92" t="str">
        <f>IFERROR(VLOOKUP($B107,RESOURCES!$C:$L,MATCH('PRODUCTIVITY RAW'!D$2,RESOURCES!$C$3:$L$3,0),FALSE),"-")</f>
        <v>Web Designer</v>
      </c>
      <c r="E107" s="92" t="str">
        <f>IFERROR(VLOOKUP($B107,RESOURCES!$C:$L,MATCH('PRODUCTIVITY RAW'!E$2,RESOURCES!$C$3:$L$3,0),FALSE),"-")</f>
        <v>CRUZ, Noel</v>
      </c>
      <c r="F107" s="92" t="str">
        <f>IFERROR(VLOOKUP($B107,RESOURCES!$C:$L,MATCH('PRODUCTIVITY RAW'!F$2,RESOURCES!$C$3:$L$3,0),FALSE),"-")</f>
        <v>TAGUILASO, Daryl</v>
      </c>
      <c r="G107" s="92" t="str">
        <f>IFERROR(VLOOKUP($B107,RESOURCES!$C:$L,MATCH('PRODUCTIVITY RAW'!G$2,RESOURCES!$C$3:$L$3,0),FALSE),"-")</f>
        <v>MENDOZA, Carlo</v>
      </c>
      <c r="H107" s="92" t="str">
        <f>IFERROR(VLOOKUP($B107,RESOURCES!$C:$L,MATCH('PRODUCTIVITY RAW'!H$2,RESOURCES!$C$3:$L$3,0),FALSE),"-")</f>
        <v>Ventanilla, Mike</v>
      </c>
      <c r="I107" s="8"/>
      <c r="J107" s="8"/>
      <c r="K107" s="9" t="str">
        <f>IFERROR(VLOOKUP($B107,RESOURCES!$C:$L,MATCH('PRODUCTIVITY RAW'!K$2,RESOURCES!$C$3:$L$3,0),FALSE),"-")</f>
        <v>Expert</v>
      </c>
      <c r="L107" s="21">
        <f t="shared" si="10"/>
        <v>134.31</v>
      </c>
      <c r="M107" s="21">
        <f t="shared" si="11"/>
        <v>142.5</v>
      </c>
      <c r="N107" s="21">
        <f t="shared" si="13"/>
        <v>19</v>
      </c>
      <c r="O107" s="86">
        <f t="shared" si="14"/>
        <v>7.0689473684210524</v>
      </c>
      <c r="P107" s="86">
        <f>IFERROR(VLOOKUP($D107,KPI!$V:$AN,2,FALSE),"-")</f>
        <v>8</v>
      </c>
      <c r="Q107" s="32">
        <f t="shared" si="15"/>
        <v>0.88556043956043962</v>
      </c>
      <c r="R107" s="185">
        <f t="shared" si="16"/>
        <v>151.66666666666666</v>
      </c>
      <c r="S107" s="89" t="str">
        <f t="shared" si="17"/>
        <v>Web Designer</v>
      </c>
      <c r="AG107" s="664">
        <v>105</v>
      </c>
      <c r="AH107" s="664">
        <v>10072204</v>
      </c>
      <c r="AI107" s="664" t="s">
        <v>208</v>
      </c>
      <c r="AJ107" s="92" t="s">
        <v>83</v>
      </c>
      <c r="AK107" s="92" t="s">
        <v>200</v>
      </c>
      <c r="AL107" s="92" t="s">
        <v>170</v>
      </c>
      <c r="AM107" s="92" t="s">
        <v>85</v>
      </c>
      <c r="AN107" s="92" t="s">
        <v>86</v>
      </c>
      <c r="AO107" s="157">
        <v>134.31</v>
      </c>
      <c r="AP107" s="157">
        <v>142.5</v>
      </c>
      <c r="AQ107" s="571">
        <v>0.33333333333333337</v>
      </c>
      <c r="AS107" s="664">
        <f t="shared" si="19"/>
        <v>105</v>
      </c>
      <c r="AT107" s="664"/>
      <c r="AU107" s="664"/>
      <c r="AV107" s="92" t="str">
        <f>IFERROR(VLOOKUP($AT107,RESOURCES!$C:$L,MATCH('PRODUCTIVITY RAW'!AV$2,RESOURCES!$C$3:$L$3,0),FALSE),"-")</f>
        <v>-</v>
      </c>
      <c r="AW107" s="92" t="str">
        <f>IFERROR(VLOOKUP($AT107,RESOURCES!$C:$L,MATCH('PRODUCTIVITY RAW'!AW$2,RESOURCES!$C$3:$L$3,0),FALSE),"-")</f>
        <v>-</v>
      </c>
      <c r="AX107" s="92" t="str">
        <f>IFERROR(VLOOKUP($AT107,RESOURCES!$C:$L,MATCH('PRODUCTIVITY RAW'!AX$2,RESOURCES!$C$3:$L$3,0),FALSE),"-")</f>
        <v>-</v>
      </c>
      <c r="AY107" s="92" t="str">
        <f>IFERROR(VLOOKUP($AT107,RESOURCES!$C:$L,MATCH('PRODUCTIVITY RAW'!AY$2,RESOURCES!$C$3:$L$3,0),FALSE),"-")</f>
        <v>-</v>
      </c>
      <c r="AZ107" s="92" t="str">
        <f>IFERROR(VLOOKUP($AT107,RESOURCES!$C:$L,MATCH('PRODUCTIVITY RAW'!AZ$2,RESOURCES!$C$3:$L$3,0),FALSE),"-")</f>
        <v>-</v>
      </c>
      <c r="BA107" s="20"/>
    </row>
    <row r="108" spans="1:53">
      <c r="A108" s="664">
        <f t="shared" si="18"/>
        <v>106</v>
      </c>
      <c r="B108" s="466">
        <f t="shared" si="12"/>
        <v>10072445</v>
      </c>
      <c r="C108" s="92" t="str">
        <f>IFERROR(VLOOKUP($B108,RESOURCES!$C:$L,MATCH('PRODUCTIVITY RAW'!C$2,RESOURCES!$C$3:$L$3,0),FALSE),"-")</f>
        <v>VILLAREAL, MARIJUN I.</v>
      </c>
      <c r="D108" s="92" t="str">
        <f>IFERROR(VLOOKUP($B108,RESOURCES!$C:$L,MATCH('PRODUCTIVITY RAW'!D$2,RESOURCES!$C$3:$L$3,0),FALSE),"-")</f>
        <v>Web Designer</v>
      </c>
      <c r="E108" s="92" t="str">
        <f>IFERROR(VLOOKUP($B108,RESOURCES!$C:$L,MATCH('PRODUCTIVITY RAW'!E$2,RESOURCES!$C$3:$L$3,0),FALSE),"-")</f>
        <v>CRUZ, Noel</v>
      </c>
      <c r="F108" s="92" t="str">
        <f>IFERROR(VLOOKUP($B108,RESOURCES!$C:$L,MATCH('PRODUCTIVITY RAW'!F$2,RESOURCES!$C$3:$L$3,0),FALSE),"-")</f>
        <v>TAGUILASO, Daryl</v>
      </c>
      <c r="G108" s="92" t="str">
        <f>IFERROR(VLOOKUP($B108,RESOURCES!$C:$L,MATCH('PRODUCTIVITY RAW'!G$2,RESOURCES!$C$3:$L$3,0),FALSE),"-")</f>
        <v>MENDOZA, Carlo</v>
      </c>
      <c r="H108" s="92" t="str">
        <f>IFERROR(VLOOKUP($B108,RESOURCES!$C:$L,MATCH('PRODUCTIVITY RAW'!H$2,RESOURCES!$C$3:$L$3,0),FALSE),"-")</f>
        <v>Ventanilla, Mike</v>
      </c>
      <c r="I108" s="8"/>
      <c r="J108" s="8"/>
      <c r="K108" s="9" t="str">
        <f>IFERROR(VLOOKUP($B108,RESOURCES!$C:$L,MATCH('PRODUCTIVITY RAW'!K$2,RESOURCES!$C$3:$L$3,0),FALSE),"-")</f>
        <v>Expert</v>
      </c>
      <c r="L108" s="21">
        <f t="shared" si="10"/>
        <v>151.49000000000004</v>
      </c>
      <c r="M108" s="21">
        <f t="shared" si="11"/>
        <v>127.5</v>
      </c>
      <c r="N108" s="21">
        <f t="shared" si="13"/>
        <v>17</v>
      </c>
      <c r="O108" s="86">
        <f t="shared" si="14"/>
        <v>8.9111764705882379</v>
      </c>
      <c r="P108" s="86">
        <f>IFERROR(VLOOKUP($D108,KPI!$V:$AN,2,FALSE),"-")</f>
        <v>8</v>
      </c>
      <c r="Q108" s="32">
        <f t="shared" si="15"/>
        <v>1</v>
      </c>
      <c r="R108" s="185">
        <f t="shared" si="16"/>
        <v>135.80000000000001</v>
      </c>
      <c r="S108" s="89" t="str">
        <f t="shared" si="17"/>
        <v>Web Designer</v>
      </c>
      <c r="AG108" s="664">
        <v>106</v>
      </c>
      <c r="AH108" s="664">
        <v>10072445</v>
      </c>
      <c r="AI108" s="664" t="s">
        <v>209</v>
      </c>
      <c r="AJ108" s="92" t="s">
        <v>83</v>
      </c>
      <c r="AK108" s="92" t="s">
        <v>200</v>
      </c>
      <c r="AL108" s="92" t="s">
        <v>170</v>
      </c>
      <c r="AM108" s="92" t="s">
        <v>85</v>
      </c>
      <c r="AN108" s="92" t="s">
        <v>86</v>
      </c>
      <c r="AO108" s="157">
        <v>151.49000000000004</v>
      </c>
      <c r="AP108" s="157">
        <v>127.5</v>
      </c>
      <c r="AQ108" s="571">
        <v>0.2</v>
      </c>
      <c r="AS108" s="664">
        <f t="shared" si="19"/>
        <v>106</v>
      </c>
      <c r="AT108" s="664"/>
      <c r="AU108" s="664"/>
      <c r="AV108" s="92" t="str">
        <f>IFERROR(VLOOKUP($AT108,RESOURCES!$C:$L,MATCH('PRODUCTIVITY RAW'!AV$2,RESOURCES!$C$3:$L$3,0),FALSE),"-")</f>
        <v>-</v>
      </c>
      <c r="AW108" s="92" t="str">
        <f>IFERROR(VLOOKUP($AT108,RESOURCES!$C:$L,MATCH('PRODUCTIVITY RAW'!AW$2,RESOURCES!$C$3:$L$3,0),FALSE),"-")</f>
        <v>-</v>
      </c>
      <c r="AX108" s="92" t="str">
        <f>IFERROR(VLOOKUP($AT108,RESOURCES!$C:$L,MATCH('PRODUCTIVITY RAW'!AX$2,RESOURCES!$C$3:$L$3,0),FALSE),"-")</f>
        <v>-</v>
      </c>
      <c r="AY108" s="92" t="str">
        <f>IFERROR(VLOOKUP($AT108,RESOURCES!$C:$L,MATCH('PRODUCTIVITY RAW'!AY$2,RESOURCES!$C$3:$L$3,0),FALSE),"-")</f>
        <v>-</v>
      </c>
      <c r="AZ108" s="92" t="str">
        <f>IFERROR(VLOOKUP($AT108,RESOURCES!$C:$L,MATCH('PRODUCTIVITY RAW'!AZ$2,RESOURCES!$C$3:$L$3,0),FALSE),"-")</f>
        <v>-</v>
      </c>
      <c r="BA108" s="20"/>
    </row>
    <row r="109" spans="1:53">
      <c r="A109" s="664">
        <f t="shared" si="18"/>
        <v>107</v>
      </c>
      <c r="B109" s="466">
        <f t="shared" si="12"/>
        <v>10071728</v>
      </c>
      <c r="C109" s="92" t="str">
        <f>IFERROR(VLOOKUP($B109,RESOURCES!$C:$L,MATCH('PRODUCTIVITY RAW'!C$2,RESOURCES!$C$3:$L$3,0),FALSE),"-")</f>
        <v>LUMABAN, KIM LAWRENZE B.</v>
      </c>
      <c r="D109" s="92" t="str">
        <f>IFERROR(VLOOKUP($B109,RESOURCES!$C:$L,MATCH('PRODUCTIVITY RAW'!D$2,RESOURCES!$C$3:$L$3,0),FALSE),"-")</f>
        <v>Web Designer</v>
      </c>
      <c r="E109" s="92" t="str">
        <f>IFERROR(VLOOKUP($B109,RESOURCES!$C:$L,MATCH('PRODUCTIVITY RAW'!E$2,RESOURCES!$C$3:$L$3,0),FALSE),"-")</f>
        <v>CRUZ, Noel</v>
      </c>
      <c r="F109" s="92" t="str">
        <f>IFERROR(VLOOKUP($B109,RESOURCES!$C:$L,MATCH('PRODUCTIVITY RAW'!F$2,RESOURCES!$C$3:$L$3,0),FALSE),"-")</f>
        <v>TAGUILASO, Daryl</v>
      </c>
      <c r="G109" s="92" t="str">
        <f>IFERROR(VLOOKUP($B109,RESOURCES!$C:$L,MATCH('PRODUCTIVITY RAW'!G$2,RESOURCES!$C$3:$L$3,0),FALSE),"-")</f>
        <v>MENDOZA, Carlo</v>
      </c>
      <c r="H109" s="92" t="str">
        <f>IFERROR(VLOOKUP($B109,RESOURCES!$C:$L,MATCH('PRODUCTIVITY RAW'!H$2,RESOURCES!$C$3:$L$3,0),FALSE),"-")</f>
        <v>Ventanilla, Mike</v>
      </c>
      <c r="I109" s="8"/>
      <c r="J109" s="8"/>
      <c r="K109" s="9" t="str">
        <f>IFERROR(VLOOKUP($B109,RESOURCES!$C:$L,MATCH('PRODUCTIVITY RAW'!K$2,RESOURCES!$C$3:$L$3,0),FALSE),"-")</f>
        <v>Expert</v>
      </c>
      <c r="L109" s="21">
        <f t="shared" si="10"/>
        <v>107.7</v>
      </c>
      <c r="M109" s="21">
        <f t="shared" si="11"/>
        <v>142.5</v>
      </c>
      <c r="N109" s="21">
        <f t="shared" si="13"/>
        <v>19</v>
      </c>
      <c r="O109" s="86">
        <f t="shared" si="14"/>
        <v>5.6684210526315795</v>
      </c>
      <c r="P109" s="86">
        <f>IFERROR(VLOOKUP($D109,KPI!$V:$AN,2,FALSE),"-")</f>
        <v>8</v>
      </c>
      <c r="Q109" s="32">
        <f t="shared" si="15"/>
        <v>0.70948616600790515</v>
      </c>
      <c r="R109" s="185">
        <f t="shared" si="16"/>
        <v>151.80000000000001</v>
      </c>
      <c r="S109" s="89" t="str">
        <f t="shared" si="17"/>
        <v>Web Designer</v>
      </c>
      <c r="AG109" s="664">
        <v>107</v>
      </c>
      <c r="AH109" s="664">
        <v>10071728</v>
      </c>
      <c r="AI109" s="664" t="s">
        <v>210</v>
      </c>
      <c r="AJ109" s="92" t="s">
        <v>83</v>
      </c>
      <c r="AK109" s="92" t="s">
        <v>200</v>
      </c>
      <c r="AL109" s="92" t="s">
        <v>170</v>
      </c>
      <c r="AM109" s="92" t="s">
        <v>85</v>
      </c>
      <c r="AN109" s="92" t="s">
        <v>86</v>
      </c>
      <c r="AO109" s="157">
        <v>107.7</v>
      </c>
      <c r="AP109" s="157">
        <v>142.5</v>
      </c>
      <c r="AQ109" s="571">
        <v>0.2</v>
      </c>
      <c r="AS109" s="664">
        <f t="shared" si="19"/>
        <v>107</v>
      </c>
      <c r="AT109" s="664"/>
      <c r="AU109" s="664"/>
      <c r="AV109" s="92" t="str">
        <f>IFERROR(VLOOKUP($AT109,RESOURCES!$C:$L,MATCH('PRODUCTIVITY RAW'!AV$2,RESOURCES!$C$3:$L$3,0),FALSE),"-")</f>
        <v>-</v>
      </c>
      <c r="AW109" s="92" t="str">
        <f>IFERROR(VLOOKUP($AT109,RESOURCES!$C:$L,MATCH('PRODUCTIVITY RAW'!AW$2,RESOURCES!$C$3:$L$3,0),FALSE),"-")</f>
        <v>-</v>
      </c>
      <c r="AX109" s="92" t="str">
        <f>IFERROR(VLOOKUP($AT109,RESOURCES!$C:$L,MATCH('PRODUCTIVITY RAW'!AX$2,RESOURCES!$C$3:$L$3,0),FALSE),"-")</f>
        <v>-</v>
      </c>
      <c r="AY109" s="92" t="str">
        <f>IFERROR(VLOOKUP($AT109,RESOURCES!$C:$L,MATCH('PRODUCTIVITY RAW'!AY$2,RESOURCES!$C$3:$L$3,0),FALSE),"-")</f>
        <v>-</v>
      </c>
      <c r="AZ109" s="92" t="str">
        <f>IFERROR(VLOOKUP($AT109,RESOURCES!$C:$L,MATCH('PRODUCTIVITY RAW'!AZ$2,RESOURCES!$C$3:$L$3,0),FALSE),"-")</f>
        <v>-</v>
      </c>
      <c r="BA109" s="20"/>
    </row>
    <row r="110" spans="1:53">
      <c r="A110" s="664">
        <f t="shared" si="18"/>
        <v>108</v>
      </c>
      <c r="B110" s="466">
        <f t="shared" si="12"/>
        <v>10072438</v>
      </c>
      <c r="C110" s="92" t="str">
        <f>IFERROR(VLOOKUP($B110,RESOURCES!$C:$L,MATCH('PRODUCTIVITY RAW'!C$2,RESOURCES!$C$3:$L$3,0),FALSE),"-")</f>
        <v>ARCABOS, JEROME G.</v>
      </c>
      <c r="D110" s="92" t="str">
        <f>IFERROR(VLOOKUP($B110,RESOURCES!$C:$L,MATCH('PRODUCTIVITY RAW'!D$2,RESOURCES!$C$3:$L$3,0),FALSE),"-")</f>
        <v>Web Designer</v>
      </c>
      <c r="E110" s="92" t="str">
        <f>IFERROR(VLOOKUP($B110,RESOURCES!$C:$L,MATCH('PRODUCTIVITY RAW'!E$2,RESOURCES!$C$3:$L$3,0),FALSE),"-")</f>
        <v>CRUZ, Noel</v>
      </c>
      <c r="F110" s="92" t="str">
        <f>IFERROR(VLOOKUP($B110,RESOURCES!$C:$L,MATCH('PRODUCTIVITY RAW'!F$2,RESOURCES!$C$3:$L$3,0),FALSE),"-")</f>
        <v>TAGUILASO, Daryl</v>
      </c>
      <c r="G110" s="92" t="str">
        <f>IFERROR(VLOOKUP($B110,RESOURCES!$C:$L,MATCH('PRODUCTIVITY RAW'!G$2,RESOURCES!$C$3:$L$3,0),FALSE),"-")</f>
        <v>MENDOZA, Carlo</v>
      </c>
      <c r="H110" s="92" t="str">
        <f>IFERROR(VLOOKUP($B110,RESOURCES!$C:$L,MATCH('PRODUCTIVITY RAW'!H$2,RESOURCES!$C$3:$L$3,0),FALSE),"-")</f>
        <v>Ventanilla, Mike</v>
      </c>
      <c r="I110" s="8"/>
      <c r="J110" s="8"/>
      <c r="K110" s="9" t="str">
        <f>IFERROR(VLOOKUP($B110,RESOURCES!$C:$L,MATCH('PRODUCTIVITY RAW'!K$2,RESOURCES!$C$3:$L$3,0),FALSE),"-")</f>
        <v>Expert</v>
      </c>
      <c r="L110" s="21">
        <f t="shared" si="10"/>
        <v>143.74999999999997</v>
      </c>
      <c r="M110" s="21">
        <f t="shared" si="11"/>
        <v>120</v>
      </c>
      <c r="N110" s="21">
        <f t="shared" si="13"/>
        <v>16</v>
      </c>
      <c r="O110" s="86">
        <f t="shared" si="14"/>
        <v>8.9843749999999982</v>
      </c>
      <c r="P110" s="86">
        <f>IFERROR(VLOOKUP($D110,KPI!$V:$AN,2,FALSE),"-")</f>
        <v>8</v>
      </c>
      <c r="Q110" s="32">
        <f t="shared" si="15"/>
        <v>1</v>
      </c>
      <c r="R110" s="185">
        <f t="shared" si="16"/>
        <v>128</v>
      </c>
      <c r="S110" s="89" t="str">
        <f t="shared" si="17"/>
        <v>Web Designer</v>
      </c>
      <c r="AG110" s="664">
        <v>108</v>
      </c>
      <c r="AH110" s="664">
        <v>10072438</v>
      </c>
      <c r="AI110" s="664" t="s">
        <v>211</v>
      </c>
      <c r="AJ110" s="92" t="s">
        <v>83</v>
      </c>
      <c r="AK110" s="92" t="s">
        <v>200</v>
      </c>
      <c r="AL110" s="92" t="s">
        <v>170</v>
      </c>
      <c r="AM110" s="92" t="s">
        <v>85</v>
      </c>
      <c r="AN110" s="92" t="s">
        <v>86</v>
      </c>
      <c r="AO110" s="157">
        <v>143.74999999999997</v>
      </c>
      <c r="AP110" s="157">
        <v>120</v>
      </c>
      <c r="AQ110" s="571">
        <v>0</v>
      </c>
      <c r="AS110" s="664">
        <f t="shared" si="19"/>
        <v>108</v>
      </c>
      <c r="AT110" s="664"/>
      <c r="AU110" s="664"/>
      <c r="AV110" s="92" t="str">
        <f>IFERROR(VLOOKUP($AT110,RESOURCES!$C:$L,MATCH('PRODUCTIVITY RAW'!AV$2,RESOURCES!$C$3:$L$3,0),FALSE),"-")</f>
        <v>-</v>
      </c>
      <c r="AW110" s="92" t="str">
        <f>IFERROR(VLOOKUP($AT110,RESOURCES!$C:$L,MATCH('PRODUCTIVITY RAW'!AW$2,RESOURCES!$C$3:$L$3,0),FALSE),"-")</f>
        <v>-</v>
      </c>
      <c r="AX110" s="92" t="str">
        <f>IFERROR(VLOOKUP($AT110,RESOURCES!$C:$L,MATCH('PRODUCTIVITY RAW'!AX$2,RESOURCES!$C$3:$L$3,0),FALSE),"-")</f>
        <v>-</v>
      </c>
      <c r="AY110" s="92" t="str">
        <f>IFERROR(VLOOKUP($AT110,RESOURCES!$C:$L,MATCH('PRODUCTIVITY RAW'!AY$2,RESOURCES!$C$3:$L$3,0),FALSE),"-")</f>
        <v>-</v>
      </c>
      <c r="AZ110" s="92" t="str">
        <f>IFERROR(VLOOKUP($AT110,RESOURCES!$C:$L,MATCH('PRODUCTIVITY RAW'!AZ$2,RESOURCES!$C$3:$L$3,0),FALSE),"-")</f>
        <v>-</v>
      </c>
      <c r="BA110" s="20"/>
    </row>
    <row r="111" spans="1:53">
      <c r="A111" s="664">
        <f t="shared" si="18"/>
        <v>109</v>
      </c>
      <c r="B111" s="466">
        <f t="shared" si="12"/>
        <v>10072073</v>
      </c>
      <c r="C111" s="92" t="str">
        <f>IFERROR(VLOOKUP($B111,RESOURCES!$C:$L,MATCH('PRODUCTIVITY RAW'!C$2,RESOURCES!$C$3:$L$3,0),FALSE),"-")</f>
        <v>ROSETE, JOHN ANTHONY T.</v>
      </c>
      <c r="D111" s="92" t="str">
        <f>IFERROR(VLOOKUP($B111,RESOURCES!$C:$L,MATCH('PRODUCTIVITY RAW'!D$2,RESOURCES!$C$3:$L$3,0),FALSE),"-")</f>
        <v>Web Designer</v>
      </c>
      <c r="E111" s="92" t="str">
        <f>IFERROR(VLOOKUP($B111,RESOURCES!$C:$L,MATCH('PRODUCTIVITY RAW'!E$2,RESOURCES!$C$3:$L$3,0),FALSE),"-")</f>
        <v>CRUZ, Noel</v>
      </c>
      <c r="F111" s="92" t="str">
        <f>IFERROR(VLOOKUP($B111,RESOURCES!$C:$L,MATCH('PRODUCTIVITY RAW'!F$2,RESOURCES!$C$3:$L$3,0),FALSE),"-")</f>
        <v>TAGUILASO, Daryl</v>
      </c>
      <c r="G111" s="92" t="str">
        <f>IFERROR(VLOOKUP($B111,RESOURCES!$C:$L,MATCH('PRODUCTIVITY RAW'!G$2,RESOURCES!$C$3:$L$3,0),FALSE),"-")</f>
        <v>MENDOZA, Carlo</v>
      </c>
      <c r="H111" s="92" t="str">
        <f>IFERROR(VLOOKUP($B111,RESOURCES!$C:$L,MATCH('PRODUCTIVITY RAW'!H$2,RESOURCES!$C$3:$L$3,0),FALSE),"-")</f>
        <v>Ventanilla, Mike</v>
      </c>
      <c r="I111" s="8"/>
      <c r="J111" s="8"/>
      <c r="K111" s="9" t="str">
        <f>IFERROR(VLOOKUP($B111,RESOURCES!$C:$L,MATCH('PRODUCTIVITY RAW'!K$2,RESOURCES!$C$3:$L$3,0),FALSE),"-")</f>
        <v>Expert</v>
      </c>
      <c r="L111" s="21">
        <f t="shared" si="10"/>
        <v>102.20000000000003</v>
      </c>
      <c r="M111" s="21">
        <f t="shared" si="11"/>
        <v>120</v>
      </c>
      <c r="N111" s="21">
        <f t="shared" si="13"/>
        <v>16</v>
      </c>
      <c r="O111" s="86">
        <f t="shared" si="14"/>
        <v>6.387500000000002</v>
      </c>
      <c r="P111" s="86">
        <f>IFERROR(VLOOKUP($D111,KPI!$V:$AN,2,FALSE),"-")</f>
        <v>8</v>
      </c>
      <c r="Q111" s="32">
        <f t="shared" si="15"/>
        <v>0.79843750000000024</v>
      </c>
      <c r="R111" s="185">
        <f t="shared" si="16"/>
        <v>128</v>
      </c>
      <c r="S111" s="89" t="str">
        <f t="shared" si="17"/>
        <v>Web Designer</v>
      </c>
      <c r="AG111" s="664">
        <v>109</v>
      </c>
      <c r="AH111" s="664">
        <v>10072073</v>
      </c>
      <c r="AI111" s="664" t="s">
        <v>212</v>
      </c>
      <c r="AJ111" s="92" t="s">
        <v>83</v>
      </c>
      <c r="AK111" s="92" t="s">
        <v>200</v>
      </c>
      <c r="AL111" s="92" t="s">
        <v>170</v>
      </c>
      <c r="AM111" s="92" t="s">
        <v>85</v>
      </c>
      <c r="AN111" s="92" t="s">
        <v>86</v>
      </c>
      <c r="AO111" s="157">
        <v>102.20000000000003</v>
      </c>
      <c r="AP111" s="157">
        <v>120</v>
      </c>
      <c r="AQ111" s="571">
        <v>0</v>
      </c>
      <c r="AS111" s="664">
        <f t="shared" si="19"/>
        <v>109</v>
      </c>
      <c r="AT111" s="664"/>
      <c r="AU111" s="664"/>
      <c r="AV111" s="92" t="str">
        <f>IFERROR(VLOOKUP($AT111,RESOURCES!$C:$L,MATCH('PRODUCTIVITY RAW'!AV$2,RESOURCES!$C$3:$L$3,0),FALSE),"-")</f>
        <v>-</v>
      </c>
      <c r="AW111" s="92" t="str">
        <f>IFERROR(VLOOKUP($AT111,RESOURCES!$C:$L,MATCH('PRODUCTIVITY RAW'!AW$2,RESOURCES!$C$3:$L$3,0),FALSE),"-")</f>
        <v>-</v>
      </c>
      <c r="AX111" s="92" t="str">
        <f>IFERROR(VLOOKUP($AT111,RESOURCES!$C:$L,MATCH('PRODUCTIVITY RAW'!AX$2,RESOURCES!$C$3:$L$3,0),FALSE),"-")</f>
        <v>-</v>
      </c>
      <c r="AY111" s="92" t="str">
        <f>IFERROR(VLOOKUP($AT111,RESOURCES!$C:$L,MATCH('PRODUCTIVITY RAW'!AY$2,RESOURCES!$C$3:$L$3,0),FALSE),"-")</f>
        <v>-</v>
      </c>
      <c r="AZ111" s="92" t="str">
        <f>IFERROR(VLOOKUP($AT111,RESOURCES!$C:$L,MATCH('PRODUCTIVITY RAW'!AZ$2,RESOURCES!$C$3:$L$3,0),FALSE),"-")</f>
        <v>-</v>
      </c>
      <c r="BA111" s="20"/>
    </row>
    <row r="112" spans="1:53">
      <c r="A112" s="664">
        <f t="shared" si="18"/>
        <v>110</v>
      </c>
      <c r="B112" s="466">
        <f t="shared" si="12"/>
        <v>10071423</v>
      </c>
      <c r="C112" s="92" t="str">
        <f>IFERROR(VLOOKUP($B112,RESOURCES!$C:$L,MATCH('PRODUCTIVITY RAW'!C$2,RESOURCES!$C$3:$L$3,0),FALSE),"-")</f>
        <v>DELOS REYES, VERNARD C.</v>
      </c>
      <c r="D112" s="92" t="str">
        <f>IFERROR(VLOOKUP($B112,RESOURCES!$C:$L,MATCH('PRODUCTIVITY RAW'!D$2,RESOURCES!$C$3:$L$3,0),FALSE),"-")</f>
        <v>Web Designer</v>
      </c>
      <c r="E112" s="92" t="str">
        <f>IFERROR(VLOOKUP($B112,RESOURCES!$C:$L,MATCH('PRODUCTIVITY RAW'!E$2,RESOURCES!$C$3:$L$3,0),FALSE),"-")</f>
        <v>CEDENO, Karleen</v>
      </c>
      <c r="F112" s="92" t="str">
        <f>IFERROR(VLOOKUP($B112,RESOURCES!$C:$L,MATCH('PRODUCTIVITY RAW'!F$2,RESOURCES!$C$3:$L$3,0),FALSE),"-")</f>
        <v>TAGUILASO, Daryl</v>
      </c>
      <c r="G112" s="92" t="str">
        <f>IFERROR(VLOOKUP($B112,RESOURCES!$C:$L,MATCH('PRODUCTIVITY RAW'!G$2,RESOURCES!$C$3:$L$3,0),FALSE),"-")</f>
        <v>MENDOZA, Carlo</v>
      </c>
      <c r="H112" s="92" t="str">
        <f>IFERROR(VLOOKUP($B112,RESOURCES!$C:$L,MATCH('PRODUCTIVITY RAW'!H$2,RESOURCES!$C$3:$L$3,0),FALSE),"-")</f>
        <v>Ventanilla, Mike</v>
      </c>
      <c r="I112" s="8"/>
      <c r="J112" s="8"/>
      <c r="K112" s="9" t="str">
        <f>IFERROR(VLOOKUP($B112,RESOURCES!$C:$L,MATCH('PRODUCTIVITY RAW'!K$2,RESOURCES!$C$3:$L$3,0),FALSE),"-")</f>
        <v>Expert</v>
      </c>
      <c r="L112" s="21">
        <f t="shared" si="10"/>
        <v>109.95000000000005</v>
      </c>
      <c r="M112" s="21">
        <f t="shared" si="11"/>
        <v>127.5</v>
      </c>
      <c r="N112" s="21">
        <f t="shared" si="13"/>
        <v>17</v>
      </c>
      <c r="O112" s="86">
        <f t="shared" si="14"/>
        <v>6.4676470588235322</v>
      </c>
      <c r="P112" s="86">
        <f>IFERROR(VLOOKUP($D112,KPI!$V:$AN,2,FALSE),"-")</f>
        <v>8</v>
      </c>
      <c r="Q112" s="32">
        <f t="shared" si="15"/>
        <v>0.80845588235294152</v>
      </c>
      <c r="R112" s="185">
        <f t="shared" si="16"/>
        <v>136</v>
      </c>
      <c r="S112" s="89" t="str">
        <f t="shared" si="17"/>
        <v>Web Designer</v>
      </c>
      <c r="AG112" s="664">
        <v>110</v>
      </c>
      <c r="AH112" s="664">
        <v>10071423</v>
      </c>
      <c r="AI112" s="664" t="s">
        <v>213</v>
      </c>
      <c r="AJ112" s="92" t="s">
        <v>83</v>
      </c>
      <c r="AK112" s="92" t="s">
        <v>214</v>
      </c>
      <c r="AL112" s="92" t="s">
        <v>170</v>
      </c>
      <c r="AM112" s="92" t="s">
        <v>85</v>
      </c>
      <c r="AN112" s="92" t="s">
        <v>86</v>
      </c>
      <c r="AO112" s="157">
        <v>109.95000000000005</v>
      </c>
      <c r="AP112" s="157">
        <v>127.5</v>
      </c>
      <c r="AQ112" s="571">
        <v>0</v>
      </c>
      <c r="AS112" s="664">
        <f t="shared" si="19"/>
        <v>110</v>
      </c>
      <c r="AT112" s="664"/>
      <c r="AU112" s="664"/>
      <c r="AV112" s="92" t="str">
        <f>IFERROR(VLOOKUP($AT112,RESOURCES!$C:$L,MATCH('PRODUCTIVITY RAW'!AV$2,RESOURCES!$C$3:$L$3,0),FALSE),"-")</f>
        <v>-</v>
      </c>
      <c r="AW112" s="92" t="str">
        <f>IFERROR(VLOOKUP($AT112,RESOURCES!$C:$L,MATCH('PRODUCTIVITY RAW'!AW$2,RESOURCES!$C$3:$L$3,0),FALSE),"-")</f>
        <v>-</v>
      </c>
      <c r="AX112" s="92" t="str">
        <f>IFERROR(VLOOKUP($AT112,RESOURCES!$C:$L,MATCH('PRODUCTIVITY RAW'!AX$2,RESOURCES!$C$3:$L$3,0),FALSE),"-")</f>
        <v>-</v>
      </c>
      <c r="AY112" s="92" t="str">
        <f>IFERROR(VLOOKUP($AT112,RESOURCES!$C:$L,MATCH('PRODUCTIVITY RAW'!AY$2,RESOURCES!$C$3:$L$3,0),FALSE),"-")</f>
        <v>-</v>
      </c>
      <c r="AZ112" s="92" t="str">
        <f>IFERROR(VLOOKUP($AT112,RESOURCES!$C:$L,MATCH('PRODUCTIVITY RAW'!AZ$2,RESOURCES!$C$3:$L$3,0),FALSE),"-")</f>
        <v>-</v>
      </c>
      <c r="BA112" s="20"/>
    </row>
    <row r="113" spans="1:53">
      <c r="A113" s="664">
        <f t="shared" si="18"/>
        <v>111</v>
      </c>
      <c r="B113" s="466">
        <f t="shared" si="12"/>
        <v>10071301</v>
      </c>
      <c r="C113" s="92" t="str">
        <f>IFERROR(VLOOKUP($B113,RESOURCES!$C:$L,MATCH('PRODUCTIVITY RAW'!C$2,RESOURCES!$C$3:$L$3,0),FALSE),"-")</f>
        <v>ESGUERRA, NOMAR P.</v>
      </c>
      <c r="D113" s="92" t="str">
        <f>IFERROR(VLOOKUP($B113,RESOURCES!$C:$L,MATCH('PRODUCTIVITY RAW'!D$2,RESOURCES!$C$3:$L$3,0),FALSE),"-")</f>
        <v>Web Designer</v>
      </c>
      <c r="E113" s="92" t="str">
        <f>IFERROR(VLOOKUP($B113,RESOURCES!$C:$L,MATCH('PRODUCTIVITY RAW'!E$2,RESOURCES!$C$3:$L$3,0),FALSE),"-")</f>
        <v>CEDENO, Karleen</v>
      </c>
      <c r="F113" s="92" t="str">
        <f>IFERROR(VLOOKUP($B113,RESOURCES!$C:$L,MATCH('PRODUCTIVITY RAW'!F$2,RESOURCES!$C$3:$L$3,0),FALSE),"-")</f>
        <v>TAGUILASO, Daryl</v>
      </c>
      <c r="G113" s="92" t="str">
        <f>IFERROR(VLOOKUP($B113,RESOURCES!$C:$L,MATCH('PRODUCTIVITY RAW'!G$2,RESOURCES!$C$3:$L$3,0),FALSE),"-")</f>
        <v>MENDOZA, Carlo</v>
      </c>
      <c r="H113" s="92" t="str">
        <f>IFERROR(VLOOKUP($B113,RESOURCES!$C:$L,MATCH('PRODUCTIVITY RAW'!H$2,RESOURCES!$C$3:$L$3,0),FALSE),"-")</f>
        <v>Ventanilla, Mike</v>
      </c>
      <c r="I113" s="8"/>
      <c r="J113" s="8"/>
      <c r="K113" s="9" t="str">
        <f>IFERROR(VLOOKUP($B113,RESOURCES!$C:$L,MATCH('PRODUCTIVITY RAW'!K$2,RESOURCES!$C$3:$L$3,0),FALSE),"-")</f>
        <v>Expert</v>
      </c>
      <c r="L113" s="21">
        <f t="shared" si="10"/>
        <v>119.85000000000002</v>
      </c>
      <c r="M113" s="21">
        <f t="shared" si="11"/>
        <v>127.5</v>
      </c>
      <c r="N113" s="21">
        <f t="shared" si="13"/>
        <v>17</v>
      </c>
      <c r="O113" s="86">
        <f t="shared" si="14"/>
        <v>7.0500000000000016</v>
      </c>
      <c r="P113" s="86">
        <f>IFERROR(VLOOKUP($D113,KPI!$V:$AN,2,FALSE),"-")</f>
        <v>8</v>
      </c>
      <c r="Q113" s="32">
        <f t="shared" si="15"/>
        <v>0.8812500000000002</v>
      </c>
      <c r="R113" s="185">
        <f t="shared" si="16"/>
        <v>136</v>
      </c>
      <c r="S113" s="89" t="str">
        <f t="shared" si="17"/>
        <v>Web Designer</v>
      </c>
      <c r="AG113" s="664">
        <v>111</v>
      </c>
      <c r="AH113" s="664">
        <v>10071301</v>
      </c>
      <c r="AI113" s="664" t="s">
        <v>215</v>
      </c>
      <c r="AJ113" s="92" t="s">
        <v>83</v>
      </c>
      <c r="AK113" s="92" t="s">
        <v>214</v>
      </c>
      <c r="AL113" s="92" t="s">
        <v>170</v>
      </c>
      <c r="AM113" s="92" t="s">
        <v>85</v>
      </c>
      <c r="AN113" s="92" t="s">
        <v>86</v>
      </c>
      <c r="AO113" s="157">
        <v>119.85000000000002</v>
      </c>
      <c r="AP113" s="157">
        <v>127.5</v>
      </c>
      <c r="AQ113" s="571">
        <v>0</v>
      </c>
      <c r="AS113" s="664">
        <f t="shared" si="19"/>
        <v>111</v>
      </c>
      <c r="AT113" s="664"/>
      <c r="AU113" s="664"/>
      <c r="AV113" s="92" t="str">
        <f>IFERROR(VLOOKUP($AT113,RESOURCES!$C:$L,MATCH('PRODUCTIVITY RAW'!AV$2,RESOURCES!$C$3:$L$3,0),FALSE),"-")</f>
        <v>-</v>
      </c>
      <c r="AW113" s="92" t="str">
        <f>IFERROR(VLOOKUP($AT113,RESOURCES!$C:$L,MATCH('PRODUCTIVITY RAW'!AW$2,RESOURCES!$C$3:$L$3,0),FALSE),"-")</f>
        <v>-</v>
      </c>
      <c r="AX113" s="92" t="str">
        <f>IFERROR(VLOOKUP($AT113,RESOURCES!$C:$L,MATCH('PRODUCTIVITY RAW'!AX$2,RESOURCES!$C$3:$L$3,0),FALSE),"-")</f>
        <v>-</v>
      </c>
      <c r="AY113" s="92" t="str">
        <f>IFERROR(VLOOKUP($AT113,RESOURCES!$C:$L,MATCH('PRODUCTIVITY RAW'!AY$2,RESOURCES!$C$3:$L$3,0),FALSE),"-")</f>
        <v>-</v>
      </c>
      <c r="AZ113" s="92" t="str">
        <f>IFERROR(VLOOKUP($AT113,RESOURCES!$C:$L,MATCH('PRODUCTIVITY RAW'!AZ$2,RESOURCES!$C$3:$L$3,0),FALSE),"-")</f>
        <v>-</v>
      </c>
      <c r="BA113" s="20"/>
    </row>
    <row r="114" spans="1:53">
      <c r="A114" s="664">
        <f t="shared" si="18"/>
        <v>112</v>
      </c>
      <c r="B114" s="466">
        <f t="shared" si="12"/>
        <v>10072245</v>
      </c>
      <c r="C114" s="92" t="str">
        <f>IFERROR(VLOOKUP($B114,RESOURCES!$C:$L,MATCH('PRODUCTIVITY RAW'!C$2,RESOURCES!$C$3:$L$3,0),FALSE),"-")</f>
        <v>GOROSPE, DYAN JAY H.</v>
      </c>
      <c r="D114" s="92" t="str">
        <f>IFERROR(VLOOKUP($B114,RESOURCES!$C:$L,MATCH('PRODUCTIVITY RAW'!D$2,RESOURCES!$C$3:$L$3,0),FALSE),"-")</f>
        <v>Web Designer</v>
      </c>
      <c r="E114" s="92" t="str">
        <f>IFERROR(VLOOKUP($B114,RESOURCES!$C:$L,MATCH('PRODUCTIVITY RAW'!E$2,RESOURCES!$C$3:$L$3,0),FALSE),"-")</f>
        <v>CEDENO, Karleen</v>
      </c>
      <c r="F114" s="92" t="str">
        <f>IFERROR(VLOOKUP($B114,RESOURCES!$C:$L,MATCH('PRODUCTIVITY RAW'!F$2,RESOURCES!$C$3:$L$3,0),FALSE),"-")</f>
        <v>TAGUILASO, Daryl</v>
      </c>
      <c r="G114" s="92" t="str">
        <f>IFERROR(VLOOKUP($B114,RESOURCES!$C:$L,MATCH('PRODUCTIVITY RAW'!G$2,RESOURCES!$C$3:$L$3,0),FALSE),"-")</f>
        <v>MENDOZA, Carlo</v>
      </c>
      <c r="H114" s="92" t="str">
        <f>IFERROR(VLOOKUP($B114,RESOURCES!$C:$L,MATCH('PRODUCTIVITY RAW'!H$2,RESOURCES!$C$3:$L$3,0),FALSE),"-")</f>
        <v>Ventanilla, Mike</v>
      </c>
      <c r="I114" s="8"/>
      <c r="J114" s="8"/>
      <c r="K114" s="9" t="str">
        <f>IFERROR(VLOOKUP($B114,RESOURCES!$C:$L,MATCH('PRODUCTIVITY RAW'!K$2,RESOURCES!$C$3:$L$3,0),FALSE),"-")</f>
        <v>Beginner</v>
      </c>
      <c r="L114" s="21">
        <f t="shared" si="10"/>
        <v>121.30000000000007</v>
      </c>
      <c r="M114" s="21">
        <f t="shared" si="11"/>
        <v>135</v>
      </c>
      <c r="N114" s="21">
        <f t="shared" si="13"/>
        <v>18</v>
      </c>
      <c r="O114" s="86">
        <f t="shared" si="14"/>
        <v>6.7388888888888925</v>
      </c>
      <c r="P114" s="86">
        <f>IFERROR(VLOOKUP($D114,KPI!$V:$AN,2,FALSE),"-")</f>
        <v>8</v>
      </c>
      <c r="Q114" s="32">
        <f t="shared" si="15"/>
        <v>0.84275127373784209</v>
      </c>
      <c r="R114" s="185">
        <f t="shared" si="16"/>
        <v>143.93333333333334</v>
      </c>
      <c r="S114" s="89" t="str">
        <f t="shared" si="17"/>
        <v>Web Designer</v>
      </c>
      <c r="AG114" s="664">
        <v>112</v>
      </c>
      <c r="AH114" s="664">
        <v>10072245</v>
      </c>
      <c r="AI114" s="664" t="s">
        <v>216</v>
      </c>
      <c r="AJ114" s="92" t="s">
        <v>83</v>
      </c>
      <c r="AK114" s="92" t="s">
        <v>214</v>
      </c>
      <c r="AL114" s="92" t="s">
        <v>170</v>
      </c>
      <c r="AM114" s="92" t="s">
        <v>85</v>
      </c>
      <c r="AN114" s="92" t="s">
        <v>86</v>
      </c>
      <c r="AO114" s="157">
        <v>121.30000000000007</v>
      </c>
      <c r="AP114" s="157">
        <v>135</v>
      </c>
      <c r="AQ114" s="571">
        <v>6.6666666666666666E-2</v>
      </c>
      <c r="AS114" s="664">
        <f t="shared" si="19"/>
        <v>112</v>
      </c>
      <c r="AT114" s="664"/>
      <c r="AU114" s="664"/>
      <c r="AV114" s="92" t="str">
        <f>IFERROR(VLOOKUP($AT114,RESOURCES!$C:$L,MATCH('PRODUCTIVITY RAW'!AV$2,RESOURCES!$C$3:$L$3,0),FALSE),"-")</f>
        <v>-</v>
      </c>
      <c r="AW114" s="92" t="str">
        <f>IFERROR(VLOOKUP($AT114,RESOURCES!$C:$L,MATCH('PRODUCTIVITY RAW'!AW$2,RESOURCES!$C$3:$L$3,0),FALSE),"-")</f>
        <v>-</v>
      </c>
      <c r="AX114" s="92" t="str">
        <f>IFERROR(VLOOKUP($AT114,RESOURCES!$C:$L,MATCH('PRODUCTIVITY RAW'!AX$2,RESOURCES!$C$3:$L$3,0),FALSE),"-")</f>
        <v>-</v>
      </c>
      <c r="AY114" s="92" t="str">
        <f>IFERROR(VLOOKUP($AT114,RESOURCES!$C:$L,MATCH('PRODUCTIVITY RAW'!AY$2,RESOURCES!$C$3:$L$3,0),FALSE),"-")</f>
        <v>-</v>
      </c>
      <c r="AZ114" s="92" t="str">
        <f>IFERROR(VLOOKUP($AT114,RESOURCES!$C:$L,MATCH('PRODUCTIVITY RAW'!AZ$2,RESOURCES!$C$3:$L$3,0),FALSE),"-")</f>
        <v>-</v>
      </c>
      <c r="BA114" s="20"/>
    </row>
    <row r="115" spans="1:53">
      <c r="A115" s="664">
        <f t="shared" si="18"/>
        <v>113</v>
      </c>
      <c r="B115" s="466">
        <f t="shared" si="12"/>
        <v>10072160</v>
      </c>
      <c r="C115" s="92" t="str">
        <f>IFERROR(VLOOKUP($B115,RESOURCES!$C:$L,MATCH('PRODUCTIVITY RAW'!C$2,RESOURCES!$C$3:$L$3,0),FALSE),"-")</f>
        <v>LAGAYA, ADRIAN R.</v>
      </c>
      <c r="D115" s="92" t="str">
        <f>IFERROR(VLOOKUP($B115,RESOURCES!$C:$L,MATCH('PRODUCTIVITY RAW'!D$2,RESOURCES!$C$3:$L$3,0),FALSE),"-")</f>
        <v>Web Designer</v>
      </c>
      <c r="E115" s="92" t="str">
        <f>IFERROR(VLOOKUP($B115,RESOURCES!$C:$L,MATCH('PRODUCTIVITY RAW'!E$2,RESOURCES!$C$3:$L$3,0),FALSE),"-")</f>
        <v>CEDENO, Karleen</v>
      </c>
      <c r="F115" s="92" t="str">
        <f>IFERROR(VLOOKUP($B115,RESOURCES!$C:$L,MATCH('PRODUCTIVITY RAW'!F$2,RESOURCES!$C$3:$L$3,0),FALSE),"-")</f>
        <v>TAGUILASO, Daryl</v>
      </c>
      <c r="G115" s="92" t="str">
        <f>IFERROR(VLOOKUP($B115,RESOURCES!$C:$L,MATCH('PRODUCTIVITY RAW'!G$2,RESOURCES!$C$3:$L$3,0),FALSE),"-")</f>
        <v>MENDOZA, Carlo</v>
      </c>
      <c r="H115" s="92" t="str">
        <f>IFERROR(VLOOKUP($B115,RESOURCES!$C:$L,MATCH('PRODUCTIVITY RAW'!H$2,RESOURCES!$C$3:$L$3,0),FALSE),"-")</f>
        <v>Ventanilla, Mike</v>
      </c>
      <c r="I115" s="8"/>
      <c r="J115" s="8"/>
      <c r="K115" s="9" t="str">
        <f>IFERROR(VLOOKUP($B115,RESOURCES!$C:$L,MATCH('PRODUCTIVITY RAW'!K$2,RESOURCES!$C$3:$L$3,0),FALSE),"-")</f>
        <v>Expert</v>
      </c>
      <c r="L115" s="21">
        <f t="shared" si="10"/>
        <v>195.10000000000002</v>
      </c>
      <c r="M115" s="21">
        <f t="shared" si="11"/>
        <v>127.5</v>
      </c>
      <c r="N115" s="21">
        <f t="shared" si="13"/>
        <v>17</v>
      </c>
      <c r="O115" s="86">
        <f t="shared" si="14"/>
        <v>11.476470588235296</v>
      </c>
      <c r="P115" s="86">
        <f>IFERROR(VLOOKUP($D115,KPI!$V:$AN,2,FALSE),"-")</f>
        <v>8</v>
      </c>
      <c r="Q115" s="32">
        <f t="shared" si="15"/>
        <v>1</v>
      </c>
      <c r="R115" s="185">
        <f t="shared" si="16"/>
        <v>136</v>
      </c>
      <c r="S115" s="89" t="str">
        <f t="shared" si="17"/>
        <v>Web Designer</v>
      </c>
      <c r="AG115" s="664">
        <v>113</v>
      </c>
      <c r="AH115" s="664">
        <v>10072160</v>
      </c>
      <c r="AI115" s="664" t="s">
        <v>217</v>
      </c>
      <c r="AJ115" s="92" t="s">
        <v>83</v>
      </c>
      <c r="AK115" s="92" t="s">
        <v>214</v>
      </c>
      <c r="AL115" s="92" t="s">
        <v>170</v>
      </c>
      <c r="AM115" s="92" t="s">
        <v>85</v>
      </c>
      <c r="AN115" s="92" t="s">
        <v>86</v>
      </c>
      <c r="AO115" s="157">
        <v>195.10000000000002</v>
      </c>
      <c r="AP115" s="157">
        <v>127.5</v>
      </c>
      <c r="AQ115" s="571">
        <v>0</v>
      </c>
      <c r="AS115" s="664">
        <f t="shared" si="19"/>
        <v>113</v>
      </c>
      <c r="AT115" s="664"/>
      <c r="AU115" s="664"/>
      <c r="AV115" s="92" t="str">
        <f>IFERROR(VLOOKUP($AT115,RESOURCES!$C:$L,MATCH('PRODUCTIVITY RAW'!AV$2,RESOURCES!$C$3:$L$3,0),FALSE),"-")</f>
        <v>-</v>
      </c>
      <c r="AW115" s="92" t="str">
        <f>IFERROR(VLOOKUP($AT115,RESOURCES!$C:$L,MATCH('PRODUCTIVITY RAW'!AW$2,RESOURCES!$C$3:$L$3,0),FALSE),"-")</f>
        <v>-</v>
      </c>
      <c r="AX115" s="92" t="str">
        <f>IFERROR(VLOOKUP($AT115,RESOURCES!$C:$L,MATCH('PRODUCTIVITY RAW'!AX$2,RESOURCES!$C$3:$L$3,0),FALSE),"-")</f>
        <v>-</v>
      </c>
      <c r="AY115" s="92" t="str">
        <f>IFERROR(VLOOKUP($AT115,RESOURCES!$C:$L,MATCH('PRODUCTIVITY RAW'!AY$2,RESOURCES!$C$3:$L$3,0),FALSE),"-")</f>
        <v>-</v>
      </c>
      <c r="AZ115" s="92" t="str">
        <f>IFERROR(VLOOKUP($AT115,RESOURCES!$C:$L,MATCH('PRODUCTIVITY RAW'!AZ$2,RESOURCES!$C$3:$L$3,0),FALSE),"-")</f>
        <v>-</v>
      </c>
      <c r="BA115" s="20"/>
    </row>
    <row r="116" spans="1:53">
      <c r="A116" s="664">
        <f t="shared" si="18"/>
        <v>114</v>
      </c>
      <c r="B116" s="466">
        <f t="shared" si="12"/>
        <v>10071252</v>
      </c>
      <c r="C116" s="92" t="str">
        <f>IFERROR(VLOOKUP($B116,RESOURCES!$C:$L,MATCH('PRODUCTIVITY RAW'!C$2,RESOURCES!$C$3:$L$3,0),FALSE),"-")</f>
        <v>MERCADO, JENNYFER D.</v>
      </c>
      <c r="D116" s="92" t="str">
        <f>IFERROR(VLOOKUP($B116,RESOURCES!$C:$L,MATCH('PRODUCTIVITY RAW'!D$2,RESOURCES!$C$3:$L$3,0),FALSE),"-")</f>
        <v>Web Designer</v>
      </c>
      <c r="E116" s="92" t="str">
        <f>IFERROR(VLOOKUP($B116,RESOURCES!$C:$L,MATCH('PRODUCTIVITY RAW'!E$2,RESOURCES!$C$3:$L$3,0),FALSE),"-")</f>
        <v>CEDENO, Karleen</v>
      </c>
      <c r="F116" s="92" t="str">
        <f>IFERROR(VLOOKUP($B116,RESOURCES!$C:$L,MATCH('PRODUCTIVITY RAW'!F$2,RESOURCES!$C$3:$L$3,0),FALSE),"-")</f>
        <v>TAGUILASO, Daryl</v>
      </c>
      <c r="G116" s="92" t="str">
        <f>IFERROR(VLOOKUP($B116,RESOURCES!$C:$L,MATCH('PRODUCTIVITY RAW'!G$2,RESOURCES!$C$3:$L$3,0),FALSE),"-")</f>
        <v>MENDOZA, Carlo</v>
      </c>
      <c r="H116" s="92" t="str">
        <f>IFERROR(VLOOKUP($B116,RESOURCES!$C:$L,MATCH('PRODUCTIVITY RAW'!H$2,RESOURCES!$C$3:$L$3,0),FALSE),"-")</f>
        <v>Ventanilla, Mike</v>
      </c>
      <c r="I116" s="8"/>
      <c r="J116" s="8"/>
      <c r="K116" s="9" t="str">
        <f>IFERROR(VLOOKUP($B116,RESOURCES!$C:$L,MATCH('PRODUCTIVITY RAW'!K$2,RESOURCES!$C$3:$L$3,0),FALSE),"-")</f>
        <v>Expert</v>
      </c>
      <c r="L116" s="21">
        <f t="shared" si="10"/>
        <v>103.75000000000004</v>
      </c>
      <c r="M116" s="21">
        <f t="shared" si="11"/>
        <v>97.5</v>
      </c>
      <c r="N116" s="21">
        <f t="shared" si="13"/>
        <v>13</v>
      </c>
      <c r="O116" s="86">
        <f t="shared" si="14"/>
        <v>7.9807692307692344</v>
      </c>
      <c r="P116" s="86">
        <f>IFERROR(VLOOKUP($D116,KPI!$V:$AN,2,FALSE),"-")</f>
        <v>8</v>
      </c>
      <c r="Q116" s="32">
        <f t="shared" si="15"/>
        <v>0.9975961538461543</v>
      </c>
      <c r="R116" s="185">
        <f t="shared" si="16"/>
        <v>104</v>
      </c>
      <c r="S116" s="89" t="str">
        <f t="shared" si="17"/>
        <v>Web Designer</v>
      </c>
      <c r="AG116" s="664">
        <v>114</v>
      </c>
      <c r="AH116" s="664">
        <v>10071252</v>
      </c>
      <c r="AI116" s="664" t="s">
        <v>218</v>
      </c>
      <c r="AJ116" s="92" t="s">
        <v>83</v>
      </c>
      <c r="AK116" s="92" t="s">
        <v>214</v>
      </c>
      <c r="AL116" s="92" t="s">
        <v>170</v>
      </c>
      <c r="AM116" s="92" t="s">
        <v>85</v>
      </c>
      <c r="AN116" s="92" t="s">
        <v>86</v>
      </c>
      <c r="AO116" s="157">
        <v>103.75000000000004</v>
      </c>
      <c r="AP116" s="157">
        <v>97.5</v>
      </c>
      <c r="AQ116" s="571">
        <v>0</v>
      </c>
      <c r="AS116" s="664">
        <f t="shared" si="19"/>
        <v>114</v>
      </c>
      <c r="AT116" s="664"/>
      <c r="AU116" s="664"/>
      <c r="AV116" s="92" t="str">
        <f>IFERROR(VLOOKUP($AT116,RESOURCES!$C:$L,MATCH('PRODUCTIVITY RAW'!AV$2,RESOURCES!$C$3:$L$3,0),FALSE),"-")</f>
        <v>-</v>
      </c>
      <c r="AW116" s="92" t="str">
        <f>IFERROR(VLOOKUP($AT116,RESOURCES!$C:$L,MATCH('PRODUCTIVITY RAW'!AW$2,RESOURCES!$C$3:$L$3,0),FALSE),"-")</f>
        <v>-</v>
      </c>
      <c r="AX116" s="92" t="str">
        <f>IFERROR(VLOOKUP($AT116,RESOURCES!$C:$L,MATCH('PRODUCTIVITY RAW'!AX$2,RESOURCES!$C$3:$L$3,0),FALSE),"-")</f>
        <v>-</v>
      </c>
      <c r="AY116" s="92" t="str">
        <f>IFERROR(VLOOKUP($AT116,RESOURCES!$C:$L,MATCH('PRODUCTIVITY RAW'!AY$2,RESOURCES!$C$3:$L$3,0),FALSE),"-")</f>
        <v>-</v>
      </c>
      <c r="AZ116" s="92" t="str">
        <f>IFERROR(VLOOKUP($AT116,RESOURCES!$C:$L,MATCH('PRODUCTIVITY RAW'!AZ$2,RESOURCES!$C$3:$L$3,0),FALSE),"-")</f>
        <v>-</v>
      </c>
      <c r="BA116" s="20"/>
    </row>
    <row r="117" spans="1:53">
      <c r="A117" s="664">
        <f t="shared" si="18"/>
        <v>115</v>
      </c>
      <c r="B117" s="466">
        <f t="shared" si="12"/>
        <v>10072457</v>
      </c>
      <c r="C117" s="92" t="str">
        <f>IFERROR(VLOOKUP($B117,RESOURCES!$C:$L,MATCH('PRODUCTIVITY RAW'!C$2,RESOURCES!$C$3:$L$3,0),FALSE),"-")</f>
        <v>NAPALANG, EZEKIEL L.</v>
      </c>
      <c r="D117" s="92" t="str">
        <f>IFERROR(VLOOKUP($B117,RESOURCES!$C:$L,MATCH('PRODUCTIVITY RAW'!D$2,RESOURCES!$C$3:$L$3,0),FALSE),"-")</f>
        <v>Web Designer</v>
      </c>
      <c r="E117" s="92" t="str">
        <f>IFERROR(VLOOKUP($B117,RESOURCES!$C:$L,MATCH('PRODUCTIVITY RAW'!E$2,RESOURCES!$C$3:$L$3,0),FALSE),"-")</f>
        <v>CEDENO, Karleen</v>
      </c>
      <c r="F117" s="92" t="str">
        <f>IFERROR(VLOOKUP($B117,RESOURCES!$C:$L,MATCH('PRODUCTIVITY RAW'!F$2,RESOURCES!$C$3:$L$3,0),FALSE),"-")</f>
        <v>TAGUILASO, Daryl</v>
      </c>
      <c r="G117" s="92" t="str">
        <f>IFERROR(VLOOKUP($B117,RESOURCES!$C:$L,MATCH('PRODUCTIVITY RAW'!G$2,RESOURCES!$C$3:$L$3,0),FALSE),"-")</f>
        <v>MENDOZA, Carlo</v>
      </c>
      <c r="H117" s="92" t="str">
        <f>IFERROR(VLOOKUP($B117,RESOURCES!$C:$L,MATCH('PRODUCTIVITY RAW'!H$2,RESOURCES!$C$3:$L$3,0),FALSE),"-")</f>
        <v>Ventanilla, Mike</v>
      </c>
      <c r="I117" s="8"/>
      <c r="J117" s="8"/>
      <c r="K117" s="9" t="str">
        <f>IFERROR(VLOOKUP($B117,RESOURCES!$C:$L,MATCH('PRODUCTIVITY RAW'!K$2,RESOURCES!$C$3:$L$3,0),FALSE),"-")</f>
        <v>Expert</v>
      </c>
      <c r="L117" s="21">
        <f t="shared" si="10"/>
        <v>110</v>
      </c>
      <c r="M117" s="21">
        <f t="shared" si="11"/>
        <v>120</v>
      </c>
      <c r="N117" s="21">
        <f t="shared" si="13"/>
        <v>16</v>
      </c>
      <c r="O117" s="86">
        <f t="shared" si="14"/>
        <v>6.875</v>
      </c>
      <c r="P117" s="86">
        <f>IFERROR(VLOOKUP($D117,KPI!$V:$AN,2,FALSE),"-")</f>
        <v>8</v>
      </c>
      <c r="Q117" s="32">
        <f t="shared" si="15"/>
        <v>0.859375</v>
      </c>
      <c r="R117" s="185">
        <f t="shared" si="16"/>
        <v>128</v>
      </c>
      <c r="S117" s="89" t="str">
        <f t="shared" si="17"/>
        <v>Web Designer</v>
      </c>
      <c r="AG117" s="664">
        <v>115</v>
      </c>
      <c r="AH117" s="664">
        <v>10072457</v>
      </c>
      <c r="AI117" s="664" t="s">
        <v>219</v>
      </c>
      <c r="AJ117" s="92" t="s">
        <v>83</v>
      </c>
      <c r="AK117" s="92" t="s">
        <v>214</v>
      </c>
      <c r="AL117" s="92" t="s">
        <v>170</v>
      </c>
      <c r="AM117" s="92" t="s">
        <v>85</v>
      </c>
      <c r="AN117" s="92" t="s">
        <v>86</v>
      </c>
      <c r="AO117" s="157">
        <v>110</v>
      </c>
      <c r="AP117" s="157">
        <v>120</v>
      </c>
      <c r="AQ117" s="571">
        <v>0</v>
      </c>
      <c r="AS117" s="664">
        <f t="shared" si="19"/>
        <v>115</v>
      </c>
      <c r="AT117" s="664"/>
      <c r="AU117" s="664"/>
      <c r="AV117" s="92" t="str">
        <f>IFERROR(VLOOKUP($AT117,RESOURCES!$C:$L,MATCH('PRODUCTIVITY RAW'!AV$2,RESOURCES!$C$3:$L$3,0),FALSE),"-")</f>
        <v>-</v>
      </c>
      <c r="AW117" s="92" t="str">
        <f>IFERROR(VLOOKUP($AT117,RESOURCES!$C:$L,MATCH('PRODUCTIVITY RAW'!AW$2,RESOURCES!$C$3:$L$3,0),FALSE),"-")</f>
        <v>-</v>
      </c>
      <c r="AX117" s="92" t="str">
        <f>IFERROR(VLOOKUP($AT117,RESOURCES!$C:$L,MATCH('PRODUCTIVITY RAW'!AX$2,RESOURCES!$C$3:$L$3,0),FALSE),"-")</f>
        <v>-</v>
      </c>
      <c r="AY117" s="92" t="str">
        <f>IFERROR(VLOOKUP($AT117,RESOURCES!$C:$L,MATCH('PRODUCTIVITY RAW'!AY$2,RESOURCES!$C$3:$L$3,0),FALSE),"-")</f>
        <v>-</v>
      </c>
      <c r="AZ117" s="92" t="str">
        <f>IFERROR(VLOOKUP($AT117,RESOURCES!$C:$L,MATCH('PRODUCTIVITY RAW'!AZ$2,RESOURCES!$C$3:$L$3,0),FALSE),"-")</f>
        <v>-</v>
      </c>
      <c r="BA117" s="20"/>
    </row>
    <row r="118" spans="1:53">
      <c r="A118" s="664">
        <f t="shared" si="18"/>
        <v>116</v>
      </c>
      <c r="B118" s="466">
        <f t="shared" si="12"/>
        <v>10070728</v>
      </c>
      <c r="C118" s="92" t="str">
        <f>IFERROR(VLOOKUP($B118,RESOURCES!$C:$L,MATCH('PRODUCTIVITY RAW'!C$2,RESOURCES!$C$3:$L$3,0),FALSE),"-")</f>
        <v>OBISPO, MARY RUTH SUZAINE G.</v>
      </c>
      <c r="D118" s="92" t="str">
        <f>IFERROR(VLOOKUP($B118,RESOURCES!$C:$L,MATCH('PRODUCTIVITY RAW'!D$2,RESOURCES!$C$3:$L$3,0),FALSE),"-")</f>
        <v>Web Designer</v>
      </c>
      <c r="E118" s="92" t="str">
        <f>IFERROR(VLOOKUP($B118,RESOURCES!$C:$L,MATCH('PRODUCTIVITY RAW'!E$2,RESOURCES!$C$3:$L$3,0),FALSE),"-")</f>
        <v>CEDENO, Karleen</v>
      </c>
      <c r="F118" s="92" t="str">
        <f>IFERROR(VLOOKUP($B118,RESOURCES!$C:$L,MATCH('PRODUCTIVITY RAW'!F$2,RESOURCES!$C$3:$L$3,0),FALSE),"-")</f>
        <v>TAGUILASO, Daryl</v>
      </c>
      <c r="G118" s="92" t="str">
        <f>IFERROR(VLOOKUP($B118,RESOURCES!$C:$L,MATCH('PRODUCTIVITY RAW'!G$2,RESOURCES!$C$3:$L$3,0),FALSE),"-")</f>
        <v>MENDOZA, Carlo</v>
      </c>
      <c r="H118" s="92" t="str">
        <f>IFERROR(VLOOKUP($B118,RESOURCES!$C:$L,MATCH('PRODUCTIVITY RAW'!H$2,RESOURCES!$C$3:$L$3,0),FALSE),"-")</f>
        <v>Ventanilla, Mike</v>
      </c>
      <c r="I118" s="8"/>
      <c r="J118" s="8"/>
      <c r="K118" s="9" t="str">
        <f>IFERROR(VLOOKUP($B118,RESOURCES!$C:$L,MATCH('PRODUCTIVITY RAW'!K$2,RESOURCES!$C$3:$L$3,0),FALSE),"-")</f>
        <v>Expert</v>
      </c>
      <c r="L118" s="21">
        <f t="shared" si="10"/>
        <v>154.35000000000002</v>
      </c>
      <c r="M118" s="21">
        <f t="shared" si="11"/>
        <v>112.5</v>
      </c>
      <c r="N118" s="21">
        <f t="shared" si="13"/>
        <v>15</v>
      </c>
      <c r="O118" s="86">
        <f t="shared" si="14"/>
        <v>10.290000000000001</v>
      </c>
      <c r="P118" s="86">
        <f>IFERROR(VLOOKUP($D118,KPI!$V:$AN,2,FALSE),"-")</f>
        <v>8</v>
      </c>
      <c r="Q118" s="32">
        <f t="shared" si="15"/>
        <v>1</v>
      </c>
      <c r="R118" s="185">
        <f t="shared" si="16"/>
        <v>119.73333333333333</v>
      </c>
      <c r="S118" s="89" t="str">
        <f t="shared" si="17"/>
        <v>Web Designer</v>
      </c>
      <c r="AG118" s="664">
        <v>116</v>
      </c>
      <c r="AH118" s="664">
        <v>10070728</v>
      </c>
      <c r="AI118" s="664" t="s">
        <v>220</v>
      </c>
      <c r="AJ118" s="92" t="s">
        <v>83</v>
      </c>
      <c r="AK118" s="92" t="s">
        <v>214</v>
      </c>
      <c r="AL118" s="92" t="s">
        <v>170</v>
      </c>
      <c r="AM118" s="92" t="s">
        <v>85</v>
      </c>
      <c r="AN118" s="92" t="s">
        <v>86</v>
      </c>
      <c r="AO118" s="157">
        <v>154.35000000000002</v>
      </c>
      <c r="AP118" s="157">
        <v>112.5</v>
      </c>
      <c r="AQ118" s="571">
        <v>0.26666666666666666</v>
      </c>
      <c r="AS118" s="664">
        <f t="shared" si="19"/>
        <v>116</v>
      </c>
      <c r="AT118" s="664"/>
      <c r="AU118" s="664"/>
      <c r="AV118" s="92" t="str">
        <f>IFERROR(VLOOKUP($AT118,RESOURCES!$C:$L,MATCH('PRODUCTIVITY RAW'!AV$2,RESOURCES!$C$3:$L$3,0),FALSE),"-")</f>
        <v>-</v>
      </c>
      <c r="AW118" s="92" t="str">
        <f>IFERROR(VLOOKUP($AT118,RESOURCES!$C:$L,MATCH('PRODUCTIVITY RAW'!AW$2,RESOURCES!$C$3:$L$3,0),FALSE),"-")</f>
        <v>-</v>
      </c>
      <c r="AX118" s="92" t="str">
        <f>IFERROR(VLOOKUP($AT118,RESOURCES!$C:$L,MATCH('PRODUCTIVITY RAW'!AX$2,RESOURCES!$C$3:$L$3,0),FALSE),"-")</f>
        <v>-</v>
      </c>
      <c r="AY118" s="92" t="str">
        <f>IFERROR(VLOOKUP($AT118,RESOURCES!$C:$L,MATCH('PRODUCTIVITY RAW'!AY$2,RESOURCES!$C$3:$L$3,0),FALSE),"-")</f>
        <v>-</v>
      </c>
      <c r="AZ118" s="92" t="str">
        <f>IFERROR(VLOOKUP($AT118,RESOURCES!$C:$L,MATCH('PRODUCTIVITY RAW'!AZ$2,RESOURCES!$C$3:$L$3,0),FALSE),"-")</f>
        <v>-</v>
      </c>
      <c r="BA118" s="20"/>
    </row>
    <row r="119" spans="1:53">
      <c r="A119" s="664">
        <f t="shared" si="18"/>
        <v>117</v>
      </c>
      <c r="B119" s="466">
        <f t="shared" si="12"/>
        <v>10071310</v>
      </c>
      <c r="C119" s="92" t="str">
        <f>IFERROR(VLOOKUP($B119,RESOURCES!$C:$L,MATCH('PRODUCTIVITY RAW'!C$2,RESOURCES!$C$3:$L$3,0),FALSE),"-")</f>
        <v>PAREDES, MA. ANN JELETTE T.</v>
      </c>
      <c r="D119" s="92" t="str">
        <f>IFERROR(VLOOKUP($B119,RESOURCES!$C:$L,MATCH('PRODUCTIVITY RAW'!D$2,RESOURCES!$C$3:$L$3,0),FALSE),"-")</f>
        <v>Web Designer</v>
      </c>
      <c r="E119" s="92" t="str">
        <f>IFERROR(VLOOKUP($B119,RESOURCES!$C:$L,MATCH('PRODUCTIVITY RAW'!E$2,RESOURCES!$C$3:$L$3,0),FALSE),"-")</f>
        <v>CEDENO, Karleen</v>
      </c>
      <c r="F119" s="92" t="str">
        <f>IFERROR(VLOOKUP($B119,RESOURCES!$C:$L,MATCH('PRODUCTIVITY RAW'!F$2,RESOURCES!$C$3:$L$3,0),FALSE),"-")</f>
        <v>TAGUILASO, Daryl</v>
      </c>
      <c r="G119" s="92" t="str">
        <f>IFERROR(VLOOKUP($B119,RESOURCES!$C:$L,MATCH('PRODUCTIVITY RAW'!G$2,RESOURCES!$C$3:$L$3,0),FALSE),"-")</f>
        <v>MENDOZA, Carlo</v>
      </c>
      <c r="H119" s="92" t="str">
        <f>IFERROR(VLOOKUP($B119,RESOURCES!$C:$L,MATCH('PRODUCTIVITY RAW'!H$2,RESOURCES!$C$3:$L$3,0),FALSE),"-")</f>
        <v>Ventanilla, Mike</v>
      </c>
      <c r="I119" s="8"/>
      <c r="J119" s="8"/>
      <c r="K119" s="9" t="str">
        <f>IFERROR(VLOOKUP($B119,RESOURCES!$C:$L,MATCH('PRODUCTIVITY RAW'!K$2,RESOURCES!$C$3:$L$3,0),FALSE),"-")</f>
        <v>Expert</v>
      </c>
      <c r="L119" s="21">
        <f t="shared" si="10"/>
        <v>124.45000000000009</v>
      </c>
      <c r="M119" s="21">
        <f t="shared" si="11"/>
        <v>120</v>
      </c>
      <c r="N119" s="21">
        <f t="shared" si="13"/>
        <v>16</v>
      </c>
      <c r="O119" s="86">
        <f t="shared" si="14"/>
        <v>7.7781250000000055</v>
      </c>
      <c r="P119" s="86">
        <f>IFERROR(VLOOKUP($D119,KPI!$V:$AN,2,FALSE),"-")</f>
        <v>8</v>
      </c>
      <c r="Q119" s="32">
        <f t="shared" si="15"/>
        <v>0.97226562500000069</v>
      </c>
      <c r="R119" s="185">
        <f t="shared" si="16"/>
        <v>128</v>
      </c>
      <c r="S119" s="89" t="str">
        <f t="shared" si="17"/>
        <v>Web Designer</v>
      </c>
      <c r="AG119" s="664">
        <v>117</v>
      </c>
      <c r="AH119" s="664">
        <v>10071310</v>
      </c>
      <c r="AI119" s="664" t="s">
        <v>221</v>
      </c>
      <c r="AJ119" s="92" t="s">
        <v>83</v>
      </c>
      <c r="AK119" s="92" t="s">
        <v>214</v>
      </c>
      <c r="AL119" s="92" t="s">
        <v>170</v>
      </c>
      <c r="AM119" s="92" t="s">
        <v>85</v>
      </c>
      <c r="AN119" s="92" t="s">
        <v>86</v>
      </c>
      <c r="AO119" s="157">
        <v>124.45000000000009</v>
      </c>
      <c r="AP119" s="157">
        <v>120</v>
      </c>
      <c r="AQ119" s="571">
        <v>0</v>
      </c>
      <c r="AS119" s="664">
        <f t="shared" si="19"/>
        <v>117</v>
      </c>
      <c r="AT119" s="664"/>
      <c r="AU119" s="664"/>
      <c r="AV119" s="92" t="str">
        <f>IFERROR(VLOOKUP($AT119,RESOURCES!$C:$L,MATCH('PRODUCTIVITY RAW'!AV$2,RESOURCES!$C$3:$L$3,0),FALSE),"-")</f>
        <v>-</v>
      </c>
      <c r="AW119" s="92" t="str">
        <f>IFERROR(VLOOKUP($AT119,RESOURCES!$C:$L,MATCH('PRODUCTIVITY RAW'!AW$2,RESOURCES!$C$3:$L$3,0),FALSE),"-")</f>
        <v>-</v>
      </c>
      <c r="AX119" s="92" t="str">
        <f>IFERROR(VLOOKUP($AT119,RESOURCES!$C:$L,MATCH('PRODUCTIVITY RAW'!AX$2,RESOURCES!$C$3:$L$3,0),FALSE),"-")</f>
        <v>-</v>
      </c>
      <c r="AY119" s="92" t="str">
        <f>IFERROR(VLOOKUP($AT119,RESOURCES!$C:$L,MATCH('PRODUCTIVITY RAW'!AY$2,RESOURCES!$C$3:$L$3,0),FALSE),"-")</f>
        <v>-</v>
      </c>
      <c r="AZ119" s="92" t="str">
        <f>IFERROR(VLOOKUP($AT119,RESOURCES!$C:$L,MATCH('PRODUCTIVITY RAW'!AZ$2,RESOURCES!$C$3:$L$3,0),FALSE),"-")</f>
        <v>-</v>
      </c>
      <c r="BA119" s="20"/>
    </row>
    <row r="120" spans="1:53">
      <c r="A120" s="664">
        <f t="shared" si="18"/>
        <v>118</v>
      </c>
      <c r="B120" s="466">
        <f t="shared" si="12"/>
        <v>10072515</v>
      </c>
      <c r="C120" s="92" t="str">
        <f>IFERROR(VLOOKUP($B120,RESOURCES!$C:$L,MATCH('PRODUCTIVITY RAW'!C$2,RESOURCES!$C$3:$L$3,0),FALSE),"-")</f>
        <v>PELEGRINO, KRISTIAN DAVE C.</v>
      </c>
      <c r="D120" s="92" t="str">
        <f>IFERROR(VLOOKUP($B120,RESOURCES!$C:$L,MATCH('PRODUCTIVITY RAW'!D$2,RESOURCES!$C$3:$L$3,0),FALSE),"-")</f>
        <v>Web Designer</v>
      </c>
      <c r="E120" s="92" t="str">
        <f>IFERROR(VLOOKUP($B120,RESOURCES!$C:$L,MATCH('PRODUCTIVITY RAW'!E$2,RESOURCES!$C$3:$L$3,0),FALSE),"-")</f>
        <v>CEDENO, Karleen</v>
      </c>
      <c r="F120" s="92" t="str">
        <f>IFERROR(VLOOKUP($B120,RESOURCES!$C:$L,MATCH('PRODUCTIVITY RAW'!F$2,RESOURCES!$C$3:$L$3,0),FALSE),"-")</f>
        <v>TAGUILASO, Daryl</v>
      </c>
      <c r="G120" s="92" t="str">
        <f>IFERROR(VLOOKUP($B120,RESOURCES!$C:$L,MATCH('PRODUCTIVITY RAW'!G$2,RESOURCES!$C$3:$L$3,0),FALSE),"-")</f>
        <v>MENDOZA, Carlo</v>
      </c>
      <c r="H120" s="92" t="str">
        <f>IFERROR(VLOOKUP($B120,RESOURCES!$C:$L,MATCH('PRODUCTIVITY RAW'!H$2,RESOURCES!$C$3:$L$3,0),FALSE),"-")</f>
        <v>Ventanilla, Mike</v>
      </c>
      <c r="I120" s="8"/>
      <c r="J120" s="8"/>
      <c r="K120" s="9" t="str">
        <f>IFERROR(VLOOKUP($B120,RESOURCES!$C:$L,MATCH('PRODUCTIVITY RAW'!K$2,RESOURCES!$C$3:$L$3,0),FALSE),"-")</f>
        <v>Expert</v>
      </c>
      <c r="L120" s="21">
        <f t="shared" si="10"/>
        <v>134.97</v>
      </c>
      <c r="M120" s="21">
        <f t="shared" si="11"/>
        <v>120</v>
      </c>
      <c r="N120" s="21">
        <f t="shared" si="13"/>
        <v>16</v>
      </c>
      <c r="O120" s="86">
        <f t="shared" si="14"/>
        <v>8.4356249999999999</v>
      </c>
      <c r="P120" s="86">
        <f>IFERROR(VLOOKUP($D120,KPI!$V:$AN,2,FALSE),"-")</f>
        <v>8</v>
      </c>
      <c r="Q120" s="32">
        <f t="shared" si="15"/>
        <v>1</v>
      </c>
      <c r="R120" s="185">
        <f t="shared" si="16"/>
        <v>127.6</v>
      </c>
      <c r="S120" s="89" t="str">
        <f t="shared" si="17"/>
        <v>Web Designer</v>
      </c>
      <c r="AG120" s="664">
        <v>118</v>
      </c>
      <c r="AH120" s="664">
        <v>10072515</v>
      </c>
      <c r="AI120" s="664" t="s">
        <v>222</v>
      </c>
      <c r="AJ120" s="92" t="s">
        <v>83</v>
      </c>
      <c r="AK120" s="92" t="s">
        <v>214</v>
      </c>
      <c r="AL120" s="92" t="s">
        <v>170</v>
      </c>
      <c r="AM120" s="92" t="s">
        <v>85</v>
      </c>
      <c r="AN120" s="92" t="s">
        <v>86</v>
      </c>
      <c r="AO120" s="157">
        <v>134.97</v>
      </c>
      <c r="AP120" s="157">
        <v>120</v>
      </c>
      <c r="AQ120" s="571">
        <v>0.4</v>
      </c>
      <c r="AS120" s="664">
        <f t="shared" si="19"/>
        <v>118</v>
      </c>
      <c r="AT120" s="664"/>
      <c r="AU120" s="664"/>
      <c r="AV120" s="92" t="str">
        <f>IFERROR(VLOOKUP($AT120,RESOURCES!$C:$L,MATCH('PRODUCTIVITY RAW'!AV$2,RESOURCES!$C$3:$L$3,0),FALSE),"-")</f>
        <v>-</v>
      </c>
      <c r="AW120" s="92" t="str">
        <f>IFERROR(VLOOKUP($AT120,RESOURCES!$C:$L,MATCH('PRODUCTIVITY RAW'!AW$2,RESOURCES!$C$3:$L$3,0),FALSE),"-")</f>
        <v>-</v>
      </c>
      <c r="AX120" s="92" t="str">
        <f>IFERROR(VLOOKUP($AT120,RESOURCES!$C:$L,MATCH('PRODUCTIVITY RAW'!AX$2,RESOURCES!$C$3:$L$3,0),FALSE),"-")</f>
        <v>-</v>
      </c>
      <c r="AY120" s="92" t="str">
        <f>IFERROR(VLOOKUP($AT120,RESOURCES!$C:$L,MATCH('PRODUCTIVITY RAW'!AY$2,RESOURCES!$C$3:$L$3,0),FALSE),"-")</f>
        <v>-</v>
      </c>
      <c r="AZ120" s="92" t="str">
        <f>IFERROR(VLOOKUP($AT120,RESOURCES!$C:$L,MATCH('PRODUCTIVITY RAW'!AZ$2,RESOURCES!$C$3:$L$3,0),FALSE),"-")</f>
        <v>-</v>
      </c>
      <c r="BA120" s="20"/>
    </row>
    <row r="121" spans="1:53">
      <c r="A121" s="664">
        <f t="shared" si="18"/>
        <v>119</v>
      </c>
      <c r="B121" s="466">
        <f t="shared" si="12"/>
        <v>10072211</v>
      </c>
      <c r="C121" s="92" t="str">
        <f>IFERROR(VLOOKUP($B121,RESOURCES!$C:$L,MATCH('PRODUCTIVITY RAW'!C$2,RESOURCES!$C$3:$L$3,0),FALSE),"-")</f>
        <v>RANERA, JEDALYN G.</v>
      </c>
      <c r="D121" s="92" t="str">
        <f>IFERROR(VLOOKUP($B121,RESOURCES!$C:$L,MATCH('PRODUCTIVITY RAW'!D$2,RESOURCES!$C$3:$L$3,0),FALSE),"-")</f>
        <v>Web Designer</v>
      </c>
      <c r="E121" s="92" t="str">
        <f>IFERROR(VLOOKUP($B121,RESOURCES!$C:$L,MATCH('PRODUCTIVITY RAW'!E$2,RESOURCES!$C$3:$L$3,0),FALSE),"-")</f>
        <v>CEDENO, Karleen</v>
      </c>
      <c r="F121" s="92" t="str">
        <f>IFERROR(VLOOKUP($B121,RESOURCES!$C:$L,MATCH('PRODUCTIVITY RAW'!F$2,RESOURCES!$C$3:$L$3,0),FALSE),"-")</f>
        <v>TAGUILASO, Daryl</v>
      </c>
      <c r="G121" s="92" t="str">
        <f>IFERROR(VLOOKUP($B121,RESOURCES!$C:$L,MATCH('PRODUCTIVITY RAW'!G$2,RESOURCES!$C$3:$L$3,0),FALSE),"-")</f>
        <v>MENDOZA, Carlo</v>
      </c>
      <c r="H121" s="92" t="str">
        <f>IFERROR(VLOOKUP($B121,RESOURCES!$C:$L,MATCH('PRODUCTIVITY RAW'!H$2,RESOURCES!$C$3:$L$3,0),FALSE),"-")</f>
        <v>Ventanilla, Mike</v>
      </c>
      <c r="I121" s="8"/>
      <c r="J121" s="8"/>
      <c r="K121" s="9" t="str">
        <f>IFERROR(VLOOKUP($B121,RESOURCES!$C:$L,MATCH('PRODUCTIVITY RAW'!K$2,RESOURCES!$C$3:$L$3,0),FALSE),"-")</f>
        <v>Expert</v>
      </c>
      <c r="L121" s="21">
        <f t="shared" si="10"/>
        <v>134.88000000000002</v>
      </c>
      <c r="M121" s="21">
        <f t="shared" si="11"/>
        <v>127.5</v>
      </c>
      <c r="N121" s="21">
        <f t="shared" si="13"/>
        <v>17</v>
      </c>
      <c r="O121" s="86">
        <f t="shared" si="14"/>
        <v>7.9341176470588248</v>
      </c>
      <c r="P121" s="86">
        <f>IFERROR(VLOOKUP($D121,KPI!$V:$AN,2,FALSE),"-")</f>
        <v>8</v>
      </c>
      <c r="Q121" s="32">
        <f t="shared" si="15"/>
        <v>0.99273797841020617</v>
      </c>
      <c r="R121" s="185">
        <f t="shared" si="16"/>
        <v>135.86666666666667</v>
      </c>
      <c r="S121" s="89" t="str">
        <f t="shared" si="17"/>
        <v>Web Designer</v>
      </c>
      <c r="AG121" s="664">
        <v>119</v>
      </c>
      <c r="AH121" s="664">
        <v>10072211</v>
      </c>
      <c r="AI121" s="664" t="s">
        <v>223</v>
      </c>
      <c r="AJ121" s="92" t="s">
        <v>83</v>
      </c>
      <c r="AK121" s="92" t="s">
        <v>214</v>
      </c>
      <c r="AL121" s="92" t="s">
        <v>170</v>
      </c>
      <c r="AM121" s="92" t="s">
        <v>85</v>
      </c>
      <c r="AN121" s="92" t="s">
        <v>86</v>
      </c>
      <c r="AO121" s="157">
        <v>134.88000000000002</v>
      </c>
      <c r="AP121" s="157">
        <v>127.5</v>
      </c>
      <c r="AQ121" s="571">
        <v>0.13333333333333333</v>
      </c>
      <c r="AS121" s="664">
        <f t="shared" si="19"/>
        <v>119</v>
      </c>
      <c r="AT121" s="664"/>
      <c r="AU121" s="664"/>
      <c r="AV121" s="92" t="str">
        <f>IFERROR(VLOOKUP($AT121,RESOURCES!$C:$L,MATCH('PRODUCTIVITY RAW'!AV$2,RESOURCES!$C$3:$L$3,0),FALSE),"-")</f>
        <v>-</v>
      </c>
      <c r="AW121" s="92" t="str">
        <f>IFERROR(VLOOKUP($AT121,RESOURCES!$C:$L,MATCH('PRODUCTIVITY RAW'!AW$2,RESOURCES!$C$3:$L$3,0),FALSE),"-")</f>
        <v>-</v>
      </c>
      <c r="AX121" s="92" t="str">
        <f>IFERROR(VLOOKUP($AT121,RESOURCES!$C:$L,MATCH('PRODUCTIVITY RAW'!AX$2,RESOURCES!$C$3:$L$3,0),FALSE),"-")</f>
        <v>-</v>
      </c>
      <c r="AY121" s="92" t="str">
        <f>IFERROR(VLOOKUP($AT121,RESOURCES!$C:$L,MATCH('PRODUCTIVITY RAW'!AY$2,RESOURCES!$C$3:$L$3,0),FALSE),"-")</f>
        <v>-</v>
      </c>
      <c r="AZ121" s="92" t="str">
        <f>IFERROR(VLOOKUP($AT121,RESOURCES!$C:$L,MATCH('PRODUCTIVITY RAW'!AZ$2,RESOURCES!$C$3:$L$3,0),FALSE),"-")</f>
        <v>-</v>
      </c>
      <c r="BA121" s="20"/>
    </row>
    <row r="122" spans="1:53">
      <c r="A122" s="664">
        <f t="shared" si="18"/>
        <v>120</v>
      </c>
      <c r="B122" s="466">
        <f t="shared" si="12"/>
        <v>10072460</v>
      </c>
      <c r="C122" s="92" t="str">
        <f>IFERROR(VLOOKUP($B122,RESOURCES!$C:$L,MATCH('PRODUCTIVITY RAW'!C$2,RESOURCES!$C$3:$L$3,0),FALSE),"-")</f>
        <v>DELA CRUZ, AIRA REGINA D.</v>
      </c>
      <c r="D122" s="92" t="str">
        <f>IFERROR(VLOOKUP($B122,RESOURCES!$C:$L,MATCH('PRODUCTIVITY RAW'!D$2,RESOURCES!$C$3:$L$3,0),FALSE),"-")</f>
        <v>Web Designer</v>
      </c>
      <c r="E122" s="92" t="str">
        <f>IFERROR(VLOOKUP($B122,RESOURCES!$C:$L,MATCH('PRODUCTIVITY RAW'!E$2,RESOURCES!$C$3:$L$3,0),FALSE),"-")</f>
        <v>CEDENO, Karleen</v>
      </c>
      <c r="F122" s="92" t="str">
        <f>IFERROR(VLOOKUP($B122,RESOURCES!$C:$L,MATCH('PRODUCTIVITY RAW'!F$2,RESOURCES!$C$3:$L$3,0),FALSE),"-")</f>
        <v>TAGUILASO, Daryl</v>
      </c>
      <c r="G122" s="92" t="str">
        <f>IFERROR(VLOOKUP($B122,RESOURCES!$C:$L,MATCH('PRODUCTIVITY RAW'!G$2,RESOURCES!$C$3:$L$3,0),FALSE),"-")</f>
        <v>MENDOZA, Carlo</v>
      </c>
      <c r="H122" s="92" t="str">
        <f>IFERROR(VLOOKUP($B122,RESOURCES!$C:$L,MATCH('PRODUCTIVITY RAW'!H$2,RESOURCES!$C$3:$L$3,0),FALSE),"-")</f>
        <v>Ventanilla, Mike</v>
      </c>
      <c r="I122" s="8"/>
      <c r="J122" s="8"/>
      <c r="K122" s="9" t="str">
        <f>IFERROR(VLOOKUP($B122,RESOURCES!$C:$L,MATCH('PRODUCTIVITY RAW'!K$2,RESOURCES!$C$3:$L$3,0),FALSE),"-")</f>
        <v>Expert</v>
      </c>
      <c r="L122" s="21">
        <f t="shared" si="10"/>
        <v>135.62</v>
      </c>
      <c r="M122" s="21">
        <f t="shared" si="11"/>
        <v>127.5</v>
      </c>
      <c r="N122" s="21">
        <f t="shared" si="13"/>
        <v>17</v>
      </c>
      <c r="O122" s="86">
        <f t="shared" si="14"/>
        <v>7.9776470588235293</v>
      </c>
      <c r="P122" s="86">
        <f>IFERROR(VLOOKUP($D122,KPI!$V:$AN,2,FALSE),"-")</f>
        <v>8</v>
      </c>
      <c r="Q122" s="32">
        <f t="shared" si="15"/>
        <v>0.99769494850416873</v>
      </c>
      <c r="R122" s="185">
        <f t="shared" si="16"/>
        <v>135.93333333333334</v>
      </c>
      <c r="S122" s="89" t="str">
        <f t="shared" si="17"/>
        <v>Web Designer</v>
      </c>
      <c r="AG122" s="664">
        <v>120</v>
      </c>
      <c r="AH122" s="664">
        <v>10072460</v>
      </c>
      <c r="AI122" s="664" t="s">
        <v>224</v>
      </c>
      <c r="AJ122" s="92" t="s">
        <v>83</v>
      </c>
      <c r="AK122" s="92" t="s">
        <v>214</v>
      </c>
      <c r="AL122" s="92" t="s">
        <v>170</v>
      </c>
      <c r="AM122" s="92" t="s">
        <v>85</v>
      </c>
      <c r="AN122" s="92" t="s">
        <v>86</v>
      </c>
      <c r="AO122" s="157">
        <v>135.62</v>
      </c>
      <c r="AP122" s="157">
        <v>127.5</v>
      </c>
      <c r="AQ122" s="571">
        <v>6.6666666666666666E-2</v>
      </c>
      <c r="AS122" s="664">
        <f t="shared" si="19"/>
        <v>120</v>
      </c>
      <c r="AT122" s="664"/>
      <c r="AU122" s="664"/>
      <c r="AV122" s="92" t="str">
        <f>IFERROR(VLOOKUP($AT122,RESOURCES!$C:$L,MATCH('PRODUCTIVITY RAW'!AV$2,RESOURCES!$C$3:$L$3,0),FALSE),"-")</f>
        <v>-</v>
      </c>
      <c r="AW122" s="92" t="str">
        <f>IFERROR(VLOOKUP($AT122,RESOURCES!$C:$L,MATCH('PRODUCTIVITY RAW'!AW$2,RESOURCES!$C$3:$L$3,0),FALSE),"-")</f>
        <v>-</v>
      </c>
      <c r="AX122" s="92" t="str">
        <f>IFERROR(VLOOKUP($AT122,RESOURCES!$C:$L,MATCH('PRODUCTIVITY RAW'!AX$2,RESOURCES!$C$3:$L$3,0),FALSE),"-")</f>
        <v>-</v>
      </c>
      <c r="AY122" s="92" t="str">
        <f>IFERROR(VLOOKUP($AT122,RESOURCES!$C:$L,MATCH('PRODUCTIVITY RAW'!AY$2,RESOURCES!$C$3:$L$3,0),FALSE),"-")</f>
        <v>-</v>
      </c>
      <c r="AZ122" s="92" t="str">
        <f>IFERROR(VLOOKUP($AT122,RESOURCES!$C:$L,MATCH('PRODUCTIVITY RAW'!AZ$2,RESOURCES!$C$3:$L$3,0),FALSE),"-")</f>
        <v>-</v>
      </c>
      <c r="BA122" s="20"/>
    </row>
    <row r="123" spans="1:53">
      <c r="A123" s="664">
        <f t="shared" si="18"/>
        <v>121</v>
      </c>
      <c r="B123" s="466">
        <f t="shared" si="12"/>
        <v>10071903</v>
      </c>
      <c r="C123" s="92" t="str">
        <f>IFERROR(VLOOKUP($B123,RESOURCES!$C:$L,MATCH('PRODUCTIVITY RAW'!C$2,RESOURCES!$C$3:$L$3,0),FALSE),"-")</f>
        <v>SUMALINOG, ROSE ANN B.</v>
      </c>
      <c r="D123" s="92" t="str">
        <f>IFERROR(VLOOKUP($B123,RESOURCES!$C:$L,MATCH('PRODUCTIVITY RAW'!D$2,RESOURCES!$C$3:$L$3,0),FALSE),"-")</f>
        <v>Web Designer</v>
      </c>
      <c r="E123" s="92" t="str">
        <f>IFERROR(VLOOKUP($B123,RESOURCES!$C:$L,MATCH('PRODUCTIVITY RAW'!E$2,RESOURCES!$C$3:$L$3,0),FALSE),"-")</f>
        <v>CEDENO, Karleen</v>
      </c>
      <c r="F123" s="92" t="str">
        <f>IFERROR(VLOOKUP($B123,RESOURCES!$C:$L,MATCH('PRODUCTIVITY RAW'!F$2,RESOURCES!$C$3:$L$3,0),FALSE),"-")</f>
        <v>TAGUILASO, Daryl</v>
      </c>
      <c r="G123" s="92" t="str">
        <f>IFERROR(VLOOKUP($B123,RESOURCES!$C:$L,MATCH('PRODUCTIVITY RAW'!G$2,RESOURCES!$C$3:$L$3,0),FALSE),"-")</f>
        <v>MENDOZA, Carlo</v>
      </c>
      <c r="H123" s="92" t="str">
        <f>IFERROR(VLOOKUP($B123,RESOURCES!$C:$L,MATCH('PRODUCTIVITY RAW'!H$2,RESOURCES!$C$3:$L$3,0),FALSE),"-")</f>
        <v>Ventanilla, Mike</v>
      </c>
      <c r="I123" s="8"/>
      <c r="J123" s="8"/>
      <c r="K123" s="9" t="str">
        <f>IFERROR(VLOOKUP($B123,RESOURCES!$C:$L,MATCH('PRODUCTIVITY RAW'!K$2,RESOURCES!$C$3:$L$3,0),FALSE),"-")</f>
        <v>Expert</v>
      </c>
      <c r="L123" s="21">
        <f t="shared" si="10"/>
        <v>184.48000000000005</v>
      </c>
      <c r="M123" s="21">
        <f t="shared" si="11"/>
        <v>135</v>
      </c>
      <c r="N123" s="21">
        <f t="shared" si="13"/>
        <v>18</v>
      </c>
      <c r="O123" s="86">
        <f t="shared" si="14"/>
        <v>10.248888888888892</v>
      </c>
      <c r="P123" s="86">
        <f>IFERROR(VLOOKUP($D123,KPI!$V:$AN,2,FALSE),"-")</f>
        <v>8</v>
      </c>
      <c r="Q123" s="32">
        <f t="shared" si="15"/>
        <v>1</v>
      </c>
      <c r="R123" s="185">
        <f t="shared" si="16"/>
        <v>143.93333333333334</v>
      </c>
      <c r="S123" s="89" t="str">
        <f t="shared" si="17"/>
        <v>Web Designer</v>
      </c>
      <c r="AG123" s="664">
        <v>121</v>
      </c>
      <c r="AH123" s="664">
        <v>10071903</v>
      </c>
      <c r="AI123" s="664" t="s">
        <v>225</v>
      </c>
      <c r="AJ123" s="92" t="s">
        <v>83</v>
      </c>
      <c r="AK123" s="92" t="s">
        <v>214</v>
      </c>
      <c r="AL123" s="92" t="s">
        <v>170</v>
      </c>
      <c r="AM123" s="92" t="s">
        <v>85</v>
      </c>
      <c r="AN123" s="92" t="s">
        <v>86</v>
      </c>
      <c r="AO123" s="157">
        <v>184.48000000000005</v>
      </c>
      <c r="AP123" s="157">
        <v>135</v>
      </c>
      <c r="AQ123" s="571">
        <v>6.6666666666666666E-2</v>
      </c>
      <c r="AS123" s="664">
        <f t="shared" si="19"/>
        <v>121</v>
      </c>
      <c r="AT123" s="664"/>
      <c r="AU123" s="664"/>
      <c r="AV123" s="92" t="str">
        <f>IFERROR(VLOOKUP($AT123,RESOURCES!$C:$L,MATCH('PRODUCTIVITY RAW'!AV$2,RESOURCES!$C$3:$L$3,0),FALSE),"-")</f>
        <v>-</v>
      </c>
      <c r="AW123" s="92" t="str">
        <f>IFERROR(VLOOKUP($AT123,RESOURCES!$C:$L,MATCH('PRODUCTIVITY RAW'!AW$2,RESOURCES!$C$3:$L$3,0),FALSE),"-")</f>
        <v>-</v>
      </c>
      <c r="AX123" s="92" t="str">
        <f>IFERROR(VLOOKUP($AT123,RESOURCES!$C:$L,MATCH('PRODUCTIVITY RAW'!AX$2,RESOURCES!$C$3:$L$3,0),FALSE),"-")</f>
        <v>-</v>
      </c>
      <c r="AY123" s="92" t="str">
        <f>IFERROR(VLOOKUP($AT123,RESOURCES!$C:$L,MATCH('PRODUCTIVITY RAW'!AY$2,RESOURCES!$C$3:$L$3,0),FALSE),"-")</f>
        <v>-</v>
      </c>
      <c r="AZ123" s="92" t="str">
        <f>IFERROR(VLOOKUP($AT123,RESOURCES!$C:$L,MATCH('PRODUCTIVITY RAW'!AZ$2,RESOURCES!$C$3:$L$3,0),FALSE),"-")</f>
        <v>-</v>
      </c>
      <c r="BA123" s="20"/>
    </row>
    <row r="124" spans="1:53">
      <c r="A124" s="664">
        <f t="shared" si="18"/>
        <v>122</v>
      </c>
      <c r="B124" s="466">
        <f t="shared" si="12"/>
        <v>10071908</v>
      </c>
      <c r="C124" s="92" t="str">
        <f>IFERROR(VLOOKUP($B124,RESOURCES!$C:$L,MATCH('PRODUCTIVITY RAW'!C$2,RESOURCES!$C$3:$L$3,0),FALSE),"-")</f>
        <v>DOMINGO, MARIMAR D.</v>
      </c>
      <c r="D124" s="92" t="str">
        <f>IFERROR(VLOOKUP($B124,RESOURCES!$C:$L,MATCH('PRODUCTIVITY RAW'!D$2,RESOURCES!$C$3:$L$3,0),FALSE),"-")</f>
        <v>Internal Mods (PSI)</v>
      </c>
      <c r="E124" s="92" t="str">
        <f>IFERROR(VLOOKUP($B124,RESOURCES!$C:$L,MATCH('PRODUCTIVITY RAW'!E$2,RESOURCES!$C$3:$L$3,0),FALSE),"-")</f>
        <v>BARRIOS, Renell</v>
      </c>
      <c r="F124" s="92" t="str">
        <f>IFERROR(VLOOKUP($B124,RESOURCES!$C:$L,MATCH('PRODUCTIVITY RAW'!F$2,RESOURCES!$C$3:$L$3,0),FALSE),"-")</f>
        <v>PASQUIN, Ryan</v>
      </c>
      <c r="G124" s="92" t="str">
        <f>IFERROR(VLOOKUP($B124,RESOURCES!$C:$L,MATCH('PRODUCTIVITY RAW'!G$2,RESOURCES!$C$3:$L$3,0),FALSE),"-")</f>
        <v>MENDOZA, Carlo</v>
      </c>
      <c r="H124" s="92" t="str">
        <f>IFERROR(VLOOKUP($B124,RESOURCES!$C:$L,MATCH('PRODUCTIVITY RAW'!H$2,RESOURCES!$C$3:$L$3,0),FALSE),"-")</f>
        <v>Ventanilla, Mike</v>
      </c>
      <c r="I124" s="8"/>
      <c r="J124" s="8"/>
      <c r="K124" s="9" t="str">
        <f>IFERROR(VLOOKUP($B124,RESOURCES!$C:$L,MATCH('PRODUCTIVITY RAW'!K$2,RESOURCES!$C$3:$L$3,0),FALSE),"-")</f>
        <v>Expert</v>
      </c>
      <c r="L124" s="21">
        <f t="shared" si="10"/>
        <v>202.2000000000001</v>
      </c>
      <c r="M124" s="21">
        <f t="shared" si="11"/>
        <v>120</v>
      </c>
      <c r="N124" s="21">
        <f t="shared" si="13"/>
        <v>16</v>
      </c>
      <c r="O124" s="86">
        <f t="shared" si="14"/>
        <v>12.637500000000006</v>
      </c>
      <c r="P124" s="86">
        <f>IFERROR(VLOOKUP($D124,KPI!$V:$AN,2,FALSE),"-")</f>
        <v>10</v>
      </c>
      <c r="Q124" s="32">
        <f t="shared" si="15"/>
        <v>1</v>
      </c>
      <c r="R124" s="185">
        <f t="shared" si="16"/>
        <v>160</v>
      </c>
      <c r="S124" s="89" t="str">
        <f t="shared" si="17"/>
        <v>Internal Mods (PSI)</v>
      </c>
      <c r="AG124" s="664">
        <v>122</v>
      </c>
      <c r="AH124" s="664">
        <v>10071908</v>
      </c>
      <c r="AI124" s="664" t="s">
        <v>226</v>
      </c>
      <c r="AJ124" s="92" t="s">
        <v>123</v>
      </c>
      <c r="AK124" s="92" t="s">
        <v>227</v>
      </c>
      <c r="AL124" s="92" t="s">
        <v>106</v>
      </c>
      <c r="AM124" s="92" t="s">
        <v>85</v>
      </c>
      <c r="AN124" s="92" t="s">
        <v>86</v>
      </c>
      <c r="AO124" s="157">
        <v>202.2000000000001</v>
      </c>
      <c r="AP124" s="157">
        <v>120</v>
      </c>
      <c r="AQ124" s="571">
        <v>0</v>
      </c>
      <c r="AS124" s="664">
        <f t="shared" si="19"/>
        <v>122</v>
      </c>
      <c r="AT124" s="664"/>
      <c r="AU124" s="664"/>
      <c r="AV124" s="92" t="str">
        <f>IFERROR(VLOOKUP($AT124,RESOURCES!$C:$L,MATCH('PRODUCTIVITY RAW'!AV$2,RESOURCES!$C$3:$L$3,0),FALSE),"-")</f>
        <v>-</v>
      </c>
      <c r="AW124" s="92" t="str">
        <f>IFERROR(VLOOKUP($AT124,RESOURCES!$C:$L,MATCH('PRODUCTIVITY RAW'!AW$2,RESOURCES!$C$3:$L$3,0),FALSE),"-")</f>
        <v>-</v>
      </c>
      <c r="AX124" s="92" t="str">
        <f>IFERROR(VLOOKUP($AT124,RESOURCES!$C:$L,MATCH('PRODUCTIVITY RAW'!AX$2,RESOURCES!$C$3:$L$3,0),FALSE),"-")</f>
        <v>-</v>
      </c>
      <c r="AY124" s="92" t="str">
        <f>IFERROR(VLOOKUP($AT124,RESOURCES!$C:$L,MATCH('PRODUCTIVITY RAW'!AY$2,RESOURCES!$C$3:$L$3,0),FALSE),"-")</f>
        <v>-</v>
      </c>
      <c r="AZ124" s="92" t="str">
        <f>IFERROR(VLOOKUP($AT124,RESOURCES!$C:$L,MATCH('PRODUCTIVITY RAW'!AZ$2,RESOURCES!$C$3:$L$3,0),FALSE),"-")</f>
        <v>-</v>
      </c>
      <c r="BA124" s="20"/>
    </row>
    <row r="125" spans="1:53">
      <c r="A125" s="664">
        <f t="shared" si="18"/>
        <v>123</v>
      </c>
      <c r="B125" s="466">
        <f t="shared" si="12"/>
        <v>10071600</v>
      </c>
      <c r="C125" s="92" t="str">
        <f>IFERROR(VLOOKUP($B125,RESOURCES!$C:$L,MATCH('PRODUCTIVITY RAW'!C$2,RESOURCES!$C$3:$L$3,0),FALSE),"-")</f>
        <v>ORTILLANO, LIZBERT S.</v>
      </c>
      <c r="D125" s="92" t="str">
        <f>IFERROR(VLOOKUP($B125,RESOURCES!$C:$L,MATCH('PRODUCTIVITY RAW'!D$2,RESOURCES!$C$3:$L$3,0),FALSE),"-")</f>
        <v>Internal Mods (PSI)</v>
      </c>
      <c r="E125" s="92" t="str">
        <f>IFERROR(VLOOKUP($B125,RESOURCES!$C:$L,MATCH('PRODUCTIVITY RAW'!E$2,RESOURCES!$C$3:$L$3,0),FALSE),"-")</f>
        <v>BARRIOS, Renell</v>
      </c>
      <c r="F125" s="92" t="str">
        <f>IFERROR(VLOOKUP($B125,RESOURCES!$C:$L,MATCH('PRODUCTIVITY RAW'!F$2,RESOURCES!$C$3:$L$3,0),FALSE),"-")</f>
        <v>PASQUIN, Ryan</v>
      </c>
      <c r="G125" s="92" t="str">
        <f>IFERROR(VLOOKUP($B125,RESOURCES!$C:$L,MATCH('PRODUCTIVITY RAW'!G$2,RESOURCES!$C$3:$L$3,0),FALSE),"-")</f>
        <v>MENDOZA, Carlo</v>
      </c>
      <c r="H125" s="92" t="str">
        <f>IFERROR(VLOOKUP($B125,RESOURCES!$C:$L,MATCH('PRODUCTIVITY RAW'!H$2,RESOURCES!$C$3:$L$3,0),FALSE),"-")</f>
        <v>Ventanilla, Mike</v>
      </c>
      <c r="I125" s="8"/>
      <c r="J125" s="8"/>
      <c r="K125" s="9" t="str">
        <f>IFERROR(VLOOKUP($B125,RESOURCES!$C:$L,MATCH('PRODUCTIVITY RAW'!K$2,RESOURCES!$C$3:$L$3,0),FALSE),"-")</f>
        <v>Expert</v>
      </c>
      <c r="L125" s="21">
        <f t="shared" si="10"/>
        <v>186.85000000000002</v>
      </c>
      <c r="M125" s="21">
        <f t="shared" si="11"/>
        <v>127.5</v>
      </c>
      <c r="N125" s="21">
        <f t="shared" si="13"/>
        <v>17</v>
      </c>
      <c r="O125" s="86">
        <f t="shared" si="14"/>
        <v>10.991176470588236</v>
      </c>
      <c r="P125" s="86">
        <f>IFERROR(VLOOKUP($D125,KPI!$V:$AN,2,FALSE),"-")</f>
        <v>10</v>
      </c>
      <c r="Q125" s="32">
        <f t="shared" si="15"/>
        <v>1</v>
      </c>
      <c r="R125" s="185">
        <f t="shared" si="16"/>
        <v>170</v>
      </c>
      <c r="S125" s="89" t="str">
        <f t="shared" si="17"/>
        <v>Internal Mods (PSI)</v>
      </c>
      <c r="AG125" s="664">
        <v>123</v>
      </c>
      <c r="AH125" s="664">
        <v>10071600</v>
      </c>
      <c r="AI125" s="664" t="s">
        <v>228</v>
      </c>
      <c r="AJ125" s="92" t="s">
        <v>123</v>
      </c>
      <c r="AK125" s="92" t="s">
        <v>227</v>
      </c>
      <c r="AL125" s="92" t="s">
        <v>106</v>
      </c>
      <c r="AM125" s="92" t="s">
        <v>85</v>
      </c>
      <c r="AN125" s="92" t="s">
        <v>86</v>
      </c>
      <c r="AO125" s="157">
        <v>186.85000000000002</v>
      </c>
      <c r="AP125" s="157">
        <v>127.5</v>
      </c>
      <c r="AQ125" s="571">
        <v>0</v>
      </c>
      <c r="AS125" s="664">
        <f t="shared" si="19"/>
        <v>123</v>
      </c>
      <c r="AT125" s="664"/>
      <c r="AU125" s="664"/>
      <c r="AV125" s="92" t="str">
        <f>IFERROR(VLOOKUP($AT125,RESOURCES!$C:$L,MATCH('PRODUCTIVITY RAW'!AV$2,RESOURCES!$C$3:$L$3,0),FALSE),"-")</f>
        <v>-</v>
      </c>
      <c r="AW125" s="92" t="str">
        <f>IFERROR(VLOOKUP($AT125,RESOURCES!$C:$L,MATCH('PRODUCTIVITY RAW'!AW$2,RESOURCES!$C$3:$L$3,0),FALSE),"-")</f>
        <v>-</v>
      </c>
      <c r="AX125" s="92" t="str">
        <f>IFERROR(VLOOKUP($AT125,RESOURCES!$C:$L,MATCH('PRODUCTIVITY RAW'!AX$2,RESOURCES!$C$3:$L$3,0),FALSE),"-")</f>
        <v>-</v>
      </c>
      <c r="AY125" s="92" t="str">
        <f>IFERROR(VLOOKUP($AT125,RESOURCES!$C:$L,MATCH('PRODUCTIVITY RAW'!AY$2,RESOURCES!$C$3:$L$3,0),FALSE),"-")</f>
        <v>-</v>
      </c>
      <c r="AZ125" s="92" t="str">
        <f>IFERROR(VLOOKUP($AT125,RESOURCES!$C:$L,MATCH('PRODUCTIVITY RAW'!AZ$2,RESOURCES!$C$3:$L$3,0),FALSE),"-")</f>
        <v>-</v>
      </c>
      <c r="BA125" s="20"/>
    </row>
    <row r="126" spans="1:53">
      <c r="A126" s="664">
        <f t="shared" si="18"/>
        <v>124</v>
      </c>
      <c r="B126" s="466">
        <f t="shared" si="12"/>
        <v>10072220</v>
      </c>
      <c r="C126" s="92" t="str">
        <f>IFERROR(VLOOKUP($B126,RESOURCES!$C:$L,MATCH('PRODUCTIVITY RAW'!C$2,RESOURCES!$C$3:$L$3,0),FALSE),"-")</f>
        <v>MAGPOC, MARLON B.</v>
      </c>
      <c r="D126" s="92" t="str">
        <f>IFERROR(VLOOKUP($B126,RESOURCES!$C:$L,MATCH('PRODUCTIVITY RAW'!D$2,RESOURCES!$C$3:$L$3,0),FALSE),"-")</f>
        <v>Internal Mods (PSI)</v>
      </c>
      <c r="E126" s="92" t="str">
        <f>IFERROR(VLOOKUP($B126,RESOURCES!$C:$L,MATCH('PRODUCTIVITY RAW'!E$2,RESOURCES!$C$3:$L$3,0),FALSE),"-")</f>
        <v>BARRIOS, Renell</v>
      </c>
      <c r="F126" s="92" t="str">
        <f>IFERROR(VLOOKUP($B126,RESOURCES!$C:$L,MATCH('PRODUCTIVITY RAW'!F$2,RESOURCES!$C$3:$L$3,0),FALSE),"-")</f>
        <v>PASQUIN, Ryan</v>
      </c>
      <c r="G126" s="92" t="str">
        <f>IFERROR(VLOOKUP($B126,RESOURCES!$C:$L,MATCH('PRODUCTIVITY RAW'!G$2,RESOURCES!$C$3:$L$3,0),FALSE),"-")</f>
        <v>MENDOZA, Carlo</v>
      </c>
      <c r="H126" s="92" t="str">
        <f>IFERROR(VLOOKUP($B126,RESOURCES!$C:$L,MATCH('PRODUCTIVITY RAW'!H$2,RESOURCES!$C$3:$L$3,0),FALSE),"-")</f>
        <v>Ventanilla, Mike</v>
      </c>
      <c r="I126" s="8"/>
      <c r="J126" s="8"/>
      <c r="K126" s="9" t="str">
        <f>IFERROR(VLOOKUP($B126,RESOURCES!$C:$L,MATCH('PRODUCTIVITY RAW'!K$2,RESOURCES!$C$3:$L$3,0),FALSE),"-")</f>
        <v>Expert</v>
      </c>
      <c r="L126" s="21">
        <f t="shared" si="10"/>
        <v>269.20000000000027</v>
      </c>
      <c r="M126" s="21">
        <f t="shared" si="11"/>
        <v>142.5</v>
      </c>
      <c r="N126" s="21">
        <f t="shared" si="13"/>
        <v>19</v>
      </c>
      <c r="O126" s="86">
        <f t="shared" si="14"/>
        <v>14.168421052631594</v>
      </c>
      <c r="P126" s="86">
        <f>IFERROR(VLOOKUP($D126,KPI!$V:$AN,2,FALSE),"-")</f>
        <v>10</v>
      </c>
      <c r="Q126" s="32">
        <f t="shared" si="15"/>
        <v>1</v>
      </c>
      <c r="R126" s="185">
        <f t="shared" si="16"/>
        <v>190</v>
      </c>
      <c r="S126" s="89" t="str">
        <f t="shared" si="17"/>
        <v>Internal Mods (PSI)</v>
      </c>
      <c r="AG126" s="664">
        <v>124</v>
      </c>
      <c r="AH126" s="664">
        <v>10072220</v>
      </c>
      <c r="AI126" s="664" t="s">
        <v>229</v>
      </c>
      <c r="AJ126" s="92" t="s">
        <v>123</v>
      </c>
      <c r="AK126" s="92" t="s">
        <v>227</v>
      </c>
      <c r="AL126" s="92" t="s">
        <v>106</v>
      </c>
      <c r="AM126" s="92" t="s">
        <v>85</v>
      </c>
      <c r="AN126" s="92" t="s">
        <v>86</v>
      </c>
      <c r="AO126" s="157">
        <v>269.20000000000027</v>
      </c>
      <c r="AP126" s="157">
        <v>142.5</v>
      </c>
      <c r="AQ126" s="571">
        <v>0</v>
      </c>
      <c r="AS126" s="664">
        <f t="shared" si="19"/>
        <v>124</v>
      </c>
      <c r="AT126" s="664"/>
      <c r="AU126" s="664"/>
      <c r="AV126" s="92" t="str">
        <f>IFERROR(VLOOKUP($AT126,RESOURCES!$C:$L,MATCH('PRODUCTIVITY RAW'!AV$2,RESOURCES!$C$3:$L$3,0),FALSE),"-")</f>
        <v>-</v>
      </c>
      <c r="AW126" s="92" t="str">
        <f>IFERROR(VLOOKUP($AT126,RESOURCES!$C:$L,MATCH('PRODUCTIVITY RAW'!AW$2,RESOURCES!$C$3:$L$3,0),FALSE),"-")</f>
        <v>-</v>
      </c>
      <c r="AX126" s="92" t="str">
        <f>IFERROR(VLOOKUP($AT126,RESOURCES!$C:$L,MATCH('PRODUCTIVITY RAW'!AX$2,RESOURCES!$C$3:$L$3,0),FALSE),"-")</f>
        <v>-</v>
      </c>
      <c r="AY126" s="92" t="str">
        <f>IFERROR(VLOOKUP($AT126,RESOURCES!$C:$L,MATCH('PRODUCTIVITY RAW'!AY$2,RESOURCES!$C$3:$L$3,0),FALSE),"-")</f>
        <v>-</v>
      </c>
      <c r="AZ126" s="92" t="str">
        <f>IFERROR(VLOOKUP($AT126,RESOURCES!$C:$L,MATCH('PRODUCTIVITY RAW'!AZ$2,RESOURCES!$C$3:$L$3,0),FALSE),"-")</f>
        <v>-</v>
      </c>
      <c r="BA126" s="20"/>
    </row>
    <row r="127" spans="1:53">
      <c r="A127" s="664">
        <f t="shared" si="18"/>
        <v>125</v>
      </c>
      <c r="B127" s="466">
        <f t="shared" si="12"/>
        <v>10072512</v>
      </c>
      <c r="C127" s="92" t="str">
        <f>IFERROR(VLOOKUP($B127,RESOURCES!$C:$L,MATCH('PRODUCTIVITY RAW'!C$2,RESOURCES!$C$3:$L$3,0),FALSE),"-")</f>
        <v>BAUN, JOHN NEIL G.</v>
      </c>
      <c r="D127" s="92" t="str">
        <f>IFERROR(VLOOKUP($B127,RESOURCES!$C:$L,MATCH('PRODUCTIVITY RAW'!D$2,RESOURCES!$C$3:$L$3,0),FALSE),"-")</f>
        <v>Internal Mods (PSI)</v>
      </c>
      <c r="E127" s="92" t="str">
        <f>IFERROR(VLOOKUP($B127,RESOURCES!$C:$L,MATCH('PRODUCTIVITY RAW'!E$2,RESOURCES!$C$3:$L$3,0),FALSE),"-")</f>
        <v>BARRIOS, Renell</v>
      </c>
      <c r="F127" s="92" t="str">
        <f>IFERROR(VLOOKUP($B127,RESOURCES!$C:$L,MATCH('PRODUCTIVITY RAW'!F$2,RESOURCES!$C$3:$L$3,0),FALSE),"-")</f>
        <v>PASQUIN, Ryan</v>
      </c>
      <c r="G127" s="92" t="str">
        <f>IFERROR(VLOOKUP($B127,RESOURCES!$C:$L,MATCH('PRODUCTIVITY RAW'!G$2,RESOURCES!$C$3:$L$3,0),FALSE),"-")</f>
        <v>MENDOZA, Carlo</v>
      </c>
      <c r="H127" s="92" t="str">
        <f>IFERROR(VLOOKUP($B127,RESOURCES!$C:$L,MATCH('PRODUCTIVITY RAW'!H$2,RESOURCES!$C$3:$L$3,0),FALSE),"-")</f>
        <v>Ventanilla, Mike</v>
      </c>
      <c r="I127" s="8"/>
      <c r="J127" s="8"/>
      <c r="K127" s="9" t="str">
        <f>IFERROR(VLOOKUP($B127,RESOURCES!$C:$L,MATCH('PRODUCTIVITY RAW'!K$2,RESOURCES!$C$3:$L$3,0),FALSE),"-")</f>
        <v>Expert</v>
      </c>
      <c r="L127" s="21" t="str">
        <f t="shared" si="10"/>
        <v>-</v>
      </c>
      <c r="M127" s="21">
        <f t="shared" si="11"/>
        <v>97.5</v>
      </c>
      <c r="N127" s="21">
        <f t="shared" si="13"/>
        <v>13</v>
      </c>
      <c r="O127" s="86" t="str">
        <f t="shared" si="14"/>
        <v>-</v>
      </c>
      <c r="P127" s="86">
        <f>IFERROR(VLOOKUP($D127,KPI!$V:$AN,2,FALSE),"-")</f>
        <v>10</v>
      </c>
      <c r="Q127" s="32" t="str">
        <f t="shared" si="15"/>
        <v>-</v>
      </c>
      <c r="R127" s="185">
        <f t="shared" si="16"/>
        <v>130</v>
      </c>
      <c r="S127" s="89" t="str">
        <f t="shared" si="17"/>
        <v>Internal Mods (PSI)</v>
      </c>
      <c r="AG127" s="664">
        <v>125</v>
      </c>
      <c r="AH127" s="664">
        <v>10072512</v>
      </c>
      <c r="AI127" s="664" t="s">
        <v>230</v>
      </c>
      <c r="AJ127" s="92" t="s">
        <v>123</v>
      </c>
      <c r="AK127" s="92" t="s">
        <v>227</v>
      </c>
      <c r="AL127" s="92" t="s">
        <v>106</v>
      </c>
      <c r="AM127" s="92" t="s">
        <v>85</v>
      </c>
      <c r="AN127" s="92" t="s">
        <v>86</v>
      </c>
      <c r="AO127" s="157" t="s">
        <v>14</v>
      </c>
      <c r="AP127" s="157">
        <v>97.5</v>
      </c>
      <c r="AQ127" s="571">
        <v>0</v>
      </c>
      <c r="AS127" s="664">
        <f t="shared" si="19"/>
        <v>125</v>
      </c>
      <c r="AT127" s="664"/>
      <c r="AU127" s="664"/>
      <c r="AV127" s="92" t="str">
        <f>IFERROR(VLOOKUP($AT127,RESOURCES!$C:$L,MATCH('PRODUCTIVITY RAW'!AV$2,RESOURCES!$C$3:$L$3,0),FALSE),"-")</f>
        <v>-</v>
      </c>
      <c r="AW127" s="92" t="str">
        <f>IFERROR(VLOOKUP($AT127,RESOURCES!$C:$L,MATCH('PRODUCTIVITY RAW'!AW$2,RESOURCES!$C$3:$L$3,0),FALSE),"-")</f>
        <v>-</v>
      </c>
      <c r="AX127" s="92" t="str">
        <f>IFERROR(VLOOKUP($AT127,RESOURCES!$C:$L,MATCH('PRODUCTIVITY RAW'!AX$2,RESOURCES!$C$3:$L$3,0),FALSE),"-")</f>
        <v>-</v>
      </c>
      <c r="AY127" s="92" t="str">
        <f>IFERROR(VLOOKUP($AT127,RESOURCES!$C:$L,MATCH('PRODUCTIVITY RAW'!AY$2,RESOURCES!$C$3:$L$3,0),FALSE),"-")</f>
        <v>-</v>
      </c>
      <c r="AZ127" s="92" t="str">
        <f>IFERROR(VLOOKUP($AT127,RESOURCES!$C:$L,MATCH('PRODUCTIVITY RAW'!AZ$2,RESOURCES!$C$3:$L$3,0),FALSE),"-")</f>
        <v>-</v>
      </c>
      <c r="BA127" s="20"/>
    </row>
    <row r="128" spans="1:53">
      <c r="A128" s="664">
        <f t="shared" si="18"/>
        <v>126</v>
      </c>
      <c r="B128" s="466">
        <f t="shared" si="12"/>
        <v>10072224</v>
      </c>
      <c r="C128" s="92" t="str">
        <f>IFERROR(VLOOKUP($B128,RESOURCES!$C:$L,MATCH('PRODUCTIVITY RAW'!C$2,RESOURCES!$C$3:$L$3,0),FALSE),"-")</f>
        <v>BUNA, JAYSON C.</v>
      </c>
      <c r="D128" s="92" t="str">
        <f>IFERROR(VLOOKUP($B128,RESOURCES!$C:$L,MATCH('PRODUCTIVITY RAW'!D$2,RESOURCES!$C$3:$L$3,0),FALSE),"-")</f>
        <v>Internal Mods (PSI)</v>
      </c>
      <c r="E128" s="92" t="str">
        <f>IFERROR(VLOOKUP($B128,RESOURCES!$C:$L,MATCH('PRODUCTIVITY RAW'!E$2,RESOURCES!$C$3:$L$3,0),FALSE),"-")</f>
        <v>BARRIOS, Renell</v>
      </c>
      <c r="F128" s="92" t="str">
        <f>IFERROR(VLOOKUP($B128,RESOURCES!$C:$L,MATCH('PRODUCTIVITY RAW'!F$2,RESOURCES!$C$3:$L$3,0),FALSE),"-")</f>
        <v>PASQUIN, Ryan</v>
      </c>
      <c r="G128" s="92" t="str">
        <f>IFERROR(VLOOKUP($B128,RESOURCES!$C:$L,MATCH('PRODUCTIVITY RAW'!G$2,RESOURCES!$C$3:$L$3,0),FALSE),"-")</f>
        <v>MENDOZA, Carlo</v>
      </c>
      <c r="H128" s="92" t="str">
        <f>IFERROR(VLOOKUP($B128,RESOURCES!$C:$L,MATCH('PRODUCTIVITY RAW'!H$2,RESOURCES!$C$3:$L$3,0),FALSE),"-")</f>
        <v>Ventanilla, Mike</v>
      </c>
      <c r="I128" s="8"/>
      <c r="J128" s="8"/>
      <c r="K128" s="9" t="str">
        <f>IFERROR(VLOOKUP($B128,RESOURCES!$C:$L,MATCH('PRODUCTIVITY RAW'!K$2,RESOURCES!$C$3:$L$3,0),FALSE),"-")</f>
        <v>Expert</v>
      </c>
      <c r="L128" s="21">
        <f t="shared" si="10"/>
        <v>250.63000000000017</v>
      </c>
      <c r="M128" s="21">
        <f t="shared" si="11"/>
        <v>135</v>
      </c>
      <c r="N128" s="21">
        <f t="shared" si="13"/>
        <v>18</v>
      </c>
      <c r="O128" s="86">
        <f t="shared" si="14"/>
        <v>13.923888888888898</v>
      </c>
      <c r="P128" s="86">
        <f>IFERROR(VLOOKUP($D128,KPI!$V:$AN,2,FALSE),"-")</f>
        <v>10</v>
      </c>
      <c r="Q128" s="32">
        <f t="shared" si="15"/>
        <v>1</v>
      </c>
      <c r="R128" s="185">
        <f t="shared" si="16"/>
        <v>180</v>
      </c>
      <c r="S128" s="89" t="str">
        <f t="shared" si="17"/>
        <v>Internal Mods (PSI)</v>
      </c>
      <c r="AG128" s="664">
        <v>126</v>
      </c>
      <c r="AH128" s="664">
        <v>10072224</v>
      </c>
      <c r="AI128" s="664" t="s">
        <v>231</v>
      </c>
      <c r="AJ128" s="92" t="s">
        <v>123</v>
      </c>
      <c r="AK128" s="92" t="s">
        <v>227</v>
      </c>
      <c r="AL128" s="92" t="s">
        <v>106</v>
      </c>
      <c r="AM128" s="92" t="s">
        <v>85</v>
      </c>
      <c r="AN128" s="92" t="s">
        <v>86</v>
      </c>
      <c r="AO128" s="157">
        <v>250.63000000000017</v>
      </c>
      <c r="AP128" s="157">
        <v>135</v>
      </c>
      <c r="AQ128" s="571">
        <v>0</v>
      </c>
      <c r="AS128" s="664">
        <f t="shared" si="19"/>
        <v>126</v>
      </c>
      <c r="AT128" s="664"/>
      <c r="AU128" s="664"/>
      <c r="AV128" s="92" t="str">
        <f>IFERROR(VLOOKUP($AT128,RESOURCES!$C:$L,MATCH('PRODUCTIVITY RAW'!AV$2,RESOURCES!$C$3:$L$3,0),FALSE),"-")</f>
        <v>-</v>
      </c>
      <c r="AW128" s="92" t="str">
        <f>IFERROR(VLOOKUP($AT128,RESOURCES!$C:$L,MATCH('PRODUCTIVITY RAW'!AW$2,RESOURCES!$C$3:$L$3,0),FALSE),"-")</f>
        <v>-</v>
      </c>
      <c r="AX128" s="92" t="str">
        <f>IFERROR(VLOOKUP($AT128,RESOURCES!$C:$L,MATCH('PRODUCTIVITY RAW'!AX$2,RESOURCES!$C$3:$L$3,0),FALSE),"-")</f>
        <v>-</v>
      </c>
      <c r="AY128" s="92" t="str">
        <f>IFERROR(VLOOKUP($AT128,RESOURCES!$C:$L,MATCH('PRODUCTIVITY RAW'!AY$2,RESOURCES!$C$3:$L$3,0),FALSE),"-")</f>
        <v>-</v>
      </c>
      <c r="AZ128" s="92" t="str">
        <f>IFERROR(VLOOKUP($AT128,RESOURCES!$C:$L,MATCH('PRODUCTIVITY RAW'!AZ$2,RESOURCES!$C$3:$L$3,0),FALSE),"-")</f>
        <v>-</v>
      </c>
      <c r="BA128" s="20"/>
    </row>
    <row r="129" spans="1:53">
      <c r="A129" s="664">
        <f t="shared" si="18"/>
        <v>127</v>
      </c>
      <c r="B129" s="466">
        <f t="shared" si="12"/>
        <v>10071356</v>
      </c>
      <c r="C129" s="92" t="str">
        <f>IFERROR(VLOOKUP($B129,RESOURCES!$C:$L,MATCH('PRODUCTIVITY RAW'!C$2,RESOURCES!$C$3:$L$3,0),FALSE),"-")</f>
        <v>ARANAS, EMMALYN D.</v>
      </c>
      <c r="D129" s="92" t="str">
        <f>IFERROR(VLOOKUP($B129,RESOURCES!$C:$L,MATCH('PRODUCTIVITY RAW'!D$2,RESOURCES!$C$3:$L$3,0),FALSE),"-")</f>
        <v>Internal Mods (PSI)</v>
      </c>
      <c r="E129" s="92" t="str">
        <f>IFERROR(VLOOKUP($B129,RESOURCES!$C:$L,MATCH('PRODUCTIVITY RAW'!E$2,RESOURCES!$C$3:$L$3,0),FALSE),"-")</f>
        <v>BARRIOS, Renell</v>
      </c>
      <c r="F129" s="92" t="str">
        <f>IFERROR(VLOOKUP($B129,RESOURCES!$C:$L,MATCH('PRODUCTIVITY RAW'!F$2,RESOURCES!$C$3:$L$3,0),FALSE),"-")</f>
        <v>PASQUIN, Ryan</v>
      </c>
      <c r="G129" s="92" t="str">
        <f>IFERROR(VLOOKUP($B129,RESOURCES!$C:$L,MATCH('PRODUCTIVITY RAW'!G$2,RESOURCES!$C$3:$L$3,0),FALSE),"-")</f>
        <v>MENDOZA, Carlo</v>
      </c>
      <c r="H129" s="92" t="str">
        <f>IFERROR(VLOOKUP($B129,RESOURCES!$C:$L,MATCH('PRODUCTIVITY RAW'!H$2,RESOURCES!$C$3:$L$3,0),FALSE),"-")</f>
        <v>Ventanilla, Mike</v>
      </c>
      <c r="I129" s="8"/>
      <c r="J129" s="8"/>
      <c r="K129" s="9" t="str">
        <f>IFERROR(VLOOKUP($B129,RESOURCES!$C:$L,MATCH('PRODUCTIVITY RAW'!K$2,RESOURCES!$C$3:$L$3,0),FALSE),"-")</f>
        <v>Expert</v>
      </c>
      <c r="L129" s="21">
        <f t="shared" si="10"/>
        <v>258.05000000000035</v>
      </c>
      <c r="M129" s="21">
        <f t="shared" si="11"/>
        <v>135</v>
      </c>
      <c r="N129" s="21">
        <f t="shared" si="13"/>
        <v>18</v>
      </c>
      <c r="O129" s="86">
        <f t="shared" si="14"/>
        <v>14.33611111111113</v>
      </c>
      <c r="P129" s="86">
        <f>IFERROR(VLOOKUP($D129,KPI!$V:$AN,2,FALSE),"-")</f>
        <v>10</v>
      </c>
      <c r="Q129" s="32">
        <f t="shared" si="15"/>
        <v>1</v>
      </c>
      <c r="R129" s="185">
        <f t="shared" si="16"/>
        <v>180</v>
      </c>
      <c r="S129" s="89" t="str">
        <f t="shared" si="17"/>
        <v>Internal Mods (PSI)</v>
      </c>
      <c r="AG129" s="664">
        <v>127</v>
      </c>
      <c r="AH129" s="664">
        <v>10071356</v>
      </c>
      <c r="AI129" s="664" t="s">
        <v>232</v>
      </c>
      <c r="AJ129" s="92" t="s">
        <v>123</v>
      </c>
      <c r="AK129" s="92" t="s">
        <v>227</v>
      </c>
      <c r="AL129" s="92" t="s">
        <v>106</v>
      </c>
      <c r="AM129" s="92" t="s">
        <v>85</v>
      </c>
      <c r="AN129" s="92" t="s">
        <v>86</v>
      </c>
      <c r="AO129" s="157">
        <v>258.05000000000035</v>
      </c>
      <c r="AP129" s="157">
        <v>135</v>
      </c>
      <c r="AQ129" s="571">
        <v>0</v>
      </c>
      <c r="AS129" s="664">
        <f t="shared" si="19"/>
        <v>127</v>
      </c>
      <c r="AT129" s="664"/>
      <c r="AU129" s="664"/>
      <c r="AV129" s="92" t="str">
        <f>IFERROR(VLOOKUP($AT129,RESOURCES!$C:$L,MATCH('PRODUCTIVITY RAW'!AV$2,RESOURCES!$C$3:$L$3,0),FALSE),"-")</f>
        <v>-</v>
      </c>
      <c r="AW129" s="92" t="str">
        <f>IFERROR(VLOOKUP($AT129,RESOURCES!$C:$L,MATCH('PRODUCTIVITY RAW'!AW$2,RESOURCES!$C$3:$L$3,0),FALSE),"-")</f>
        <v>-</v>
      </c>
      <c r="AX129" s="92" t="str">
        <f>IFERROR(VLOOKUP($AT129,RESOURCES!$C:$L,MATCH('PRODUCTIVITY RAW'!AX$2,RESOURCES!$C$3:$L$3,0),FALSE),"-")</f>
        <v>-</v>
      </c>
      <c r="AY129" s="92" t="str">
        <f>IFERROR(VLOOKUP($AT129,RESOURCES!$C:$L,MATCH('PRODUCTIVITY RAW'!AY$2,RESOURCES!$C$3:$L$3,0),FALSE),"-")</f>
        <v>-</v>
      </c>
      <c r="AZ129" s="92" t="str">
        <f>IFERROR(VLOOKUP($AT129,RESOURCES!$C:$L,MATCH('PRODUCTIVITY RAW'!AZ$2,RESOURCES!$C$3:$L$3,0),FALSE),"-")</f>
        <v>-</v>
      </c>
      <c r="BA129" s="20"/>
    </row>
    <row r="130" spans="1:53">
      <c r="A130" s="664">
        <f t="shared" si="18"/>
        <v>128</v>
      </c>
      <c r="B130" s="466">
        <f t="shared" si="12"/>
        <v>10072032</v>
      </c>
      <c r="C130" s="92" t="str">
        <f>IFERROR(VLOOKUP($B130,RESOURCES!$C:$L,MATCH('PRODUCTIVITY RAW'!C$2,RESOURCES!$C$3:$L$3,0),FALSE),"-")</f>
        <v>DELA PAZ, ELDON O.</v>
      </c>
      <c r="D130" s="92" t="str">
        <f>IFERROR(VLOOKUP($B130,RESOURCES!$C:$L,MATCH('PRODUCTIVITY RAW'!D$2,RESOURCES!$C$3:$L$3,0),FALSE),"-")</f>
        <v>Internal Mods (PSI)</v>
      </c>
      <c r="E130" s="92" t="str">
        <f>IFERROR(VLOOKUP($B130,RESOURCES!$C:$L,MATCH('PRODUCTIVITY RAW'!E$2,RESOURCES!$C$3:$L$3,0),FALSE),"-")</f>
        <v>BARRIOS, Renell</v>
      </c>
      <c r="F130" s="92" t="str">
        <f>IFERROR(VLOOKUP($B130,RESOURCES!$C:$L,MATCH('PRODUCTIVITY RAW'!F$2,RESOURCES!$C$3:$L$3,0),FALSE),"-")</f>
        <v>PASQUIN, Ryan</v>
      </c>
      <c r="G130" s="92" t="str">
        <f>IFERROR(VLOOKUP($B130,RESOURCES!$C:$L,MATCH('PRODUCTIVITY RAW'!G$2,RESOURCES!$C$3:$L$3,0),FALSE),"-")</f>
        <v>MENDOZA, Carlo</v>
      </c>
      <c r="H130" s="92" t="str">
        <f>IFERROR(VLOOKUP($B130,RESOURCES!$C:$L,MATCH('PRODUCTIVITY RAW'!H$2,RESOURCES!$C$3:$L$3,0),FALSE),"-")</f>
        <v>Ventanilla, Mike</v>
      </c>
      <c r="I130" s="8"/>
      <c r="J130" s="8"/>
      <c r="K130" s="9" t="str">
        <f>IFERROR(VLOOKUP($B130,RESOURCES!$C:$L,MATCH('PRODUCTIVITY RAW'!K$2,RESOURCES!$C$3:$L$3,0),FALSE),"-")</f>
        <v>Expert</v>
      </c>
      <c r="L130" s="21">
        <f t="shared" si="10"/>
        <v>132.44999999999993</v>
      </c>
      <c r="M130" s="21">
        <f t="shared" si="11"/>
        <v>90</v>
      </c>
      <c r="N130" s="21">
        <f t="shared" si="13"/>
        <v>12</v>
      </c>
      <c r="O130" s="86">
        <f t="shared" si="14"/>
        <v>11.037499999999994</v>
      </c>
      <c r="P130" s="86">
        <f>IFERROR(VLOOKUP($D130,KPI!$V:$AN,2,FALSE),"-")</f>
        <v>10</v>
      </c>
      <c r="Q130" s="32">
        <f t="shared" si="15"/>
        <v>1</v>
      </c>
      <c r="R130" s="185">
        <f t="shared" si="16"/>
        <v>120</v>
      </c>
      <c r="S130" s="89" t="str">
        <f t="shared" si="17"/>
        <v>Internal Mods (PSI)</v>
      </c>
      <c r="AG130" s="664">
        <v>128</v>
      </c>
      <c r="AH130" s="664">
        <v>10072032</v>
      </c>
      <c r="AI130" s="664" t="s">
        <v>233</v>
      </c>
      <c r="AJ130" s="92" t="s">
        <v>123</v>
      </c>
      <c r="AK130" s="92" t="s">
        <v>227</v>
      </c>
      <c r="AL130" s="92" t="s">
        <v>106</v>
      </c>
      <c r="AM130" s="92" t="s">
        <v>85</v>
      </c>
      <c r="AN130" s="92" t="s">
        <v>86</v>
      </c>
      <c r="AO130" s="157">
        <v>132.44999999999993</v>
      </c>
      <c r="AP130" s="157">
        <v>90</v>
      </c>
      <c r="AQ130" s="571">
        <v>0</v>
      </c>
      <c r="AS130" s="664">
        <f t="shared" si="19"/>
        <v>128</v>
      </c>
      <c r="AT130" s="664"/>
      <c r="AU130" s="664"/>
      <c r="AV130" s="92" t="str">
        <f>IFERROR(VLOOKUP($AT130,RESOURCES!$C:$L,MATCH('PRODUCTIVITY RAW'!AV$2,RESOURCES!$C$3:$L$3,0),FALSE),"-")</f>
        <v>-</v>
      </c>
      <c r="AW130" s="92" t="str">
        <f>IFERROR(VLOOKUP($AT130,RESOURCES!$C:$L,MATCH('PRODUCTIVITY RAW'!AW$2,RESOURCES!$C$3:$L$3,0),FALSE),"-")</f>
        <v>-</v>
      </c>
      <c r="AX130" s="92" t="str">
        <f>IFERROR(VLOOKUP($AT130,RESOURCES!$C:$L,MATCH('PRODUCTIVITY RAW'!AX$2,RESOURCES!$C$3:$L$3,0),FALSE),"-")</f>
        <v>-</v>
      </c>
      <c r="AY130" s="92" t="str">
        <f>IFERROR(VLOOKUP($AT130,RESOURCES!$C:$L,MATCH('PRODUCTIVITY RAW'!AY$2,RESOURCES!$C$3:$L$3,0),FALSE),"-")</f>
        <v>-</v>
      </c>
      <c r="AZ130" s="92" t="str">
        <f>IFERROR(VLOOKUP($AT130,RESOURCES!$C:$L,MATCH('PRODUCTIVITY RAW'!AZ$2,RESOURCES!$C$3:$L$3,0),FALSE),"-")</f>
        <v>-</v>
      </c>
      <c r="BA130" s="20"/>
    </row>
    <row r="131" spans="1:53">
      <c r="A131" s="664">
        <f t="shared" si="18"/>
        <v>129</v>
      </c>
      <c r="B131" s="466">
        <f t="shared" si="12"/>
        <v>10071411</v>
      </c>
      <c r="C131" s="92" t="str">
        <f>IFERROR(VLOOKUP($B131,RESOURCES!$C:$L,MATCH('PRODUCTIVITY RAW'!C$2,RESOURCES!$C$3:$L$3,0),FALSE),"-")</f>
        <v>ENCINARES, JADE B.</v>
      </c>
      <c r="D131" s="92" t="str">
        <f>IFERROR(VLOOKUP($B131,RESOURCES!$C:$L,MATCH('PRODUCTIVITY RAW'!D$2,RESOURCES!$C$3:$L$3,0),FALSE),"-")</f>
        <v>Internal Mods (PSI)</v>
      </c>
      <c r="E131" s="92" t="str">
        <f>IFERROR(VLOOKUP($B131,RESOURCES!$C:$L,MATCH('PRODUCTIVITY RAW'!E$2,RESOURCES!$C$3:$L$3,0),FALSE),"-")</f>
        <v>BARRIOS, Renell</v>
      </c>
      <c r="F131" s="92" t="str">
        <f>IFERROR(VLOOKUP($B131,RESOURCES!$C:$L,MATCH('PRODUCTIVITY RAW'!F$2,RESOURCES!$C$3:$L$3,0),FALSE),"-")</f>
        <v>PASQUIN, Ryan</v>
      </c>
      <c r="G131" s="92" t="str">
        <f>IFERROR(VLOOKUP($B131,RESOURCES!$C:$L,MATCH('PRODUCTIVITY RAW'!G$2,RESOURCES!$C$3:$L$3,0),FALSE),"-")</f>
        <v>MENDOZA, Carlo</v>
      </c>
      <c r="H131" s="92" t="str">
        <f>IFERROR(VLOOKUP($B131,RESOURCES!$C:$L,MATCH('PRODUCTIVITY RAW'!H$2,RESOURCES!$C$3:$L$3,0),FALSE),"-")</f>
        <v>Ventanilla, Mike</v>
      </c>
      <c r="I131" s="8"/>
      <c r="J131" s="8"/>
      <c r="K131" s="9" t="str">
        <f>IFERROR(VLOOKUP($B131,RESOURCES!$C:$L,MATCH('PRODUCTIVITY RAW'!K$2,RESOURCES!$C$3:$L$3,0),FALSE),"-")</f>
        <v>Expert</v>
      </c>
      <c r="L131" s="21">
        <f t="shared" ref="L131:L176" si="20">IFERROR(VLOOKUP($B131,$AH:$AO,8,FALSE),"-")</f>
        <v>186.35000000000014</v>
      </c>
      <c r="M131" s="21">
        <f t="shared" ref="M131:M176" si="21">IFERROR(VLOOKUP($B131,$AH:$AP,9,FALSE),"-")</f>
        <v>142.5</v>
      </c>
      <c r="N131" s="21">
        <f t="shared" si="13"/>
        <v>19</v>
      </c>
      <c r="O131" s="86">
        <f t="shared" si="14"/>
        <v>9.8078947368421119</v>
      </c>
      <c r="P131" s="86">
        <f>IFERROR(VLOOKUP($D131,KPI!$V:$AN,2,FALSE),"-")</f>
        <v>10</v>
      </c>
      <c r="Q131" s="32">
        <f t="shared" si="15"/>
        <v>0.98320436158987057</v>
      </c>
      <c r="R131" s="185">
        <f t="shared" si="16"/>
        <v>189.53333333333333</v>
      </c>
      <c r="S131" s="89" t="str">
        <f t="shared" si="17"/>
        <v>Internal Mods (PSI)</v>
      </c>
      <c r="AG131" s="664">
        <v>129</v>
      </c>
      <c r="AH131" s="664">
        <v>10071411</v>
      </c>
      <c r="AI131" s="664" t="s">
        <v>234</v>
      </c>
      <c r="AJ131" s="92" t="s">
        <v>123</v>
      </c>
      <c r="AK131" s="92" t="s">
        <v>227</v>
      </c>
      <c r="AL131" s="92" t="s">
        <v>106</v>
      </c>
      <c r="AM131" s="92" t="s">
        <v>85</v>
      </c>
      <c r="AN131" s="92" t="s">
        <v>86</v>
      </c>
      <c r="AO131" s="157">
        <v>186.35000000000014</v>
      </c>
      <c r="AP131" s="157">
        <v>142.5</v>
      </c>
      <c r="AQ131" s="571">
        <v>0.46666666666666667</v>
      </c>
      <c r="AS131" s="664">
        <f t="shared" si="19"/>
        <v>129</v>
      </c>
      <c r="AT131" s="664"/>
      <c r="AU131" s="664"/>
      <c r="AV131" s="92" t="str">
        <f>IFERROR(VLOOKUP($AT131,RESOURCES!$C:$L,MATCH('PRODUCTIVITY RAW'!AV$2,RESOURCES!$C$3:$L$3,0),FALSE),"-")</f>
        <v>-</v>
      </c>
      <c r="AW131" s="92" t="str">
        <f>IFERROR(VLOOKUP($AT131,RESOURCES!$C:$L,MATCH('PRODUCTIVITY RAW'!AW$2,RESOURCES!$C$3:$L$3,0),FALSE),"-")</f>
        <v>-</v>
      </c>
      <c r="AX131" s="92" t="str">
        <f>IFERROR(VLOOKUP($AT131,RESOURCES!$C:$L,MATCH('PRODUCTIVITY RAW'!AX$2,RESOURCES!$C$3:$L$3,0),FALSE),"-")</f>
        <v>-</v>
      </c>
      <c r="AY131" s="92" t="str">
        <f>IFERROR(VLOOKUP($AT131,RESOURCES!$C:$L,MATCH('PRODUCTIVITY RAW'!AY$2,RESOURCES!$C$3:$L$3,0),FALSE),"-")</f>
        <v>-</v>
      </c>
      <c r="AZ131" s="92" t="str">
        <f>IFERROR(VLOOKUP($AT131,RESOURCES!$C:$L,MATCH('PRODUCTIVITY RAW'!AZ$2,RESOURCES!$C$3:$L$3,0),FALSE),"-")</f>
        <v>-</v>
      </c>
      <c r="BA131" s="20"/>
    </row>
    <row r="132" spans="1:53">
      <c r="A132" s="664">
        <f t="shared" si="18"/>
        <v>130</v>
      </c>
      <c r="B132" s="466">
        <f t="shared" ref="B132:B137" si="22">AH132</f>
        <v>10071946</v>
      </c>
      <c r="C132" s="92" t="str">
        <f>IFERROR(VLOOKUP($B132,RESOURCES!$C:$L,MATCH('PRODUCTIVITY RAW'!C$2,RESOURCES!$C$3:$L$3,0),FALSE),"-")</f>
        <v>NARCISO, HARTY JONES L.</v>
      </c>
      <c r="D132" s="92" t="str">
        <f>IFERROR(VLOOKUP($B132,RESOURCES!$C:$L,MATCH('PRODUCTIVITY RAW'!D$2,RESOURCES!$C$3:$L$3,0),FALSE),"-")</f>
        <v>Internal Mods (PSI)</v>
      </c>
      <c r="E132" s="92" t="str">
        <f>IFERROR(VLOOKUP($B132,RESOURCES!$C:$L,MATCH('PRODUCTIVITY RAW'!E$2,RESOURCES!$C$3:$L$3,0),FALSE),"-")</f>
        <v>BARRIOS, Renell</v>
      </c>
      <c r="F132" s="92" t="str">
        <f>IFERROR(VLOOKUP($B132,RESOURCES!$C:$L,MATCH('PRODUCTIVITY RAW'!F$2,RESOURCES!$C$3:$L$3,0),FALSE),"-")</f>
        <v>PASQUIN, Ryan</v>
      </c>
      <c r="G132" s="92" t="str">
        <f>IFERROR(VLOOKUP($B132,RESOURCES!$C:$L,MATCH('PRODUCTIVITY RAW'!G$2,RESOURCES!$C$3:$L$3,0),FALSE),"-")</f>
        <v>MENDOZA, Carlo</v>
      </c>
      <c r="H132" s="92" t="str">
        <f>IFERROR(VLOOKUP($B132,RESOURCES!$C:$L,MATCH('PRODUCTIVITY RAW'!H$2,RESOURCES!$C$3:$L$3,0),FALSE),"-")</f>
        <v>Ventanilla, Mike</v>
      </c>
      <c r="I132" s="8"/>
      <c r="J132" s="8"/>
      <c r="K132" s="9" t="str">
        <f>IFERROR(VLOOKUP($B132,RESOURCES!$C:$L,MATCH('PRODUCTIVITY RAW'!K$2,RESOURCES!$C$3:$L$3,0),FALSE),"-")</f>
        <v>Expert</v>
      </c>
      <c r="L132" s="21">
        <f t="shared" si="20"/>
        <v>142.25</v>
      </c>
      <c r="M132" s="21">
        <f t="shared" si="21"/>
        <v>135</v>
      </c>
      <c r="N132" s="21">
        <f t="shared" ref="N132:N176" si="23">IFERROR(M132/7.5,"-")</f>
        <v>18</v>
      </c>
      <c r="O132" s="86">
        <f t="shared" ref="O132:O176" si="24">IFERROR(L132/N132,"-")</f>
        <v>7.9027777777777777</v>
      </c>
      <c r="P132" s="86">
        <f>IFERROR(VLOOKUP($D132,KPI!$V:$AN,2,FALSE),"-")</f>
        <v>10</v>
      </c>
      <c r="Q132" s="32">
        <f t="shared" ref="Q132:Q176" si="25">IFERROR(IF((L132/R132)&gt;1,1,L132/R132),"-")</f>
        <v>0.79027777777777775</v>
      </c>
      <c r="R132" s="185">
        <f t="shared" ref="R132:R176" si="26">IFERROR((P132*N132)-SUMIFS($AQ:$AQ,$AH:$AH,$B132),"-")</f>
        <v>180</v>
      </c>
      <c r="S132" s="89" t="str">
        <f t="shared" ref="S132:S176" si="27">D132</f>
        <v>Internal Mods (PSI)</v>
      </c>
      <c r="AG132" s="664">
        <v>130</v>
      </c>
      <c r="AH132" s="664">
        <v>10071946</v>
      </c>
      <c r="AI132" s="664" t="s">
        <v>235</v>
      </c>
      <c r="AJ132" s="92" t="s">
        <v>123</v>
      </c>
      <c r="AK132" s="92" t="s">
        <v>227</v>
      </c>
      <c r="AL132" s="92" t="s">
        <v>106</v>
      </c>
      <c r="AM132" s="92" t="s">
        <v>85</v>
      </c>
      <c r="AN132" s="92" t="s">
        <v>86</v>
      </c>
      <c r="AO132" s="157">
        <v>142.25</v>
      </c>
      <c r="AP132" s="157">
        <v>135</v>
      </c>
      <c r="AQ132" s="571">
        <v>0</v>
      </c>
      <c r="AS132" s="664">
        <f t="shared" si="19"/>
        <v>130</v>
      </c>
      <c r="AT132" s="664"/>
      <c r="AU132" s="664"/>
      <c r="AV132" s="92" t="str">
        <f>IFERROR(VLOOKUP($AT132,RESOURCES!$C:$L,MATCH('PRODUCTIVITY RAW'!AV$2,RESOURCES!$C$3:$L$3,0),FALSE),"-")</f>
        <v>-</v>
      </c>
      <c r="AW132" s="92" t="str">
        <f>IFERROR(VLOOKUP($AT132,RESOURCES!$C:$L,MATCH('PRODUCTIVITY RAW'!AW$2,RESOURCES!$C$3:$L$3,0),FALSE),"-")</f>
        <v>-</v>
      </c>
      <c r="AX132" s="92" t="str">
        <f>IFERROR(VLOOKUP($AT132,RESOURCES!$C:$L,MATCH('PRODUCTIVITY RAW'!AX$2,RESOURCES!$C$3:$L$3,0),FALSE),"-")</f>
        <v>-</v>
      </c>
      <c r="AY132" s="92" t="str">
        <f>IFERROR(VLOOKUP($AT132,RESOURCES!$C:$L,MATCH('PRODUCTIVITY RAW'!AY$2,RESOURCES!$C$3:$L$3,0),FALSE),"-")</f>
        <v>-</v>
      </c>
      <c r="AZ132" s="92" t="str">
        <f>IFERROR(VLOOKUP($AT132,RESOURCES!$C:$L,MATCH('PRODUCTIVITY RAW'!AZ$2,RESOURCES!$C$3:$L$3,0),FALSE),"-")</f>
        <v>-</v>
      </c>
      <c r="BA132" s="20"/>
    </row>
    <row r="133" spans="1:53">
      <c r="A133" s="664">
        <f t="shared" ref="A133:A196" si="28">A132+1</f>
        <v>131</v>
      </c>
      <c r="B133" s="466">
        <f t="shared" si="22"/>
        <v>10071729</v>
      </c>
      <c r="C133" s="92" t="str">
        <f>IFERROR(VLOOKUP($B133,RESOURCES!$C:$L,MATCH('PRODUCTIVITY RAW'!C$2,RESOURCES!$C$3:$L$3,0),FALSE),"-")</f>
        <v>PADUA, RHIYANA VENISE M.</v>
      </c>
      <c r="D133" s="92" t="str">
        <f>IFERROR(VLOOKUP($B133,RESOURCES!$C:$L,MATCH('PRODUCTIVITY RAW'!D$2,RESOURCES!$C$3:$L$3,0),FALSE),"-")</f>
        <v>Internal Mods (PSI)</v>
      </c>
      <c r="E133" s="92" t="str">
        <f>IFERROR(VLOOKUP($B133,RESOURCES!$C:$L,MATCH('PRODUCTIVITY RAW'!E$2,RESOURCES!$C$3:$L$3,0),FALSE),"-")</f>
        <v>BARRIOS, Renell</v>
      </c>
      <c r="F133" s="92" t="str">
        <f>IFERROR(VLOOKUP($B133,RESOURCES!$C:$L,MATCH('PRODUCTIVITY RAW'!F$2,RESOURCES!$C$3:$L$3,0),FALSE),"-")</f>
        <v>PASQUIN, Ryan</v>
      </c>
      <c r="G133" s="92" t="str">
        <f>IFERROR(VLOOKUP($B133,RESOURCES!$C:$L,MATCH('PRODUCTIVITY RAW'!G$2,RESOURCES!$C$3:$L$3,0),FALSE),"-")</f>
        <v>MENDOZA, Carlo</v>
      </c>
      <c r="H133" s="92" t="str">
        <f>IFERROR(VLOOKUP($B133,RESOURCES!$C:$L,MATCH('PRODUCTIVITY RAW'!H$2,RESOURCES!$C$3:$L$3,0),FALSE),"-")</f>
        <v>Ventanilla, Mike</v>
      </c>
      <c r="I133" s="8"/>
      <c r="J133" s="8"/>
      <c r="K133" s="9" t="str">
        <f>IFERROR(VLOOKUP($B133,RESOURCES!$C:$L,MATCH('PRODUCTIVITY RAW'!K$2,RESOURCES!$C$3:$L$3,0),FALSE),"-")</f>
        <v>Expert</v>
      </c>
      <c r="L133" s="21">
        <f t="shared" si="20"/>
        <v>236.00000000000017</v>
      </c>
      <c r="M133" s="21">
        <f t="shared" si="21"/>
        <v>142.5</v>
      </c>
      <c r="N133" s="21">
        <f t="shared" si="23"/>
        <v>19</v>
      </c>
      <c r="O133" s="86">
        <f t="shared" si="24"/>
        <v>12.421052631578956</v>
      </c>
      <c r="P133" s="86">
        <f>IFERROR(VLOOKUP($D133,KPI!$V:$AN,2,FALSE),"-")</f>
        <v>10</v>
      </c>
      <c r="Q133" s="32">
        <f t="shared" si="25"/>
        <v>1</v>
      </c>
      <c r="R133" s="185">
        <f t="shared" si="26"/>
        <v>190</v>
      </c>
      <c r="S133" s="89" t="str">
        <f t="shared" si="27"/>
        <v>Internal Mods (PSI)</v>
      </c>
      <c r="AG133" s="664">
        <v>131</v>
      </c>
      <c r="AH133" s="664">
        <v>10071729</v>
      </c>
      <c r="AI133" s="664" t="s">
        <v>236</v>
      </c>
      <c r="AJ133" s="92" t="s">
        <v>123</v>
      </c>
      <c r="AK133" s="92" t="s">
        <v>227</v>
      </c>
      <c r="AL133" s="92" t="s">
        <v>106</v>
      </c>
      <c r="AM133" s="92" t="s">
        <v>85</v>
      </c>
      <c r="AN133" s="92" t="s">
        <v>86</v>
      </c>
      <c r="AO133" s="157">
        <v>236.00000000000017</v>
      </c>
      <c r="AP133" s="157">
        <v>142.5</v>
      </c>
      <c r="AQ133" s="571">
        <v>0</v>
      </c>
      <c r="AS133" s="664">
        <f t="shared" ref="AS133:AS196" si="29">AS132+1</f>
        <v>131</v>
      </c>
      <c r="AT133" s="664"/>
      <c r="AU133" s="664"/>
      <c r="AV133" s="92" t="str">
        <f>IFERROR(VLOOKUP($AT133,RESOURCES!$C:$L,MATCH('PRODUCTIVITY RAW'!AV$2,RESOURCES!$C$3:$L$3,0),FALSE),"-")</f>
        <v>-</v>
      </c>
      <c r="AW133" s="92" t="str">
        <f>IFERROR(VLOOKUP($AT133,RESOURCES!$C:$L,MATCH('PRODUCTIVITY RAW'!AW$2,RESOURCES!$C$3:$L$3,0),FALSE),"-")</f>
        <v>-</v>
      </c>
      <c r="AX133" s="92" t="str">
        <f>IFERROR(VLOOKUP($AT133,RESOURCES!$C:$L,MATCH('PRODUCTIVITY RAW'!AX$2,RESOURCES!$C$3:$L$3,0),FALSE),"-")</f>
        <v>-</v>
      </c>
      <c r="AY133" s="92" t="str">
        <f>IFERROR(VLOOKUP($AT133,RESOURCES!$C:$L,MATCH('PRODUCTIVITY RAW'!AY$2,RESOURCES!$C$3:$L$3,0),FALSE),"-")</f>
        <v>-</v>
      </c>
      <c r="AZ133" s="92" t="str">
        <f>IFERROR(VLOOKUP($AT133,RESOURCES!$C:$L,MATCH('PRODUCTIVITY RAW'!AZ$2,RESOURCES!$C$3:$L$3,0),FALSE),"-")</f>
        <v>-</v>
      </c>
      <c r="BA133" s="20"/>
    </row>
    <row r="134" spans="1:53">
      <c r="A134" s="664">
        <f t="shared" si="28"/>
        <v>132</v>
      </c>
      <c r="B134" s="466">
        <f t="shared" si="22"/>
        <v>10071151</v>
      </c>
      <c r="C134" s="92" t="str">
        <f>IFERROR(VLOOKUP($B134,RESOURCES!$C:$L,MATCH('PRODUCTIVITY RAW'!C$2,RESOURCES!$C$3:$L$3,0),FALSE),"-")</f>
        <v>RABE, DARREN H.</v>
      </c>
      <c r="D134" s="92" t="str">
        <f>IFERROR(VLOOKUP($B134,RESOURCES!$C:$L,MATCH('PRODUCTIVITY RAW'!D$2,RESOURCES!$C$3:$L$3,0),FALSE),"-")</f>
        <v>Internal Mods (PSI)</v>
      </c>
      <c r="E134" s="92" t="str">
        <f>IFERROR(VLOOKUP($B134,RESOURCES!$C:$L,MATCH('PRODUCTIVITY RAW'!E$2,RESOURCES!$C$3:$L$3,0),FALSE),"-")</f>
        <v>BARRIOS, Renell</v>
      </c>
      <c r="F134" s="92" t="str">
        <f>IFERROR(VLOOKUP($B134,RESOURCES!$C:$L,MATCH('PRODUCTIVITY RAW'!F$2,RESOURCES!$C$3:$L$3,0),FALSE),"-")</f>
        <v>PASQUIN, Ryan</v>
      </c>
      <c r="G134" s="92" t="str">
        <f>IFERROR(VLOOKUP($B134,RESOURCES!$C:$L,MATCH('PRODUCTIVITY RAW'!G$2,RESOURCES!$C$3:$L$3,0),FALSE),"-")</f>
        <v>MENDOZA, Carlo</v>
      </c>
      <c r="H134" s="92" t="str">
        <f>IFERROR(VLOOKUP($B134,RESOURCES!$C:$L,MATCH('PRODUCTIVITY RAW'!H$2,RESOURCES!$C$3:$L$3,0),FALSE),"-")</f>
        <v>Ventanilla, Mike</v>
      </c>
      <c r="I134" s="8"/>
      <c r="J134" s="8"/>
      <c r="K134" s="9" t="str">
        <f>IFERROR(VLOOKUP($B134,RESOURCES!$C:$L,MATCH('PRODUCTIVITY RAW'!K$2,RESOURCES!$C$3:$L$3,0),FALSE),"-")</f>
        <v>Expert</v>
      </c>
      <c r="L134" s="21">
        <f t="shared" si="20"/>
        <v>148.6</v>
      </c>
      <c r="M134" s="21">
        <f t="shared" si="21"/>
        <v>142.5</v>
      </c>
      <c r="N134" s="21">
        <f t="shared" si="23"/>
        <v>19</v>
      </c>
      <c r="O134" s="86">
        <f t="shared" si="24"/>
        <v>7.8210526315789473</v>
      </c>
      <c r="P134" s="86">
        <f>IFERROR(VLOOKUP($D134,KPI!$V:$AN,2,FALSE),"-")</f>
        <v>10</v>
      </c>
      <c r="Q134" s="32">
        <f t="shared" si="25"/>
        <v>0.78403095321843119</v>
      </c>
      <c r="R134" s="185">
        <f t="shared" si="26"/>
        <v>189.53333333333333</v>
      </c>
      <c r="S134" s="89" t="str">
        <f t="shared" si="27"/>
        <v>Internal Mods (PSI)</v>
      </c>
      <c r="AG134" s="664">
        <v>132</v>
      </c>
      <c r="AH134" s="664">
        <v>10071151</v>
      </c>
      <c r="AI134" s="664" t="s">
        <v>237</v>
      </c>
      <c r="AJ134" s="92" t="s">
        <v>123</v>
      </c>
      <c r="AK134" s="92" t="s">
        <v>227</v>
      </c>
      <c r="AL134" s="92" t="s">
        <v>106</v>
      </c>
      <c r="AM134" s="92" t="s">
        <v>85</v>
      </c>
      <c r="AN134" s="92" t="s">
        <v>86</v>
      </c>
      <c r="AO134" s="157">
        <v>148.6</v>
      </c>
      <c r="AP134" s="157">
        <v>142.5</v>
      </c>
      <c r="AQ134" s="571">
        <v>0.46666666666666667</v>
      </c>
      <c r="AS134" s="664">
        <f t="shared" si="29"/>
        <v>132</v>
      </c>
      <c r="AT134" s="664"/>
      <c r="AU134" s="664"/>
      <c r="AV134" s="92" t="str">
        <f>IFERROR(VLOOKUP($AT134,RESOURCES!$C:$L,MATCH('PRODUCTIVITY RAW'!AV$2,RESOURCES!$C$3:$L$3,0),FALSE),"-")</f>
        <v>-</v>
      </c>
      <c r="AW134" s="92" t="str">
        <f>IFERROR(VLOOKUP($AT134,RESOURCES!$C:$L,MATCH('PRODUCTIVITY RAW'!AW$2,RESOURCES!$C$3:$L$3,0),FALSE),"-")</f>
        <v>-</v>
      </c>
      <c r="AX134" s="92" t="str">
        <f>IFERROR(VLOOKUP($AT134,RESOURCES!$C:$L,MATCH('PRODUCTIVITY RAW'!AX$2,RESOURCES!$C$3:$L$3,0),FALSE),"-")</f>
        <v>-</v>
      </c>
      <c r="AY134" s="92" t="str">
        <f>IFERROR(VLOOKUP($AT134,RESOURCES!$C:$L,MATCH('PRODUCTIVITY RAW'!AY$2,RESOURCES!$C$3:$L$3,0),FALSE),"-")</f>
        <v>-</v>
      </c>
      <c r="AZ134" s="92" t="str">
        <f>IFERROR(VLOOKUP($AT134,RESOURCES!$C:$L,MATCH('PRODUCTIVITY RAW'!AZ$2,RESOURCES!$C$3:$L$3,0),FALSE),"-")</f>
        <v>-</v>
      </c>
      <c r="BA134" s="20"/>
    </row>
    <row r="135" spans="1:53">
      <c r="A135" s="664">
        <f t="shared" si="28"/>
        <v>133</v>
      </c>
      <c r="B135" s="466">
        <f t="shared" si="22"/>
        <v>10072439</v>
      </c>
      <c r="C135" s="92" t="str">
        <f>IFERROR(VLOOKUP($B135,RESOURCES!$C:$L,MATCH('PRODUCTIVITY RAW'!C$2,RESOURCES!$C$3:$L$3,0),FALSE),"-")</f>
        <v>SANDOVAL, MARIANN R.</v>
      </c>
      <c r="D135" s="92" t="str">
        <f>IFERROR(VLOOKUP($B135,RESOURCES!$C:$L,MATCH('PRODUCTIVITY RAW'!D$2,RESOURCES!$C$3:$L$3,0),FALSE),"-")</f>
        <v>Internal Mods (PSI)</v>
      </c>
      <c r="E135" s="92" t="str">
        <f>IFERROR(VLOOKUP($B135,RESOURCES!$C:$L,MATCH('PRODUCTIVITY RAW'!E$2,RESOURCES!$C$3:$L$3,0),FALSE),"-")</f>
        <v>BARRIOS, Renell</v>
      </c>
      <c r="F135" s="92" t="str">
        <f>IFERROR(VLOOKUP($B135,RESOURCES!$C:$L,MATCH('PRODUCTIVITY RAW'!F$2,RESOURCES!$C$3:$L$3,0),FALSE),"-")</f>
        <v>PASQUIN, Ryan</v>
      </c>
      <c r="G135" s="92" t="str">
        <f>IFERROR(VLOOKUP($B135,RESOURCES!$C:$L,MATCH('PRODUCTIVITY RAW'!G$2,RESOURCES!$C$3:$L$3,0),FALSE),"-")</f>
        <v>MENDOZA, Carlo</v>
      </c>
      <c r="H135" s="92" t="str">
        <f>IFERROR(VLOOKUP($B135,RESOURCES!$C:$L,MATCH('PRODUCTIVITY RAW'!H$2,RESOURCES!$C$3:$L$3,0),FALSE),"-")</f>
        <v>Ventanilla, Mike</v>
      </c>
      <c r="I135" s="8"/>
      <c r="J135" s="8"/>
      <c r="K135" s="9" t="str">
        <f>IFERROR(VLOOKUP($B135,RESOURCES!$C:$L,MATCH('PRODUCTIVITY RAW'!K$2,RESOURCES!$C$3:$L$3,0),FALSE),"-")</f>
        <v>Expert</v>
      </c>
      <c r="L135" s="21">
        <f t="shared" si="20"/>
        <v>171.80000000000004</v>
      </c>
      <c r="M135" s="21">
        <f t="shared" si="21"/>
        <v>127.5</v>
      </c>
      <c r="N135" s="21">
        <f t="shared" si="23"/>
        <v>17</v>
      </c>
      <c r="O135" s="86">
        <f t="shared" si="24"/>
        <v>10.10588235294118</v>
      </c>
      <c r="P135" s="86">
        <f>IFERROR(VLOOKUP($D135,KPI!$V:$AN,2,FALSE),"-")</f>
        <v>10</v>
      </c>
      <c r="Q135" s="32">
        <f t="shared" si="25"/>
        <v>1</v>
      </c>
      <c r="R135" s="185">
        <f t="shared" si="26"/>
        <v>170</v>
      </c>
      <c r="S135" s="89" t="str">
        <f t="shared" si="27"/>
        <v>Internal Mods (PSI)</v>
      </c>
      <c r="AG135" s="664">
        <v>133</v>
      </c>
      <c r="AH135" s="664">
        <v>10072439</v>
      </c>
      <c r="AI135" s="664" t="s">
        <v>238</v>
      </c>
      <c r="AJ135" s="92" t="s">
        <v>123</v>
      </c>
      <c r="AK135" s="92" t="s">
        <v>227</v>
      </c>
      <c r="AL135" s="92" t="s">
        <v>106</v>
      </c>
      <c r="AM135" s="92" t="s">
        <v>85</v>
      </c>
      <c r="AN135" s="92" t="s">
        <v>86</v>
      </c>
      <c r="AO135" s="157">
        <v>171.80000000000004</v>
      </c>
      <c r="AP135" s="157">
        <v>127.5</v>
      </c>
      <c r="AQ135" s="571">
        <v>0</v>
      </c>
      <c r="AS135" s="664">
        <f t="shared" si="29"/>
        <v>133</v>
      </c>
      <c r="AT135" s="664"/>
      <c r="AU135" s="664"/>
      <c r="AV135" s="92" t="str">
        <f>IFERROR(VLOOKUP($AT135,RESOURCES!$C:$L,MATCH('PRODUCTIVITY RAW'!AV$2,RESOURCES!$C$3:$L$3,0),FALSE),"-")</f>
        <v>-</v>
      </c>
      <c r="AW135" s="92" t="str">
        <f>IFERROR(VLOOKUP($AT135,RESOURCES!$C:$L,MATCH('PRODUCTIVITY RAW'!AW$2,RESOURCES!$C$3:$L$3,0),FALSE),"-")</f>
        <v>-</v>
      </c>
      <c r="AX135" s="92" t="str">
        <f>IFERROR(VLOOKUP($AT135,RESOURCES!$C:$L,MATCH('PRODUCTIVITY RAW'!AX$2,RESOURCES!$C$3:$L$3,0),FALSE),"-")</f>
        <v>-</v>
      </c>
      <c r="AY135" s="92" t="str">
        <f>IFERROR(VLOOKUP($AT135,RESOURCES!$C:$L,MATCH('PRODUCTIVITY RAW'!AY$2,RESOURCES!$C$3:$L$3,0),FALSE),"-")</f>
        <v>-</v>
      </c>
      <c r="AZ135" s="92" t="str">
        <f>IFERROR(VLOOKUP($AT135,RESOURCES!$C:$L,MATCH('PRODUCTIVITY RAW'!AZ$2,RESOURCES!$C$3:$L$3,0),FALSE),"-")</f>
        <v>-</v>
      </c>
      <c r="BA135" s="20"/>
    </row>
    <row r="136" spans="1:53">
      <c r="A136" s="664">
        <f t="shared" si="28"/>
        <v>134</v>
      </c>
      <c r="B136" s="466">
        <f t="shared" si="22"/>
        <v>10071342</v>
      </c>
      <c r="C136" s="92" t="str">
        <f>IFERROR(VLOOKUP($B136,RESOURCES!$C:$L,MATCH('PRODUCTIVITY RAW'!C$2,RESOURCES!$C$3:$L$3,0),FALSE),"-")</f>
        <v>MOLON, JOHN NICO B.</v>
      </c>
      <c r="D136" s="92" t="str">
        <f>IFERROR(VLOOKUP($B136,RESOURCES!$C:$L,MATCH('PRODUCTIVITY RAW'!D$2,RESOURCES!$C$3:$L$3,0),FALSE),"-")</f>
        <v>Internal Mods (PSI)</v>
      </c>
      <c r="E136" s="92" t="str">
        <f>IFERROR(VLOOKUP($B136,RESOURCES!$C:$L,MATCH('PRODUCTIVITY RAW'!E$2,RESOURCES!$C$3:$L$3,0),FALSE),"-")</f>
        <v>BARRIOS, Renell</v>
      </c>
      <c r="F136" s="92" t="str">
        <f>IFERROR(VLOOKUP($B136,RESOURCES!$C:$L,MATCH('PRODUCTIVITY RAW'!F$2,RESOURCES!$C$3:$L$3,0),FALSE),"-")</f>
        <v>PASQUIN, Ryan</v>
      </c>
      <c r="G136" s="92" t="str">
        <f>IFERROR(VLOOKUP($B136,RESOURCES!$C:$L,MATCH('PRODUCTIVITY RAW'!G$2,RESOURCES!$C$3:$L$3,0),FALSE),"-")</f>
        <v>MENDOZA, Carlo</v>
      </c>
      <c r="H136" s="92" t="str">
        <f>IFERROR(VLOOKUP($B136,RESOURCES!$C:$L,MATCH('PRODUCTIVITY RAW'!H$2,RESOURCES!$C$3:$L$3,0),FALSE),"-")</f>
        <v>Ventanilla, Mike</v>
      </c>
      <c r="I136" s="8"/>
      <c r="J136" s="8"/>
      <c r="K136" s="9" t="str">
        <f>IFERROR(VLOOKUP($B136,RESOURCES!$C:$L,MATCH('PRODUCTIVITY RAW'!K$2,RESOURCES!$C$3:$L$3,0),FALSE),"-")</f>
        <v>Expert</v>
      </c>
      <c r="L136" s="21">
        <f t="shared" si="20"/>
        <v>175.95000000000005</v>
      </c>
      <c r="M136" s="21">
        <f t="shared" si="21"/>
        <v>142.5</v>
      </c>
      <c r="N136" s="21">
        <f t="shared" si="23"/>
        <v>19</v>
      </c>
      <c r="O136" s="86">
        <f t="shared" si="24"/>
        <v>9.2605263157894768</v>
      </c>
      <c r="P136" s="86">
        <f>IFERROR(VLOOKUP($D136,KPI!$V:$AN,2,FALSE),"-")</f>
        <v>10</v>
      </c>
      <c r="Q136" s="32">
        <f t="shared" si="25"/>
        <v>0.92605263157894757</v>
      </c>
      <c r="R136" s="185">
        <f t="shared" si="26"/>
        <v>190</v>
      </c>
      <c r="S136" s="89" t="str">
        <f t="shared" si="27"/>
        <v>Internal Mods (PSI)</v>
      </c>
      <c r="AG136" s="664">
        <v>134</v>
      </c>
      <c r="AH136" s="664">
        <v>10071342</v>
      </c>
      <c r="AI136" s="664" t="s">
        <v>239</v>
      </c>
      <c r="AJ136" s="92" t="s">
        <v>123</v>
      </c>
      <c r="AK136" s="92" t="s">
        <v>227</v>
      </c>
      <c r="AL136" s="92" t="s">
        <v>106</v>
      </c>
      <c r="AM136" s="92" t="s">
        <v>85</v>
      </c>
      <c r="AN136" s="92" t="s">
        <v>86</v>
      </c>
      <c r="AO136" s="157">
        <v>175.95000000000005</v>
      </c>
      <c r="AP136" s="157">
        <v>142.5</v>
      </c>
      <c r="AQ136" s="571">
        <v>0</v>
      </c>
      <c r="AS136" s="664">
        <f t="shared" si="29"/>
        <v>134</v>
      </c>
      <c r="AT136" s="664"/>
      <c r="AU136" s="664"/>
      <c r="AV136" s="92" t="str">
        <f>IFERROR(VLOOKUP($AT136,RESOURCES!$C:$L,MATCH('PRODUCTIVITY RAW'!AV$2,RESOURCES!$C$3:$L$3,0),FALSE),"-")</f>
        <v>-</v>
      </c>
      <c r="AW136" s="92" t="str">
        <f>IFERROR(VLOOKUP($AT136,RESOURCES!$C:$L,MATCH('PRODUCTIVITY RAW'!AW$2,RESOURCES!$C$3:$L$3,0),FALSE),"-")</f>
        <v>-</v>
      </c>
      <c r="AX136" s="92" t="str">
        <f>IFERROR(VLOOKUP($AT136,RESOURCES!$C:$L,MATCH('PRODUCTIVITY RAW'!AX$2,RESOURCES!$C$3:$L$3,0),FALSE),"-")</f>
        <v>-</v>
      </c>
      <c r="AY136" s="92" t="str">
        <f>IFERROR(VLOOKUP($AT136,RESOURCES!$C:$L,MATCH('PRODUCTIVITY RAW'!AY$2,RESOURCES!$C$3:$L$3,0),FALSE),"-")</f>
        <v>-</v>
      </c>
      <c r="AZ136" s="92" t="str">
        <f>IFERROR(VLOOKUP($AT136,RESOURCES!$C:$L,MATCH('PRODUCTIVITY RAW'!AZ$2,RESOURCES!$C$3:$L$3,0),FALSE),"-")</f>
        <v>-</v>
      </c>
      <c r="BA136" s="20"/>
    </row>
    <row r="137" spans="1:53">
      <c r="A137" s="664">
        <f t="shared" si="28"/>
        <v>135</v>
      </c>
      <c r="B137" s="466">
        <f t="shared" si="22"/>
        <v>0</v>
      </c>
      <c r="C137" s="92" t="str">
        <f>IFERROR(VLOOKUP($B137,RESOURCES!$C:$L,MATCH('PRODUCTIVITY RAW'!C$2,RESOURCES!$C$3:$L$3,0),FALSE),"-")</f>
        <v>-</v>
      </c>
      <c r="D137" s="92" t="str">
        <f>IFERROR(VLOOKUP($B137,RESOURCES!$C:$L,MATCH('PRODUCTIVITY RAW'!D$2,RESOURCES!$C$3:$L$3,0),FALSE),"-")</f>
        <v>-</v>
      </c>
      <c r="E137" s="92" t="str">
        <f>IFERROR(VLOOKUP($B137,RESOURCES!$C:$L,MATCH('PRODUCTIVITY RAW'!E$2,RESOURCES!$C$3:$L$3,0),FALSE),"-")</f>
        <v>-</v>
      </c>
      <c r="F137" s="92" t="str">
        <f>IFERROR(VLOOKUP($B137,RESOURCES!$C:$L,MATCH('PRODUCTIVITY RAW'!F$2,RESOURCES!$C$3:$L$3,0),FALSE),"-")</f>
        <v>-</v>
      </c>
      <c r="G137" s="92" t="str">
        <f>IFERROR(VLOOKUP($B137,RESOURCES!$C:$L,MATCH('PRODUCTIVITY RAW'!G$2,RESOURCES!$C$3:$L$3,0),FALSE),"-")</f>
        <v>-</v>
      </c>
      <c r="H137" s="92" t="str">
        <f>IFERROR(VLOOKUP($B137,RESOURCES!$C:$L,MATCH('PRODUCTIVITY RAW'!H$2,RESOURCES!$C$3:$L$3,0),FALSE),"-")</f>
        <v>-</v>
      </c>
      <c r="I137" s="8"/>
      <c r="J137" s="8"/>
      <c r="K137" s="9" t="str">
        <f>IFERROR(VLOOKUP($B137,RESOURCES!$C:$L,MATCH('PRODUCTIVITY RAW'!K$2,RESOURCES!$C$3:$L$3,0),FALSE),"-")</f>
        <v>-</v>
      </c>
      <c r="L137" s="21" t="str">
        <f t="shared" si="20"/>
        <v>-</v>
      </c>
      <c r="M137" s="21" t="str">
        <f t="shared" si="21"/>
        <v>-</v>
      </c>
      <c r="N137" s="21" t="str">
        <f t="shared" si="23"/>
        <v>-</v>
      </c>
      <c r="O137" s="86" t="str">
        <f t="shared" si="24"/>
        <v>-</v>
      </c>
      <c r="P137" s="86" t="str">
        <f>IFERROR(VLOOKUP($D137,KPI!$V:$AN,2,FALSE),"-")</f>
        <v>-</v>
      </c>
      <c r="Q137" s="32" t="str">
        <f t="shared" si="25"/>
        <v>-</v>
      </c>
      <c r="R137" s="185" t="str">
        <f t="shared" si="26"/>
        <v>-</v>
      </c>
      <c r="S137" s="89" t="str">
        <f t="shared" si="27"/>
        <v>-</v>
      </c>
      <c r="AG137" s="664"/>
      <c r="AH137" s="664"/>
      <c r="AI137" s="664"/>
      <c r="AJ137" s="92"/>
      <c r="AK137" s="92"/>
      <c r="AL137" s="92"/>
      <c r="AM137" s="92"/>
      <c r="AN137" s="92"/>
      <c r="AO137" s="157"/>
      <c r="AP137" s="157"/>
      <c r="AQ137" s="571"/>
      <c r="AS137" s="664">
        <f t="shared" si="29"/>
        <v>135</v>
      </c>
      <c r="AT137" s="664"/>
      <c r="AU137" s="664"/>
      <c r="AV137" s="92" t="str">
        <f>IFERROR(VLOOKUP($AT137,RESOURCES!$C:$L,MATCH('PRODUCTIVITY RAW'!AV$2,RESOURCES!$C$3:$L$3,0),FALSE),"-")</f>
        <v>-</v>
      </c>
      <c r="AW137" s="92" t="str">
        <f>IFERROR(VLOOKUP($AT137,RESOURCES!$C:$L,MATCH('PRODUCTIVITY RAW'!AW$2,RESOURCES!$C$3:$L$3,0),FALSE),"-")</f>
        <v>-</v>
      </c>
      <c r="AX137" s="92" t="str">
        <f>IFERROR(VLOOKUP($AT137,RESOURCES!$C:$L,MATCH('PRODUCTIVITY RAW'!AX$2,RESOURCES!$C$3:$L$3,0),FALSE),"-")</f>
        <v>-</v>
      </c>
      <c r="AY137" s="92" t="str">
        <f>IFERROR(VLOOKUP($AT137,RESOURCES!$C:$L,MATCH('PRODUCTIVITY RAW'!AY$2,RESOURCES!$C$3:$L$3,0),FALSE),"-")</f>
        <v>-</v>
      </c>
      <c r="AZ137" s="92" t="str">
        <f>IFERROR(VLOOKUP($AT137,RESOURCES!$C:$L,MATCH('PRODUCTIVITY RAW'!AZ$2,RESOURCES!$C$3:$L$3,0),FALSE),"-")</f>
        <v>-</v>
      </c>
      <c r="BA137" s="20"/>
    </row>
    <row r="138" spans="1:53">
      <c r="A138" s="664">
        <f t="shared" si="28"/>
        <v>136</v>
      </c>
      <c r="B138" s="466"/>
      <c r="C138" s="92" t="str">
        <f>IFERROR(VLOOKUP($B138,RESOURCES!$C:$L,MATCH('PRODUCTIVITY RAW'!C$2,RESOURCES!$C$3:$L$3,0),FALSE),"-")</f>
        <v>-</v>
      </c>
      <c r="D138" s="92" t="str">
        <f>IFERROR(VLOOKUP($B138,RESOURCES!$C:$L,MATCH('PRODUCTIVITY RAW'!D$2,RESOURCES!$C$3:$L$3,0),FALSE),"-")</f>
        <v>-</v>
      </c>
      <c r="E138" s="92" t="str">
        <f>IFERROR(VLOOKUP($B138,RESOURCES!$C:$L,MATCH('PRODUCTIVITY RAW'!E$2,RESOURCES!$C$3:$L$3,0),FALSE),"-")</f>
        <v>-</v>
      </c>
      <c r="F138" s="92" t="str">
        <f>IFERROR(VLOOKUP($B138,RESOURCES!$C:$L,MATCH('PRODUCTIVITY RAW'!F$2,RESOURCES!$C$3:$L$3,0),FALSE),"-")</f>
        <v>-</v>
      </c>
      <c r="G138" s="92" t="str">
        <f>IFERROR(VLOOKUP($B138,RESOURCES!$C:$L,MATCH('PRODUCTIVITY RAW'!G$2,RESOURCES!$C$3:$L$3,0),FALSE),"-")</f>
        <v>-</v>
      </c>
      <c r="H138" s="92" t="str">
        <f>IFERROR(VLOOKUP($B138,RESOURCES!$C:$L,MATCH('PRODUCTIVITY RAW'!H$2,RESOURCES!$C$3:$L$3,0),FALSE),"-")</f>
        <v>-</v>
      </c>
      <c r="I138" s="8"/>
      <c r="J138" s="8"/>
      <c r="K138" s="9" t="str">
        <f>IFERROR(VLOOKUP($B138,RESOURCES!$C:$L,MATCH('PRODUCTIVITY RAW'!K$2,RESOURCES!$C$3:$L$3,0),FALSE),"-")</f>
        <v>-</v>
      </c>
      <c r="L138" s="21" t="str">
        <f t="shared" si="20"/>
        <v>-</v>
      </c>
      <c r="M138" s="21" t="str">
        <f t="shared" si="21"/>
        <v>-</v>
      </c>
      <c r="N138" s="21" t="str">
        <f t="shared" si="23"/>
        <v>-</v>
      </c>
      <c r="O138" s="86" t="str">
        <f t="shared" si="24"/>
        <v>-</v>
      </c>
      <c r="P138" s="86" t="str">
        <f>IFERROR(VLOOKUP($D138,KPI!$V:$AN,2,FALSE),"-")</f>
        <v>-</v>
      </c>
      <c r="Q138" s="32" t="str">
        <f t="shared" si="25"/>
        <v>-</v>
      </c>
      <c r="R138" s="185" t="str">
        <f t="shared" si="26"/>
        <v>-</v>
      </c>
      <c r="S138" s="89" t="str">
        <f t="shared" si="27"/>
        <v>-</v>
      </c>
      <c r="AG138" s="664"/>
      <c r="AH138" s="664"/>
      <c r="AI138" s="664"/>
      <c r="AJ138" s="92"/>
      <c r="AK138" s="92"/>
      <c r="AL138" s="92"/>
      <c r="AM138" s="92"/>
      <c r="AN138" s="92"/>
      <c r="AO138" s="157"/>
      <c r="AP138" s="157"/>
      <c r="AQ138" s="571"/>
      <c r="AS138" s="664">
        <f t="shared" si="29"/>
        <v>136</v>
      </c>
      <c r="AT138" s="664"/>
      <c r="AU138" s="664"/>
      <c r="AV138" s="92" t="str">
        <f>IFERROR(VLOOKUP($AT138,RESOURCES!$C:$L,MATCH('PRODUCTIVITY RAW'!AV$2,RESOURCES!$C$3:$L$3,0),FALSE),"-")</f>
        <v>-</v>
      </c>
      <c r="AW138" s="92" t="str">
        <f>IFERROR(VLOOKUP($AT138,RESOURCES!$C:$L,MATCH('PRODUCTIVITY RAW'!AW$2,RESOURCES!$C$3:$L$3,0),FALSE),"-")</f>
        <v>-</v>
      </c>
      <c r="AX138" s="92" t="str">
        <f>IFERROR(VLOOKUP($AT138,RESOURCES!$C:$L,MATCH('PRODUCTIVITY RAW'!AX$2,RESOURCES!$C$3:$L$3,0),FALSE),"-")</f>
        <v>-</v>
      </c>
      <c r="AY138" s="92" t="str">
        <f>IFERROR(VLOOKUP($AT138,RESOURCES!$C:$L,MATCH('PRODUCTIVITY RAW'!AY$2,RESOURCES!$C$3:$L$3,0),FALSE),"-")</f>
        <v>-</v>
      </c>
      <c r="AZ138" s="92" t="str">
        <f>IFERROR(VLOOKUP($AT138,RESOURCES!$C:$L,MATCH('PRODUCTIVITY RAW'!AZ$2,RESOURCES!$C$3:$L$3,0),FALSE),"-")</f>
        <v>-</v>
      </c>
      <c r="BA138" s="20"/>
    </row>
    <row r="139" spans="1:53">
      <c r="A139" s="664">
        <f t="shared" si="28"/>
        <v>137</v>
      </c>
      <c r="B139" s="466"/>
      <c r="C139" s="92" t="str">
        <f>IFERROR(VLOOKUP($B139,RESOURCES!$C:$L,MATCH('PRODUCTIVITY RAW'!C$2,RESOURCES!$C$3:$L$3,0),FALSE),"-")</f>
        <v>-</v>
      </c>
      <c r="D139" s="92" t="str">
        <f>IFERROR(VLOOKUP($B139,RESOURCES!$C:$L,MATCH('PRODUCTIVITY RAW'!D$2,RESOURCES!$C$3:$L$3,0),FALSE),"-")</f>
        <v>-</v>
      </c>
      <c r="E139" s="92" t="str">
        <f>IFERROR(VLOOKUP($B139,RESOURCES!$C:$L,MATCH('PRODUCTIVITY RAW'!E$2,RESOURCES!$C$3:$L$3,0),FALSE),"-")</f>
        <v>-</v>
      </c>
      <c r="F139" s="92" t="str">
        <f>IFERROR(VLOOKUP($B139,RESOURCES!$C:$L,MATCH('PRODUCTIVITY RAW'!F$2,RESOURCES!$C$3:$L$3,0),FALSE),"-")</f>
        <v>-</v>
      </c>
      <c r="G139" s="92" t="str">
        <f>IFERROR(VLOOKUP($B139,RESOURCES!$C:$L,MATCH('PRODUCTIVITY RAW'!G$2,RESOURCES!$C$3:$L$3,0),FALSE),"-")</f>
        <v>-</v>
      </c>
      <c r="H139" s="572" t="str">
        <f>IFERROR(VLOOKUP($B139,RESOURCES!$C:$L,MATCH('PRODUCTIVITY RAW'!H$2,RESOURCES!$C$3:$L$3,0),FALSE),"-")</f>
        <v>-</v>
      </c>
      <c r="I139" s="573"/>
      <c r="J139" s="573"/>
      <c r="K139" s="574" t="str">
        <f>IFERROR(VLOOKUP($B139,RESOURCES!$C:$L,MATCH('PRODUCTIVITY RAW'!K$2,RESOURCES!$C$3:$L$3,0),FALSE),"-")</f>
        <v>-</v>
      </c>
      <c r="L139" s="21" t="str">
        <f t="shared" si="20"/>
        <v>-</v>
      </c>
      <c r="M139" s="21" t="str">
        <f t="shared" si="21"/>
        <v>-</v>
      </c>
      <c r="N139" s="21" t="str">
        <f t="shared" si="23"/>
        <v>-</v>
      </c>
      <c r="O139" s="86" t="str">
        <f t="shared" si="24"/>
        <v>-</v>
      </c>
      <c r="P139" s="86" t="str">
        <f>IFERROR(VLOOKUP($D139,KPI!$V:$AN,2,FALSE),"-")</f>
        <v>-</v>
      </c>
      <c r="Q139" s="32" t="str">
        <f t="shared" si="25"/>
        <v>-</v>
      </c>
      <c r="R139" s="185" t="str">
        <f t="shared" si="26"/>
        <v>-</v>
      </c>
      <c r="S139" s="89" t="str">
        <f t="shared" si="27"/>
        <v>-</v>
      </c>
      <c r="AG139" s="664"/>
      <c r="AH139" s="664"/>
      <c r="AI139" s="664"/>
      <c r="AJ139" s="92"/>
      <c r="AK139" s="92"/>
      <c r="AL139" s="92"/>
      <c r="AM139" s="92"/>
      <c r="AN139" s="92"/>
      <c r="AO139" s="157"/>
      <c r="AP139" s="157"/>
      <c r="AQ139" s="571"/>
      <c r="AS139" s="664">
        <f t="shared" si="29"/>
        <v>137</v>
      </c>
      <c r="AT139" s="664"/>
      <c r="AU139" s="664"/>
      <c r="AV139" s="92" t="str">
        <f>IFERROR(VLOOKUP($AT139,RESOURCES!$C:$L,MATCH('PRODUCTIVITY RAW'!AV$2,RESOURCES!$C$3:$L$3,0),FALSE),"-")</f>
        <v>-</v>
      </c>
      <c r="AW139" s="92" t="str">
        <f>IFERROR(VLOOKUP($AT139,RESOURCES!$C:$L,MATCH('PRODUCTIVITY RAW'!AW$2,RESOURCES!$C$3:$L$3,0),FALSE),"-")</f>
        <v>-</v>
      </c>
      <c r="AX139" s="92" t="str">
        <f>IFERROR(VLOOKUP($AT139,RESOURCES!$C:$L,MATCH('PRODUCTIVITY RAW'!AX$2,RESOURCES!$C$3:$L$3,0),FALSE),"-")</f>
        <v>-</v>
      </c>
      <c r="AY139" s="92" t="str">
        <f>IFERROR(VLOOKUP($AT139,RESOURCES!$C:$L,MATCH('PRODUCTIVITY RAW'!AY$2,RESOURCES!$C$3:$L$3,0),FALSE),"-")</f>
        <v>-</v>
      </c>
      <c r="AZ139" s="92" t="str">
        <f>IFERROR(VLOOKUP($AT139,RESOURCES!$C:$L,MATCH('PRODUCTIVITY RAW'!AZ$2,RESOURCES!$C$3:$L$3,0),FALSE),"-")</f>
        <v>-</v>
      </c>
      <c r="BA139" s="20"/>
    </row>
    <row r="140" spans="1:53">
      <c r="A140" s="664">
        <f t="shared" si="28"/>
        <v>138</v>
      </c>
      <c r="B140" s="466"/>
      <c r="C140" s="92" t="str">
        <f>IFERROR(VLOOKUP($B140,RESOURCES!$C:$L,MATCH('PRODUCTIVITY RAW'!C$2,RESOURCES!$C$3:$L$3,0),FALSE),"-")</f>
        <v>-</v>
      </c>
      <c r="D140" s="92" t="str">
        <f>IFERROR(VLOOKUP($B140,RESOURCES!$C:$L,MATCH('PRODUCTIVITY RAW'!D$2,RESOURCES!$C$3:$L$3,0),FALSE),"-")</f>
        <v>-</v>
      </c>
      <c r="E140" s="92" t="str">
        <f>IFERROR(VLOOKUP($B140,RESOURCES!$C:$L,MATCH('PRODUCTIVITY RAW'!E$2,RESOURCES!$C$3:$L$3,0),FALSE),"-")</f>
        <v>-</v>
      </c>
      <c r="F140" s="92" t="str">
        <f>IFERROR(VLOOKUP($B140,RESOURCES!$C:$L,MATCH('PRODUCTIVITY RAW'!F$2,RESOURCES!$C$3:$L$3,0),FALSE),"-")</f>
        <v>-</v>
      </c>
      <c r="G140" s="92" t="str">
        <f>IFERROR(VLOOKUP($B140,RESOURCES!$C:$L,MATCH('PRODUCTIVITY RAW'!G$2,RESOURCES!$C$3:$L$3,0),FALSE),"-")</f>
        <v>-</v>
      </c>
      <c r="H140" s="572" t="str">
        <f>IFERROR(VLOOKUP($B140,RESOURCES!$C:$L,MATCH('PRODUCTIVITY RAW'!H$2,RESOURCES!$C$3:$L$3,0),FALSE),"-")</f>
        <v>-</v>
      </c>
      <c r="I140" s="573"/>
      <c r="J140" s="573"/>
      <c r="K140" s="574" t="str">
        <f>IFERROR(VLOOKUP($B140,RESOURCES!$C:$L,MATCH('PRODUCTIVITY RAW'!K$2,RESOURCES!$C$3:$L$3,0),FALSE),"-")</f>
        <v>-</v>
      </c>
      <c r="L140" s="21" t="str">
        <f t="shared" si="20"/>
        <v>-</v>
      </c>
      <c r="M140" s="21" t="str">
        <f t="shared" si="21"/>
        <v>-</v>
      </c>
      <c r="N140" s="21" t="str">
        <f t="shared" si="23"/>
        <v>-</v>
      </c>
      <c r="O140" s="86" t="str">
        <f t="shared" si="24"/>
        <v>-</v>
      </c>
      <c r="P140" s="86" t="str">
        <f>IFERROR(VLOOKUP($D140,KPI!$V:$AN,2,FALSE),"-")</f>
        <v>-</v>
      </c>
      <c r="Q140" s="32" t="str">
        <f t="shared" si="25"/>
        <v>-</v>
      </c>
      <c r="R140" s="185" t="str">
        <f t="shared" si="26"/>
        <v>-</v>
      </c>
      <c r="S140" s="89" t="str">
        <f t="shared" si="27"/>
        <v>-</v>
      </c>
      <c r="AG140" s="664"/>
      <c r="AH140" s="664"/>
      <c r="AI140" s="664"/>
      <c r="AJ140" s="92"/>
      <c r="AK140" s="92"/>
      <c r="AL140" s="92"/>
      <c r="AM140" s="92"/>
      <c r="AN140" s="92"/>
      <c r="AO140" s="157"/>
      <c r="AP140" s="157"/>
      <c r="AQ140" s="571"/>
      <c r="AS140" s="664">
        <f t="shared" si="29"/>
        <v>138</v>
      </c>
      <c r="AT140" s="664"/>
      <c r="AU140" s="664"/>
      <c r="AV140" s="92" t="str">
        <f>IFERROR(VLOOKUP($AT140,RESOURCES!$C:$L,MATCH('PRODUCTIVITY RAW'!AV$2,RESOURCES!$C$3:$L$3,0),FALSE),"-")</f>
        <v>-</v>
      </c>
      <c r="AW140" s="92" t="str">
        <f>IFERROR(VLOOKUP($AT140,RESOURCES!$C:$L,MATCH('PRODUCTIVITY RAW'!AW$2,RESOURCES!$C$3:$L$3,0),FALSE),"-")</f>
        <v>-</v>
      </c>
      <c r="AX140" s="92" t="str">
        <f>IFERROR(VLOOKUP($AT140,RESOURCES!$C:$L,MATCH('PRODUCTIVITY RAW'!AX$2,RESOURCES!$C$3:$L$3,0),FALSE),"-")</f>
        <v>-</v>
      </c>
      <c r="AY140" s="92" t="str">
        <f>IFERROR(VLOOKUP($AT140,RESOURCES!$C:$L,MATCH('PRODUCTIVITY RAW'!AY$2,RESOURCES!$C$3:$L$3,0),FALSE),"-")</f>
        <v>-</v>
      </c>
      <c r="AZ140" s="92" t="str">
        <f>IFERROR(VLOOKUP($AT140,RESOURCES!$C:$L,MATCH('PRODUCTIVITY RAW'!AZ$2,RESOURCES!$C$3:$L$3,0),FALSE),"-")</f>
        <v>-</v>
      </c>
      <c r="BA140" s="20"/>
    </row>
    <row r="141" spans="1:53">
      <c r="A141" s="664">
        <f t="shared" si="28"/>
        <v>139</v>
      </c>
      <c r="B141" s="466"/>
      <c r="C141" s="92" t="str">
        <f>IFERROR(VLOOKUP($B141,RESOURCES!$C:$L,MATCH('PRODUCTIVITY RAW'!C$2,RESOURCES!$C$3:$L$3,0),FALSE),"-")</f>
        <v>-</v>
      </c>
      <c r="D141" s="92" t="str">
        <f>IFERROR(VLOOKUP($B141,RESOURCES!$C:$L,MATCH('PRODUCTIVITY RAW'!D$2,RESOURCES!$C$3:$L$3,0),FALSE),"-")</f>
        <v>-</v>
      </c>
      <c r="E141" s="92" t="str">
        <f>IFERROR(VLOOKUP($B141,RESOURCES!$C:$L,MATCH('PRODUCTIVITY RAW'!E$2,RESOURCES!$C$3:$L$3,0),FALSE),"-")</f>
        <v>-</v>
      </c>
      <c r="F141" s="92" t="str">
        <f>IFERROR(VLOOKUP($B141,RESOURCES!$C:$L,MATCH('PRODUCTIVITY RAW'!F$2,RESOURCES!$C$3:$L$3,0),FALSE),"-")</f>
        <v>-</v>
      </c>
      <c r="G141" s="92" t="str">
        <f>IFERROR(VLOOKUP($B141,RESOURCES!$C:$L,MATCH('PRODUCTIVITY RAW'!G$2,RESOURCES!$C$3:$L$3,0),FALSE),"-")</f>
        <v>-</v>
      </c>
      <c r="H141" s="572" t="str">
        <f>IFERROR(VLOOKUP($B141,RESOURCES!$C:$L,MATCH('PRODUCTIVITY RAW'!H$2,RESOURCES!$C$3:$L$3,0),FALSE),"-")</f>
        <v>-</v>
      </c>
      <c r="I141" s="573"/>
      <c r="J141" s="573"/>
      <c r="K141" s="574" t="str">
        <f>IFERROR(VLOOKUP($B141,RESOURCES!$C:$L,MATCH('PRODUCTIVITY RAW'!K$2,RESOURCES!$C$3:$L$3,0),FALSE),"-")</f>
        <v>-</v>
      </c>
      <c r="L141" s="21" t="str">
        <f t="shared" si="20"/>
        <v>-</v>
      </c>
      <c r="M141" s="21" t="str">
        <f t="shared" si="21"/>
        <v>-</v>
      </c>
      <c r="N141" s="21" t="str">
        <f t="shared" si="23"/>
        <v>-</v>
      </c>
      <c r="O141" s="86" t="str">
        <f t="shared" si="24"/>
        <v>-</v>
      </c>
      <c r="P141" s="86" t="str">
        <f>IFERROR(VLOOKUP($D141,KPI!$V:$AN,2,FALSE),"-")</f>
        <v>-</v>
      </c>
      <c r="Q141" s="32" t="str">
        <f t="shared" si="25"/>
        <v>-</v>
      </c>
      <c r="R141" s="185" t="str">
        <f t="shared" si="26"/>
        <v>-</v>
      </c>
      <c r="S141" s="89" t="str">
        <f t="shared" si="27"/>
        <v>-</v>
      </c>
      <c r="AG141" s="664"/>
      <c r="AH141" s="664"/>
      <c r="AI141" s="664"/>
      <c r="AJ141" s="92"/>
      <c r="AK141" s="92"/>
      <c r="AL141" s="92"/>
      <c r="AM141" s="92"/>
      <c r="AN141" s="92"/>
      <c r="AO141" s="157"/>
      <c r="AP141" s="157"/>
      <c r="AQ141" s="571"/>
      <c r="AS141" s="664">
        <f t="shared" si="29"/>
        <v>139</v>
      </c>
      <c r="AT141" s="664"/>
      <c r="AU141" s="664"/>
      <c r="AV141" s="92" t="str">
        <f>IFERROR(VLOOKUP($AT141,RESOURCES!$C:$L,MATCH('PRODUCTIVITY RAW'!AV$2,RESOURCES!$C$3:$L$3,0),FALSE),"-")</f>
        <v>-</v>
      </c>
      <c r="AW141" s="92" t="str">
        <f>IFERROR(VLOOKUP($AT141,RESOURCES!$C:$L,MATCH('PRODUCTIVITY RAW'!AW$2,RESOURCES!$C$3:$L$3,0),FALSE),"-")</f>
        <v>-</v>
      </c>
      <c r="AX141" s="92" t="str">
        <f>IFERROR(VLOOKUP($AT141,RESOURCES!$C:$L,MATCH('PRODUCTIVITY RAW'!AX$2,RESOURCES!$C$3:$L$3,0),FALSE),"-")</f>
        <v>-</v>
      </c>
      <c r="AY141" s="92" t="str">
        <f>IFERROR(VLOOKUP($AT141,RESOURCES!$C:$L,MATCH('PRODUCTIVITY RAW'!AY$2,RESOURCES!$C$3:$L$3,0),FALSE),"-")</f>
        <v>-</v>
      </c>
      <c r="AZ141" s="92" t="str">
        <f>IFERROR(VLOOKUP($AT141,RESOURCES!$C:$L,MATCH('PRODUCTIVITY RAW'!AZ$2,RESOURCES!$C$3:$L$3,0),FALSE),"-")</f>
        <v>-</v>
      </c>
      <c r="BA141" s="20"/>
    </row>
    <row r="142" spans="1:53">
      <c r="A142" s="664">
        <f t="shared" si="28"/>
        <v>140</v>
      </c>
      <c r="B142" s="466"/>
      <c r="C142" s="92" t="str">
        <f>IFERROR(VLOOKUP($B142,RESOURCES!$C:$L,MATCH('PRODUCTIVITY RAW'!C$2,RESOURCES!$C$3:$L$3,0),FALSE),"-")</f>
        <v>-</v>
      </c>
      <c r="D142" s="92" t="str">
        <f>IFERROR(VLOOKUP($B142,RESOURCES!$C:$L,MATCH('PRODUCTIVITY RAW'!D$2,RESOURCES!$C$3:$L$3,0),FALSE),"-")</f>
        <v>-</v>
      </c>
      <c r="E142" s="92" t="str">
        <f>IFERROR(VLOOKUP($B142,RESOURCES!$C:$L,MATCH('PRODUCTIVITY RAW'!E$2,RESOURCES!$C$3:$L$3,0),FALSE),"-")</f>
        <v>-</v>
      </c>
      <c r="F142" s="92" t="str">
        <f>IFERROR(VLOOKUP($B142,RESOURCES!$C:$L,MATCH('PRODUCTIVITY RAW'!F$2,RESOURCES!$C$3:$L$3,0),FALSE),"-")</f>
        <v>-</v>
      </c>
      <c r="G142" s="92" t="str">
        <f>IFERROR(VLOOKUP($B142,RESOURCES!$C:$L,MATCH('PRODUCTIVITY RAW'!G$2,RESOURCES!$C$3:$L$3,0),FALSE),"-")</f>
        <v>-</v>
      </c>
      <c r="H142" s="572" t="str">
        <f>IFERROR(VLOOKUP($B142,RESOURCES!$C:$L,MATCH('PRODUCTIVITY RAW'!H$2,RESOURCES!$C$3:$L$3,0),FALSE),"-")</f>
        <v>-</v>
      </c>
      <c r="I142" s="573"/>
      <c r="J142" s="573"/>
      <c r="K142" s="574" t="str">
        <f>IFERROR(VLOOKUP($B142,RESOURCES!$C:$L,MATCH('PRODUCTIVITY RAW'!K$2,RESOURCES!$C$3:$L$3,0),FALSE),"-")</f>
        <v>-</v>
      </c>
      <c r="L142" s="21" t="str">
        <f t="shared" si="20"/>
        <v>-</v>
      </c>
      <c r="M142" s="21" t="str">
        <f t="shared" si="21"/>
        <v>-</v>
      </c>
      <c r="N142" s="21" t="str">
        <f t="shared" si="23"/>
        <v>-</v>
      </c>
      <c r="O142" s="86" t="str">
        <f t="shared" si="24"/>
        <v>-</v>
      </c>
      <c r="P142" s="86" t="str">
        <f>IFERROR(VLOOKUP($D142,KPI!$V:$AN,2,FALSE),"-")</f>
        <v>-</v>
      </c>
      <c r="Q142" s="32" t="str">
        <f t="shared" si="25"/>
        <v>-</v>
      </c>
      <c r="R142" s="185" t="str">
        <f t="shared" si="26"/>
        <v>-</v>
      </c>
      <c r="S142" s="89" t="str">
        <f t="shared" si="27"/>
        <v>-</v>
      </c>
      <c r="AG142" s="664"/>
      <c r="AH142" s="664"/>
      <c r="AI142" s="664"/>
      <c r="AJ142" s="92"/>
      <c r="AK142" s="92"/>
      <c r="AL142" s="92"/>
      <c r="AM142" s="92"/>
      <c r="AN142" s="92"/>
      <c r="AO142" s="157"/>
      <c r="AP142" s="157"/>
      <c r="AQ142" s="571"/>
      <c r="AS142" s="664">
        <f t="shared" si="29"/>
        <v>140</v>
      </c>
      <c r="AT142" s="664"/>
      <c r="AU142" s="664"/>
      <c r="AV142" s="92" t="str">
        <f>IFERROR(VLOOKUP($AT142,RESOURCES!$C:$L,MATCH('PRODUCTIVITY RAW'!AV$2,RESOURCES!$C$3:$L$3,0),FALSE),"-")</f>
        <v>-</v>
      </c>
      <c r="AW142" s="92" t="str">
        <f>IFERROR(VLOOKUP($AT142,RESOURCES!$C:$L,MATCH('PRODUCTIVITY RAW'!AW$2,RESOURCES!$C$3:$L$3,0),FALSE),"-")</f>
        <v>-</v>
      </c>
      <c r="AX142" s="92" t="str">
        <f>IFERROR(VLOOKUP($AT142,RESOURCES!$C:$L,MATCH('PRODUCTIVITY RAW'!AX$2,RESOURCES!$C$3:$L$3,0),FALSE),"-")</f>
        <v>-</v>
      </c>
      <c r="AY142" s="92" t="str">
        <f>IFERROR(VLOOKUP($AT142,RESOURCES!$C:$L,MATCH('PRODUCTIVITY RAW'!AY$2,RESOURCES!$C$3:$L$3,0),FALSE),"-")</f>
        <v>-</v>
      </c>
      <c r="AZ142" s="92" t="str">
        <f>IFERROR(VLOOKUP($AT142,RESOURCES!$C:$L,MATCH('PRODUCTIVITY RAW'!AZ$2,RESOURCES!$C$3:$L$3,0),FALSE),"-")</f>
        <v>-</v>
      </c>
      <c r="BA142" s="20"/>
    </row>
    <row r="143" spans="1:53">
      <c r="A143" s="664">
        <f t="shared" si="28"/>
        <v>141</v>
      </c>
      <c r="B143" s="466"/>
      <c r="C143" s="92" t="str">
        <f>IFERROR(VLOOKUP($B143,RESOURCES!$C:$L,MATCH('PRODUCTIVITY RAW'!C$2,RESOURCES!$C$3:$L$3,0),FALSE),"-")</f>
        <v>-</v>
      </c>
      <c r="D143" s="92" t="str">
        <f>IFERROR(VLOOKUP($B143,RESOURCES!$C:$L,MATCH('PRODUCTIVITY RAW'!D$2,RESOURCES!$C$3:$L$3,0),FALSE),"-")</f>
        <v>-</v>
      </c>
      <c r="E143" s="92" t="str">
        <f>IFERROR(VLOOKUP($B143,RESOURCES!$C:$L,MATCH('PRODUCTIVITY RAW'!E$2,RESOURCES!$C$3:$L$3,0),FALSE),"-")</f>
        <v>-</v>
      </c>
      <c r="F143" s="92" t="str">
        <f>IFERROR(VLOOKUP($B143,RESOURCES!$C:$L,MATCH('PRODUCTIVITY RAW'!F$2,RESOURCES!$C$3:$L$3,0),FALSE),"-")</f>
        <v>-</v>
      </c>
      <c r="G143" s="92" t="str">
        <f>IFERROR(VLOOKUP($B143,RESOURCES!$C:$L,MATCH('PRODUCTIVITY RAW'!G$2,RESOURCES!$C$3:$L$3,0),FALSE),"-")</f>
        <v>-</v>
      </c>
      <c r="H143" s="572" t="str">
        <f>IFERROR(VLOOKUP($B143,RESOURCES!$C:$L,MATCH('PRODUCTIVITY RAW'!H$2,RESOURCES!$C$3:$L$3,0),FALSE),"-")</f>
        <v>-</v>
      </c>
      <c r="I143" s="573"/>
      <c r="J143" s="573"/>
      <c r="K143" s="574" t="str">
        <f>IFERROR(VLOOKUP($B143,RESOURCES!$C:$L,MATCH('PRODUCTIVITY RAW'!K$2,RESOURCES!$C$3:$L$3,0),FALSE),"-")</f>
        <v>-</v>
      </c>
      <c r="L143" s="21" t="str">
        <f t="shared" si="20"/>
        <v>-</v>
      </c>
      <c r="M143" s="21" t="str">
        <f t="shared" si="21"/>
        <v>-</v>
      </c>
      <c r="N143" s="21" t="str">
        <f t="shared" si="23"/>
        <v>-</v>
      </c>
      <c r="O143" s="86" t="str">
        <f t="shared" si="24"/>
        <v>-</v>
      </c>
      <c r="P143" s="86" t="str">
        <f>IFERROR(VLOOKUP($D143,KPI!$V:$AN,2,FALSE),"-")</f>
        <v>-</v>
      </c>
      <c r="Q143" s="32" t="str">
        <f t="shared" si="25"/>
        <v>-</v>
      </c>
      <c r="R143" s="185" t="str">
        <f t="shared" si="26"/>
        <v>-</v>
      </c>
      <c r="S143" s="89" t="str">
        <f t="shared" si="27"/>
        <v>-</v>
      </c>
      <c r="AG143" s="664"/>
      <c r="AH143" s="664"/>
      <c r="AI143" s="664"/>
      <c r="AJ143" s="92"/>
      <c r="AK143" s="92"/>
      <c r="AL143" s="92"/>
      <c r="AM143" s="92"/>
      <c r="AN143" s="92"/>
      <c r="AO143" s="157"/>
      <c r="AP143" s="157"/>
      <c r="AQ143" s="571"/>
      <c r="AS143" s="664">
        <f t="shared" si="29"/>
        <v>141</v>
      </c>
      <c r="AT143" s="664"/>
      <c r="AU143" s="664"/>
      <c r="AV143" s="92" t="str">
        <f>IFERROR(VLOOKUP($AT143,RESOURCES!$C:$L,MATCH('PRODUCTIVITY RAW'!AV$2,RESOURCES!$C$3:$L$3,0),FALSE),"-")</f>
        <v>-</v>
      </c>
      <c r="AW143" s="92" t="str">
        <f>IFERROR(VLOOKUP($AT143,RESOURCES!$C:$L,MATCH('PRODUCTIVITY RAW'!AW$2,RESOURCES!$C$3:$L$3,0),FALSE),"-")</f>
        <v>-</v>
      </c>
      <c r="AX143" s="92" t="str">
        <f>IFERROR(VLOOKUP($AT143,RESOURCES!$C:$L,MATCH('PRODUCTIVITY RAW'!AX$2,RESOURCES!$C$3:$L$3,0),FALSE),"-")</f>
        <v>-</v>
      </c>
      <c r="AY143" s="92" t="str">
        <f>IFERROR(VLOOKUP($AT143,RESOURCES!$C:$L,MATCH('PRODUCTIVITY RAW'!AY$2,RESOURCES!$C$3:$L$3,0),FALSE),"-")</f>
        <v>-</v>
      </c>
      <c r="AZ143" s="92" t="str">
        <f>IFERROR(VLOOKUP($AT143,RESOURCES!$C:$L,MATCH('PRODUCTIVITY RAW'!AZ$2,RESOURCES!$C$3:$L$3,0),FALSE),"-")</f>
        <v>-</v>
      </c>
      <c r="BA143" s="20"/>
    </row>
    <row r="144" spans="1:53">
      <c r="A144" s="664">
        <f t="shared" si="28"/>
        <v>142</v>
      </c>
      <c r="B144" s="466"/>
      <c r="C144" s="92" t="str">
        <f>IFERROR(VLOOKUP($B144,RESOURCES!$C:$L,MATCH('PRODUCTIVITY RAW'!C$2,RESOURCES!$C$3:$L$3,0),FALSE),"-")</f>
        <v>-</v>
      </c>
      <c r="D144" s="92" t="str">
        <f>IFERROR(VLOOKUP($B144,RESOURCES!$C:$L,MATCH('PRODUCTIVITY RAW'!D$2,RESOURCES!$C$3:$L$3,0),FALSE),"-")</f>
        <v>-</v>
      </c>
      <c r="E144" s="92" t="str">
        <f>IFERROR(VLOOKUP($B144,RESOURCES!$C:$L,MATCH('PRODUCTIVITY RAW'!E$2,RESOURCES!$C$3:$L$3,0),FALSE),"-")</f>
        <v>-</v>
      </c>
      <c r="F144" s="92" t="str">
        <f>IFERROR(VLOOKUP($B144,RESOURCES!$C:$L,MATCH('PRODUCTIVITY RAW'!F$2,RESOURCES!$C$3:$L$3,0),FALSE),"-")</f>
        <v>-</v>
      </c>
      <c r="G144" s="92" t="str">
        <f>IFERROR(VLOOKUP($B144,RESOURCES!$C:$L,MATCH('PRODUCTIVITY RAW'!G$2,RESOURCES!$C$3:$L$3,0),FALSE),"-")</f>
        <v>-</v>
      </c>
      <c r="H144" s="572" t="str">
        <f>IFERROR(VLOOKUP($B144,RESOURCES!$C:$L,MATCH('PRODUCTIVITY RAW'!H$2,RESOURCES!$C$3:$L$3,0),FALSE),"-")</f>
        <v>-</v>
      </c>
      <c r="I144" s="573"/>
      <c r="J144" s="573"/>
      <c r="K144" s="574" t="str">
        <f>IFERROR(VLOOKUP($B144,RESOURCES!$C:$L,MATCH('PRODUCTIVITY RAW'!K$2,RESOURCES!$C$3:$L$3,0),FALSE),"-")</f>
        <v>-</v>
      </c>
      <c r="L144" s="21" t="str">
        <f t="shared" si="20"/>
        <v>-</v>
      </c>
      <c r="M144" s="21" t="str">
        <f t="shared" si="21"/>
        <v>-</v>
      </c>
      <c r="N144" s="21" t="str">
        <f t="shared" si="23"/>
        <v>-</v>
      </c>
      <c r="O144" s="86" t="str">
        <f t="shared" si="24"/>
        <v>-</v>
      </c>
      <c r="P144" s="86" t="str">
        <f>IFERROR(VLOOKUP($D144,KPI!$V:$AN,2,FALSE),"-")</f>
        <v>-</v>
      </c>
      <c r="Q144" s="32" t="str">
        <f t="shared" si="25"/>
        <v>-</v>
      </c>
      <c r="R144" s="185" t="str">
        <f t="shared" si="26"/>
        <v>-</v>
      </c>
      <c r="S144" s="89" t="str">
        <f t="shared" si="27"/>
        <v>-</v>
      </c>
      <c r="AG144" s="664"/>
      <c r="AH144" s="664"/>
      <c r="AI144" s="664"/>
      <c r="AJ144" s="92"/>
      <c r="AK144" s="92"/>
      <c r="AL144" s="92"/>
      <c r="AM144" s="92"/>
      <c r="AN144" s="92"/>
      <c r="AO144" s="157"/>
      <c r="AP144" s="157"/>
      <c r="AQ144" s="571"/>
      <c r="AS144" s="664">
        <f t="shared" si="29"/>
        <v>142</v>
      </c>
      <c r="AT144" s="664"/>
      <c r="AU144" s="664"/>
      <c r="AV144" s="92" t="str">
        <f>IFERROR(VLOOKUP($AT144,RESOURCES!$C:$L,MATCH('PRODUCTIVITY RAW'!AV$2,RESOURCES!$C$3:$L$3,0),FALSE),"-")</f>
        <v>-</v>
      </c>
      <c r="AW144" s="92" t="str">
        <f>IFERROR(VLOOKUP($AT144,RESOURCES!$C:$L,MATCH('PRODUCTIVITY RAW'!AW$2,RESOURCES!$C$3:$L$3,0),FALSE),"-")</f>
        <v>-</v>
      </c>
      <c r="AX144" s="92" t="str">
        <f>IFERROR(VLOOKUP($AT144,RESOURCES!$C:$L,MATCH('PRODUCTIVITY RAW'!AX$2,RESOURCES!$C$3:$L$3,0),FALSE),"-")</f>
        <v>-</v>
      </c>
      <c r="AY144" s="92" t="str">
        <f>IFERROR(VLOOKUP($AT144,RESOURCES!$C:$L,MATCH('PRODUCTIVITY RAW'!AY$2,RESOURCES!$C$3:$L$3,0),FALSE),"-")</f>
        <v>-</v>
      </c>
      <c r="AZ144" s="92" t="str">
        <f>IFERROR(VLOOKUP($AT144,RESOURCES!$C:$L,MATCH('PRODUCTIVITY RAW'!AZ$2,RESOURCES!$C$3:$L$3,0),FALSE),"-")</f>
        <v>-</v>
      </c>
      <c r="BA144" s="20"/>
    </row>
    <row r="145" spans="1:53">
      <c r="A145" s="664">
        <f t="shared" si="28"/>
        <v>143</v>
      </c>
      <c r="B145" s="466"/>
      <c r="C145" s="92" t="str">
        <f>IFERROR(VLOOKUP($B145,RESOURCES!$C:$L,MATCH('PRODUCTIVITY RAW'!C$2,RESOURCES!$C$3:$L$3,0),FALSE),"-")</f>
        <v>-</v>
      </c>
      <c r="D145" s="92" t="str">
        <f>IFERROR(VLOOKUP($B145,RESOURCES!$C:$L,MATCH('PRODUCTIVITY RAW'!D$2,RESOURCES!$C$3:$L$3,0),FALSE),"-")</f>
        <v>-</v>
      </c>
      <c r="E145" s="92" t="str">
        <f>IFERROR(VLOOKUP($B145,RESOURCES!$C:$L,MATCH('PRODUCTIVITY RAW'!E$2,RESOURCES!$C$3:$L$3,0),FALSE),"-")</f>
        <v>-</v>
      </c>
      <c r="F145" s="92" t="str">
        <f>IFERROR(VLOOKUP($B145,RESOURCES!$C:$L,MATCH('PRODUCTIVITY RAW'!F$2,RESOURCES!$C$3:$L$3,0),FALSE),"-")</f>
        <v>-</v>
      </c>
      <c r="G145" s="92" t="str">
        <f>IFERROR(VLOOKUP($B145,RESOURCES!$C:$L,MATCH('PRODUCTIVITY RAW'!G$2,RESOURCES!$C$3:$L$3,0),FALSE),"-")</f>
        <v>-</v>
      </c>
      <c r="H145" s="572" t="str">
        <f>IFERROR(VLOOKUP($B145,RESOURCES!$C:$L,MATCH('PRODUCTIVITY RAW'!H$2,RESOURCES!$C$3:$L$3,0),FALSE),"-")</f>
        <v>-</v>
      </c>
      <c r="I145" s="573"/>
      <c r="J145" s="573"/>
      <c r="K145" s="574" t="str">
        <f>IFERROR(VLOOKUP($B145,RESOURCES!$C:$L,MATCH('PRODUCTIVITY RAW'!K$2,RESOURCES!$C$3:$L$3,0),FALSE),"-")</f>
        <v>-</v>
      </c>
      <c r="L145" s="21" t="str">
        <f t="shared" si="20"/>
        <v>-</v>
      </c>
      <c r="M145" s="21" t="str">
        <f t="shared" si="21"/>
        <v>-</v>
      </c>
      <c r="N145" s="21" t="str">
        <f t="shared" si="23"/>
        <v>-</v>
      </c>
      <c r="O145" s="86" t="str">
        <f t="shared" si="24"/>
        <v>-</v>
      </c>
      <c r="P145" s="86" t="str">
        <f>IFERROR(VLOOKUP($D145,KPI!$V:$AN,2,FALSE),"-")</f>
        <v>-</v>
      </c>
      <c r="Q145" s="32" t="str">
        <f t="shared" si="25"/>
        <v>-</v>
      </c>
      <c r="R145" s="185" t="str">
        <f t="shared" si="26"/>
        <v>-</v>
      </c>
      <c r="S145" s="89" t="str">
        <f t="shared" si="27"/>
        <v>-</v>
      </c>
      <c r="AG145" s="664"/>
      <c r="AH145" s="664"/>
      <c r="AI145" s="664"/>
      <c r="AJ145" s="92"/>
      <c r="AK145" s="92"/>
      <c r="AL145" s="92"/>
      <c r="AM145" s="92"/>
      <c r="AN145" s="92"/>
      <c r="AO145" s="157"/>
      <c r="AP145" s="157"/>
      <c r="AQ145" s="571"/>
      <c r="AS145" s="664">
        <f t="shared" si="29"/>
        <v>143</v>
      </c>
      <c r="AT145" s="664"/>
      <c r="AU145" s="664"/>
      <c r="AV145" s="92" t="str">
        <f>IFERROR(VLOOKUP($AT145,RESOURCES!$C:$L,MATCH('PRODUCTIVITY RAW'!AV$2,RESOURCES!$C$3:$L$3,0),FALSE),"-")</f>
        <v>-</v>
      </c>
      <c r="AW145" s="92" t="str">
        <f>IFERROR(VLOOKUP($AT145,RESOURCES!$C:$L,MATCH('PRODUCTIVITY RAW'!AW$2,RESOURCES!$C$3:$L$3,0),FALSE),"-")</f>
        <v>-</v>
      </c>
      <c r="AX145" s="92" t="str">
        <f>IFERROR(VLOOKUP($AT145,RESOURCES!$C:$L,MATCH('PRODUCTIVITY RAW'!AX$2,RESOURCES!$C$3:$L$3,0),FALSE),"-")</f>
        <v>-</v>
      </c>
      <c r="AY145" s="92" t="str">
        <f>IFERROR(VLOOKUP($AT145,RESOURCES!$C:$L,MATCH('PRODUCTIVITY RAW'!AY$2,RESOURCES!$C$3:$L$3,0),FALSE),"-")</f>
        <v>-</v>
      </c>
      <c r="AZ145" s="92" t="str">
        <f>IFERROR(VLOOKUP($AT145,RESOURCES!$C:$L,MATCH('PRODUCTIVITY RAW'!AZ$2,RESOURCES!$C$3:$L$3,0),FALSE),"-")</f>
        <v>-</v>
      </c>
      <c r="BA145" s="20"/>
    </row>
    <row r="146" spans="1:53">
      <c r="A146" s="664">
        <f t="shared" si="28"/>
        <v>144</v>
      </c>
      <c r="B146" s="466"/>
      <c r="C146" s="92" t="str">
        <f>IFERROR(VLOOKUP($B146,RESOURCES!$C:$L,MATCH('PRODUCTIVITY RAW'!C$2,RESOURCES!$C$3:$L$3,0),FALSE),"-")</f>
        <v>-</v>
      </c>
      <c r="D146" s="92" t="str">
        <f>IFERROR(VLOOKUP($B146,RESOURCES!$C:$L,MATCH('PRODUCTIVITY RAW'!D$2,RESOURCES!$C$3:$L$3,0),FALSE),"-")</f>
        <v>-</v>
      </c>
      <c r="E146" s="92" t="str">
        <f>IFERROR(VLOOKUP($B146,RESOURCES!$C:$L,MATCH('PRODUCTIVITY RAW'!E$2,RESOURCES!$C$3:$L$3,0),FALSE),"-")</f>
        <v>-</v>
      </c>
      <c r="F146" s="92" t="str">
        <f>IFERROR(VLOOKUP($B146,RESOURCES!$C:$L,MATCH('PRODUCTIVITY RAW'!F$2,RESOURCES!$C$3:$L$3,0),FALSE),"-")</f>
        <v>-</v>
      </c>
      <c r="G146" s="92" t="str">
        <f>IFERROR(VLOOKUP($B146,RESOURCES!$C:$L,MATCH('PRODUCTIVITY RAW'!G$2,RESOURCES!$C$3:$L$3,0),FALSE),"-")</f>
        <v>-</v>
      </c>
      <c r="H146" s="572" t="str">
        <f>IFERROR(VLOOKUP($B146,RESOURCES!$C:$L,MATCH('PRODUCTIVITY RAW'!H$2,RESOURCES!$C$3:$L$3,0),FALSE),"-")</f>
        <v>-</v>
      </c>
      <c r="I146" s="573"/>
      <c r="J146" s="573"/>
      <c r="K146" s="574" t="str">
        <f>IFERROR(VLOOKUP($B146,RESOURCES!$C:$L,MATCH('PRODUCTIVITY RAW'!K$2,RESOURCES!$C$3:$L$3,0),FALSE),"-")</f>
        <v>-</v>
      </c>
      <c r="L146" s="21" t="str">
        <f t="shared" si="20"/>
        <v>-</v>
      </c>
      <c r="M146" s="21" t="str">
        <f t="shared" si="21"/>
        <v>-</v>
      </c>
      <c r="N146" s="21" t="str">
        <f t="shared" si="23"/>
        <v>-</v>
      </c>
      <c r="O146" s="86" t="str">
        <f t="shared" si="24"/>
        <v>-</v>
      </c>
      <c r="P146" s="86" t="str">
        <f>IFERROR(VLOOKUP($D146,KPI!$V:$AN,2,FALSE),"-")</f>
        <v>-</v>
      </c>
      <c r="Q146" s="32" t="str">
        <f t="shared" si="25"/>
        <v>-</v>
      </c>
      <c r="R146" s="185" t="str">
        <f t="shared" si="26"/>
        <v>-</v>
      </c>
      <c r="S146" s="89" t="str">
        <f t="shared" si="27"/>
        <v>-</v>
      </c>
      <c r="AG146" s="664"/>
      <c r="AH146" s="664"/>
      <c r="AI146" s="664"/>
      <c r="AJ146" s="92"/>
      <c r="AK146" s="92"/>
      <c r="AL146" s="92"/>
      <c r="AM146" s="92"/>
      <c r="AN146" s="92"/>
      <c r="AO146" s="157"/>
      <c r="AP146" s="157"/>
      <c r="AQ146" s="571"/>
      <c r="AS146" s="664">
        <f t="shared" si="29"/>
        <v>144</v>
      </c>
      <c r="AT146" s="664"/>
      <c r="AU146" s="664"/>
      <c r="AV146" s="92" t="str">
        <f>IFERROR(VLOOKUP($AT146,RESOURCES!$C:$L,MATCH('PRODUCTIVITY RAW'!AV$2,RESOURCES!$C$3:$L$3,0),FALSE),"-")</f>
        <v>-</v>
      </c>
      <c r="AW146" s="92" t="str">
        <f>IFERROR(VLOOKUP($AT146,RESOURCES!$C:$L,MATCH('PRODUCTIVITY RAW'!AW$2,RESOURCES!$C$3:$L$3,0),FALSE),"-")</f>
        <v>-</v>
      </c>
      <c r="AX146" s="92" t="str">
        <f>IFERROR(VLOOKUP($AT146,RESOURCES!$C:$L,MATCH('PRODUCTIVITY RAW'!AX$2,RESOURCES!$C$3:$L$3,0),FALSE),"-")</f>
        <v>-</v>
      </c>
      <c r="AY146" s="92" t="str">
        <f>IFERROR(VLOOKUP($AT146,RESOURCES!$C:$L,MATCH('PRODUCTIVITY RAW'!AY$2,RESOURCES!$C$3:$L$3,0),FALSE),"-")</f>
        <v>-</v>
      </c>
      <c r="AZ146" s="92" t="str">
        <f>IFERROR(VLOOKUP($AT146,RESOURCES!$C:$L,MATCH('PRODUCTIVITY RAW'!AZ$2,RESOURCES!$C$3:$L$3,0),FALSE),"-")</f>
        <v>-</v>
      </c>
      <c r="BA146" s="20"/>
    </row>
    <row r="147" spans="1:53">
      <c r="A147" s="664">
        <f t="shared" si="28"/>
        <v>145</v>
      </c>
      <c r="B147" s="466"/>
      <c r="C147" s="92" t="str">
        <f>IFERROR(VLOOKUP($B147,RESOURCES!$C:$L,MATCH('PRODUCTIVITY RAW'!C$2,RESOURCES!$C$3:$L$3,0),FALSE),"-")</f>
        <v>-</v>
      </c>
      <c r="D147" s="92" t="str">
        <f>IFERROR(VLOOKUP($B147,RESOURCES!$C:$L,MATCH('PRODUCTIVITY RAW'!D$2,RESOURCES!$C$3:$L$3,0),FALSE),"-")</f>
        <v>-</v>
      </c>
      <c r="E147" s="92" t="str">
        <f>IFERROR(VLOOKUP($B147,RESOURCES!$C:$L,MATCH('PRODUCTIVITY RAW'!E$2,RESOURCES!$C$3:$L$3,0),FALSE),"-")</f>
        <v>-</v>
      </c>
      <c r="F147" s="92" t="str">
        <f>IFERROR(VLOOKUP($B147,RESOURCES!$C:$L,MATCH('PRODUCTIVITY RAW'!F$2,RESOURCES!$C$3:$L$3,0),FALSE),"-")</f>
        <v>-</v>
      </c>
      <c r="G147" s="92" t="str">
        <f>IFERROR(VLOOKUP($B147,RESOURCES!$C:$L,MATCH('PRODUCTIVITY RAW'!G$2,RESOURCES!$C$3:$L$3,0),FALSE),"-")</f>
        <v>-</v>
      </c>
      <c r="H147" s="92" t="str">
        <f>IFERROR(VLOOKUP($B147,RESOURCES!$C:$L,MATCH('PRODUCTIVITY RAW'!H$2,RESOURCES!$C$3:$L$3,0),FALSE),"-")</f>
        <v>-</v>
      </c>
      <c r="I147" s="8"/>
      <c r="J147" s="8"/>
      <c r="K147" s="9" t="str">
        <f>IFERROR(VLOOKUP($B147,RESOURCES!$C:$L,MATCH('PRODUCTIVITY RAW'!K$2,RESOURCES!$C$3:$L$3,0),FALSE),"-")</f>
        <v>-</v>
      </c>
      <c r="L147" s="21" t="str">
        <f t="shared" si="20"/>
        <v>-</v>
      </c>
      <c r="M147" s="21" t="str">
        <f t="shared" si="21"/>
        <v>-</v>
      </c>
      <c r="N147" s="21" t="str">
        <f t="shared" si="23"/>
        <v>-</v>
      </c>
      <c r="O147" s="86" t="str">
        <f t="shared" si="24"/>
        <v>-</v>
      </c>
      <c r="P147" s="86" t="str">
        <f>IFERROR(VLOOKUP($D147,KPI!$V:$AN,2,FALSE),"-")</f>
        <v>-</v>
      </c>
      <c r="Q147" s="32" t="str">
        <f t="shared" si="25"/>
        <v>-</v>
      </c>
      <c r="R147" s="185" t="str">
        <f t="shared" si="26"/>
        <v>-</v>
      </c>
      <c r="S147" s="89" t="str">
        <f t="shared" si="27"/>
        <v>-</v>
      </c>
      <c r="AG147" s="664"/>
      <c r="AH147" s="664"/>
      <c r="AI147" s="664"/>
      <c r="AJ147" s="92"/>
      <c r="AK147" s="92"/>
      <c r="AL147" s="92"/>
      <c r="AM147" s="92"/>
      <c r="AN147" s="92"/>
      <c r="AO147" s="157"/>
      <c r="AP147" s="157"/>
      <c r="AQ147" s="571"/>
      <c r="AS147" s="664">
        <f t="shared" si="29"/>
        <v>145</v>
      </c>
      <c r="AT147" s="664"/>
      <c r="AU147" s="664"/>
      <c r="AV147" s="92" t="str">
        <f>IFERROR(VLOOKUP($AT147,RESOURCES!$C:$L,MATCH('PRODUCTIVITY RAW'!AV$2,RESOURCES!$C$3:$L$3,0),FALSE),"-")</f>
        <v>-</v>
      </c>
      <c r="AW147" s="92" t="str">
        <f>IFERROR(VLOOKUP($AT147,RESOURCES!$C:$L,MATCH('PRODUCTIVITY RAW'!AW$2,RESOURCES!$C$3:$L$3,0),FALSE),"-")</f>
        <v>-</v>
      </c>
      <c r="AX147" s="92" t="str">
        <f>IFERROR(VLOOKUP($AT147,RESOURCES!$C:$L,MATCH('PRODUCTIVITY RAW'!AX$2,RESOURCES!$C$3:$L$3,0),FALSE),"-")</f>
        <v>-</v>
      </c>
      <c r="AY147" s="92" t="str">
        <f>IFERROR(VLOOKUP($AT147,RESOURCES!$C:$L,MATCH('PRODUCTIVITY RAW'!AY$2,RESOURCES!$C$3:$L$3,0),FALSE),"-")</f>
        <v>-</v>
      </c>
      <c r="AZ147" s="92" t="str">
        <f>IFERROR(VLOOKUP($AT147,RESOURCES!$C:$L,MATCH('PRODUCTIVITY RAW'!AZ$2,RESOURCES!$C$3:$L$3,0),FALSE),"-")</f>
        <v>-</v>
      </c>
      <c r="BA147" s="20"/>
    </row>
    <row r="148" spans="1:53">
      <c r="A148" s="664">
        <f t="shared" si="28"/>
        <v>146</v>
      </c>
      <c r="B148" s="466"/>
      <c r="C148" s="92" t="str">
        <f>IFERROR(VLOOKUP($B148,RESOURCES!$C:$L,MATCH('PRODUCTIVITY RAW'!C$2,RESOURCES!$C$3:$L$3,0),FALSE),"-")</f>
        <v>-</v>
      </c>
      <c r="D148" s="92" t="str">
        <f>IFERROR(VLOOKUP($B148,RESOURCES!$C:$L,MATCH('PRODUCTIVITY RAW'!D$2,RESOURCES!$C$3:$L$3,0),FALSE),"-")</f>
        <v>-</v>
      </c>
      <c r="E148" s="92" t="str">
        <f>IFERROR(VLOOKUP($B148,RESOURCES!$C:$L,MATCH('PRODUCTIVITY RAW'!E$2,RESOURCES!$C$3:$L$3,0),FALSE),"-")</f>
        <v>-</v>
      </c>
      <c r="F148" s="92" t="str">
        <f>IFERROR(VLOOKUP($B148,RESOURCES!$C:$L,MATCH('PRODUCTIVITY RAW'!F$2,RESOURCES!$C$3:$L$3,0),FALSE),"-")</f>
        <v>-</v>
      </c>
      <c r="G148" s="92" t="str">
        <f>IFERROR(VLOOKUP($B148,RESOURCES!$C:$L,MATCH('PRODUCTIVITY RAW'!G$2,RESOURCES!$C$3:$L$3,0),FALSE),"-")</f>
        <v>-</v>
      </c>
      <c r="H148" s="92" t="str">
        <f>IFERROR(VLOOKUP($B148,RESOURCES!$C:$L,MATCH('PRODUCTIVITY RAW'!H$2,RESOURCES!$C$3:$L$3,0),FALSE),"-")</f>
        <v>-</v>
      </c>
      <c r="I148" s="8"/>
      <c r="J148" s="8"/>
      <c r="K148" s="9" t="str">
        <f>IFERROR(VLOOKUP($B148,RESOURCES!$C:$L,MATCH('PRODUCTIVITY RAW'!K$2,RESOURCES!$C$3:$L$3,0),FALSE),"-")</f>
        <v>-</v>
      </c>
      <c r="L148" s="21" t="str">
        <f t="shared" si="20"/>
        <v>-</v>
      </c>
      <c r="M148" s="21" t="str">
        <f t="shared" si="21"/>
        <v>-</v>
      </c>
      <c r="N148" s="21" t="str">
        <f t="shared" si="23"/>
        <v>-</v>
      </c>
      <c r="O148" s="86" t="str">
        <f t="shared" si="24"/>
        <v>-</v>
      </c>
      <c r="P148" s="86" t="str">
        <f>IFERROR(VLOOKUP($D148,KPI!$V:$AN,2,FALSE),"-")</f>
        <v>-</v>
      </c>
      <c r="Q148" s="32" t="str">
        <f t="shared" si="25"/>
        <v>-</v>
      </c>
      <c r="R148" s="185" t="str">
        <f t="shared" si="26"/>
        <v>-</v>
      </c>
      <c r="S148" s="89" t="str">
        <f t="shared" si="27"/>
        <v>-</v>
      </c>
      <c r="AG148" s="664"/>
      <c r="AH148" s="664"/>
      <c r="AI148" s="664"/>
      <c r="AJ148" s="92"/>
      <c r="AK148" s="92"/>
      <c r="AL148" s="92"/>
      <c r="AM148" s="92"/>
      <c r="AN148" s="92"/>
      <c r="AO148" s="157"/>
      <c r="AP148" s="157"/>
      <c r="AQ148" s="571"/>
      <c r="AS148" s="664">
        <f t="shared" si="29"/>
        <v>146</v>
      </c>
      <c r="AT148" s="664"/>
      <c r="AU148" s="664"/>
      <c r="AV148" s="92" t="str">
        <f>IFERROR(VLOOKUP($AT148,RESOURCES!$C:$L,MATCH('PRODUCTIVITY RAW'!AV$2,RESOURCES!$C$3:$L$3,0),FALSE),"-")</f>
        <v>-</v>
      </c>
      <c r="AW148" s="92" t="str">
        <f>IFERROR(VLOOKUP($AT148,RESOURCES!$C:$L,MATCH('PRODUCTIVITY RAW'!AW$2,RESOURCES!$C$3:$L$3,0),FALSE),"-")</f>
        <v>-</v>
      </c>
      <c r="AX148" s="92" t="str">
        <f>IFERROR(VLOOKUP($AT148,RESOURCES!$C:$L,MATCH('PRODUCTIVITY RAW'!AX$2,RESOURCES!$C$3:$L$3,0),FALSE),"-")</f>
        <v>-</v>
      </c>
      <c r="AY148" s="92" t="str">
        <f>IFERROR(VLOOKUP($AT148,RESOURCES!$C:$L,MATCH('PRODUCTIVITY RAW'!AY$2,RESOURCES!$C$3:$L$3,0),FALSE),"-")</f>
        <v>-</v>
      </c>
      <c r="AZ148" s="92" t="str">
        <f>IFERROR(VLOOKUP($AT148,RESOURCES!$C:$L,MATCH('PRODUCTIVITY RAW'!AZ$2,RESOURCES!$C$3:$L$3,0),FALSE),"-")</f>
        <v>-</v>
      </c>
      <c r="BA148" s="20"/>
    </row>
    <row r="149" spans="1:53">
      <c r="A149" s="664">
        <f t="shared" si="28"/>
        <v>147</v>
      </c>
      <c r="B149" s="466"/>
      <c r="C149" s="92" t="str">
        <f>IFERROR(VLOOKUP($B149,RESOURCES!$C:$L,MATCH('PRODUCTIVITY RAW'!C$2,RESOURCES!$C$3:$L$3,0),FALSE),"-")</f>
        <v>-</v>
      </c>
      <c r="D149" s="92" t="str">
        <f>IFERROR(VLOOKUP($B149,RESOURCES!$C:$L,MATCH('PRODUCTIVITY RAW'!D$2,RESOURCES!$C$3:$L$3,0),FALSE),"-")</f>
        <v>-</v>
      </c>
      <c r="E149" s="92" t="str">
        <f>IFERROR(VLOOKUP($B149,RESOURCES!$C:$L,MATCH('PRODUCTIVITY RAW'!E$2,RESOURCES!$C$3:$L$3,0),FALSE),"-")</f>
        <v>-</v>
      </c>
      <c r="F149" s="92" t="str">
        <f>IFERROR(VLOOKUP($B149,RESOURCES!$C:$L,MATCH('PRODUCTIVITY RAW'!F$2,RESOURCES!$C$3:$L$3,0),FALSE),"-")</f>
        <v>-</v>
      </c>
      <c r="G149" s="92" t="str">
        <f>IFERROR(VLOOKUP($B149,RESOURCES!$C:$L,MATCH('PRODUCTIVITY RAW'!G$2,RESOURCES!$C$3:$L$3,0),FALSE),"-")</f>
        <v>-</v>
      </c>
      <c r="H149" s="92" t="str">
        <f>IFERROR(VLOOKUP($B149,RESOURCES!$C:$L,MATCH('PRODUCTIVITY RAW'!H$2,RESOURCES!$C$3:$L$3,0),FALSE),"-")</f>
        <v>-</v>
      </c>
      <c r="I149" s="8"/>
      <c r="J149" s="8"/>
      <c r="K149" s="9" t="str">
        <f>IFERROR(VLOOKUP($B149,RESOURCES!$C:$L,MATCH('PRODUCTIVITY RAW'!K$2,RESOURCES!$C$3:$L$3,0),FALSE),"-")</f>
        <v>-</v>
      </c>
      <c r="L149" s="21" t="str">
        <f t="shared" si="20"/>
        <v>-</v>
      </c>
      <c r="M149" s="21" t="str">
        <f t="shared" si="21"/>
        <v>-</v>
      </c>
      <c r="N149" s="21" t="str">
        <f t="shared" si="23"/>
        <v>-</v>
      </c>
      <c r="O149" s="86" t="str">
        <f t="shared" si="24"/>
        <v>-</v>
      </c>
      <c r="P149" s="86" t="str">
        <f>IFERROR(VLOOKUP($D149,KPI!$V:$AN,2,FALSE),"-")</f>
        <v>-</v>
      </c>
      <c r="Q149" s="32" t="str">
        <f t="shared" si="25"/>
        <v>-</v>
      </c>
      <c r="R149" s="185" t="str">
        <f t="shared" si="26"/>
        <v>-</v>
      </c>
      <c r="S149" s="89" t="str">
        <f t="shared" si="27"/>
        <v>-</v>
      </c>
      <c r="AG149" s="664"/>
      <c r="AH149" s="664"/>
      <c r="AI149" s="664"/>
      <c r="AJ149" s="92"/>
      <c r="AK149" s="92"/>
      <c r="AL149" s="92"/>
      <c r="AM149" s="92"/>
      <c r="AN149" s="92"/>
      <c r="AO149" s="157"/>
      <c r="AP149" s="157"/>
      <c r="AQ149" s="571"/>
      <c r="AS149" s="664">
        <f t="shared" si="29"/>
        <v>147</v>
      </c>
      <c r="AT149" s="664"/>
      <c r="AU149" s="664"/>
      <c r="AV149" s="92" t="str">
        <f>IFERROR(VLOOKUP($AT149,RESOURCES!$C:$L,MATCH('PRODUCTIVITY RAW'!AV$2,RESOURCES!$C$3:$L$3,0),FALSE),"-")</f>
        <v>-</v>
      </c>
      <c r="AW149" s="92" t="str">
        <f>IFERROR(VLOOKUP($AT149,RESOURCES!$C:$L,MATCH('PRODUCTIVITY RAW'!AW$2,RESOURCES!$C$3:$L$3,0),FALSE),"-")</f>
        <v>-</v>
      </c>
      <c r="AX149" s="92" t="str">
        <f>IFERROR(VLOOKUP($AT149,RESOURCES!$C:$L,MATCH('PRODUCTIVITY RAW'!AX$2,RESOURCES!$C$3:$L$3,0),FALSE),"-")</f>
        <v>-</v>
      </c>
      <c r="AY149" s="92" t="str">
        <f>IFERROR(VLOOKUP($AT149,RESOURCES!$C:$L,MATCH('PRODUCTIVITY RAW'!AY$2,RESOURCES!$C$3:$L$3,0),FALSE),"-")</f>
        <v>-</v>
      </c>
      <c r="AZ149" s="92" t="str">
        <f>IFERROR(VLOOKUP($AT149,RESOURCES!$C:$L,MATCH('PRODUCTIVITY RAW'!AZ$2,RESOURCES!$C$3:$L$3,0),FALSE),"-")</f>
        <v>-</v>
      </c>
      <c r="BA149" s="20"/>
    </row>
    <row r="150" spans="1:53">
      <c r="A150" s="664">
        <f t="shared" si="28"/>
        <v>148</v>
      </c>
      <c r="B150" s="466"/>
      <c r="C150" s="92" t="str">
        <f>IFERROR(VLOOKUP($B150,RESOURCES!$C:$L,MATCH('PRODUCTIVITY RAW'!C$2,RESOURCES!$C$3:$L$3,0),FALSE),"-")</f>
        <v>-</v>
      </c>
      <c r="D150" s="92" t="str">
        <f>IFERROR(VLOOKUP($B150,RESOURCES!$C:$L,MATCH('PRODUCTIVITY RAW'!D$2,RESOURCES!$C$3:$L$3,0),FALSE),"-")</f>
        <v>-</v>
      </c>
      <c r="E150" s="92" t="str">
        <f>IFERROR(VLOOKUP($B150,RESOURCES!$C:$L,MATCH('PRODUCTIVITY RAW'!E$2,RESOURCES!$C$3:$L$3,0),FALSE),"-")</f>
        <v>-</v>
      </c>
      <c r="F150" s="92" t="str">
        <f>IFERROR(VLOOKUP($B150,RESOURCES!$C:$L,MATCH('PRODUCTIVITY RAW'!F$2,RESOURCES!$C$3:$L$3,0),FALSE),"-")</f>
        <v>-</v>
      </c>
      <c r="G150" s="92" t="str">
        <f>IFERROR(VLOOKUP($B150,RESOURCES!$C:$L,MATCH('PRODUCTIVITY RAW'!G$2,RESOURCES!$C$3:$L$3,0),FALSE),"-")</f>
        <v>-</v>
      </c>
      <c r="H150" s="92" t="str">
        <f>IFERROR(VLOOKUP($B150,RESOURCES!$C:$L,MATCH('PRODUCTIVITY RAW'!H$2,RESOURCES!$C$3:$L$3,0),FALSE),"-")</f>
        <v>-</v>
      </c>
      <c r="I150" s="8"/>
      <c r="J150" s="8"/>
      <c r="K150" s="9" t="str">
        <f>IFERROR(VLOOKUP($B150,RESOURCES!$C:$L,MATCH('PRODUCTIVITY RAW'!K$2,RESOURCES!$C$3:$L$3,0),FALSE),"-")</f>
        <v>-</v>
      </c>
      <c r="L150" s="21" t="str">
        <f t="shared" si="20"/>
        <v>-</v>
      </c>
      <c r="M150" s="21" t="str">
        <f t="shared" si="21"/>
        <v>-</v>
      </c>
      <c r="N150" s="21" t="str">
        <f t="shared" si="23"/>
        <v>-</v>
      </c>
      <c r="O150" s="86" t="str">
        <f t="shared" si="24"/>
        <v>-</v>
      </c>
      <c r="P150" s="86" t="str">
        <f>IFERROR(VLOOKUP($D150,KPI!$V:$AN,2,FALSE),"-")</f>
        <v>-</v>
      </c>
      <c r="Q150" s="32" t="str">
        <f t="shared" si="25"/>
        <v>-</v>
      </c>
      <c r="R150" s="185" t="str">
        <f t="shared" si="26"/>
        <v>-</v>
      </c>
      <c r="S150" s="89" t="str">
        <f t="shared" si="27"/>
        <v>-</v>
      </c>
      <c r="AG150" s="664"/>
      <c r="AH150" s="664"/>
      <c r="AI150" s="664"/>
      <c r="AJ150" s="92"/>
      <c r="AK150" s="92"/>
      <c r="AL150" s="92"/>
      <c r="AM150" s="92"/>
      <c r="AN150" s="92"/>
      <c r="AO150" s="157"/>
      <c r="AP150" s="157"/>
      <c r="AQ150" s="571"/>
      <c r="AS150" s="664">
        <f t="shared" si="29"/>
        <v>148</v>
      </c>
      <c r="AT150" s="664"/>
      <c r="AU150" s="664"/>
      <c r="AV150" s="92" t="str">
        <f>IFERROR(VLOOKUP($AT150,RESOURCES!$C:$L,MATCH('PRODUCTIVITY RAW'!AV$2,RESOURCES!$C$3:$L$3,0),FALSE),"-")</f>
        <v>-</v>
      </c>
      <c r="AW150" s="92" t="str">
        <f>IFERROR(VLOOKUP($AT150,RESOURCES!$C:$L,MATCH('PRODUCTIVITY RAW'!AW$2,RESOURCES!$C$3:$L$3,0),FALSE),"-")</f>
        <v>-</v>
      </c>
      <c r="AX150" s="92" t="str">
        <f>IFERROR(VLOOKUP($AT150,RESOURCES!$C:$L,MATCH('PRODUCTIVITY RAW'!AX$2,RESOURCES!$C$3:$L$3,0),FALSE),"-")</f>
        <v>-</v>
      </c>
      <c r="AY150" s="92" t="str">
        <f>IFERROR(VLOOKUP($AT150,RESOURCES!$C:$L,MATCH('PRODUCTIVITY RAW'!AY$2,RESOURCES!$C$3:$L$3,0),FALSE),"-")</f>
        <v>-</v>
      </c>
      <c r="AZ150" s="92" t="str">
        <f>IFERROR(VLOOKUP($AT150,RESOURCES!$C:$L,MATCH('PRODUCTIVITY RAW'!AZ$2,RESOURCES!$C$3:$L$3,0),FALSE),"-")</f>
        <v>-</v>
      </c>
      <c r="BA150" s="20"/>
    </row>
    <row r="151" spans="1:53">
      <c r="A151" s="664">
        <f t="shared" si="28"/>
        <v>149</v>
      </c>
      <c r="B151" s="466"/>
      <c r="C151" s="92" t="str">
        <f>IFERROR(VLOOKUP($B151,RESOURCES!$C:$L,MATCH('PRODUCTIVITY RAW'!C$2,RESOURCES!$C$3:$L$3,0),FALSE),"-")</f>
        <v>-</v>
      </c>
      <c r="D151" s="92" t="str">
        <f>IFERROR(VLOOKUP($B151,RESOURCES!$C:$L,MATCH('PRODUCTIVITY RAW'!D$2,RESOURCES!$C$3:$L$3,0),FALSE),"-")</f>
        <v>-</v>
      </c>
      <c r="E151" s="92" t="str">
        <f>IFERROR(VLOOKUP($B151,RESOURCES!$C:$L,MATCH('PRODUCTIVITY RAW'!E$2,RESOURCES!$C$3:$L$3,0),FALSE),"-")</f>
        <v>-</v>
      </c>
      <c r="F151" s="92" t="str">
        <f>IFERROR(VLOOKUP($B151,RESOURCES!$C:$L,MATCH('PRODUCTIVITY RAW'!F$2,RESOURCES!$C$3:$L$3,0),FALSE),"-")</f>
        <v>-</v>
      </c>
      <c r="G151" s="92" t="str">
        <f>IFERROR(VLOOKUP($B151,RESOURCES!$C:$L,MATCH('PRODUCTIVITY RAW'!G$2,RESOURCES!$C$3:$L$3,0),FALSE),"-")</f>
        <v>-</v>
      </c>
      <c r="H151" s="92" t="str">
        <f>IFERROR(VLOOKUP($B151,RESOURCES!$C:$L,MATCH('PRODUCTIVITY RAW'!H$2,RESOURCES!$C$3:$L$3,0),FALSE),"-")</f>
        <v>-</v>
      </c>
      <c r="I151" s="8"/>
      <c r="J151" s="8"/>
      <c r="K151" s="9" t="str">
        <f>IFERROR(VLOOKUP($B151,RESOURCES!$C:$L,MATCH('PRODUCTIVITY RAW'!K$2,RESOURCES!$C$3:$L$3,0),FALSE),"-")</f>
        <v>-</v>
      </c>
      <c r="L151" s="21" t="str">
        <f t="shared" si="20"/>
        <v>-</v>
      </c>
      <c r="M151" s="21" t="str">
        <f t="shared" si="21"/>
        <v>-</v>
      </c>
      <c r="N151" s="21" t="str">
        <f t="shared" si="23"/>
        <v>-</v>
      </c>
      <c r="O151" s="86" t="str">
        <f t="shared" si="24"/>
        <v>-</v>
      </c>
      <c r="P151" s="86" t="str">
        <f>IFERROR(VLOOKUP($D151,KPI!$V:$AN,2,FALSE),"-")</f>
        <v>-</v>
      </c>
      <c r="Q151" s="32" t="str">
        <f t="shared" si="25"/>
        <v>-</v>
      </c>
      <c r="R151" s="185" t="str">
        <f t="shared" si="26"/>
        <v>-</v>
      </c>
      <c r="S151" s="89" t="str">
        <f t="shared" si="27"/>
        <v>-</v>
      </c>
      <c r="AG151" s="664"/>
      <c r="AH151" s="664"/>
      <c r="AI151" s="664"/>
      <c r="AJ151" s="92"/>
      <c r="AK151" s="92"/>
      <c r="AL151" s="92"/>
      <c r="AM151" s="92"/>
      <c r="AN151" s="92"/>
      <c r="AO151" s="157"/>
      <c r="AP151" s="157"/>
      <c r="AQ151" s="571"/>
      <c r="AS151" s="664">
        <f t="shared" si="29"/>
        <v>149</v>
      </c>
      <c r="AT151" s="664"/>
      <c r="AU151" s="664"/>
      <c r="AV151" s="92" t="str">
        <f>IFERROR(VLOOKUP($AT151,RESOURCES!$C:$L,MATCH('PRODUCTIVITY RAW'!AV$2,RESOURCES!$C$3:$L$3,0),FALSE),"-")</f>
        <v>-</v>
      </c>
      <c r="AW151" s="92" t="str">
        <f>IFERROR(VLOOKUP($AT151,RESOURCES!$C:$L,MATCH('PRODUCTIVITY RAW'!AW$2,RESOURCES!$C$3:$L$3,0),FALSE),"-")</f>
        <v>-</v>
      </c>
      <c r="AX151" s="92" t="str">
        <f>IFERROR(VLOOKUP($AT151,RESOURCES!$C:$L,MATCH('PRODUCTIVITY RAW'!AX$2,RESOURCES!$C$3:$L$3,0),FALSE),"-")</f>
        <v>-</v>
      </c>
      <c r="AY151" s="92" t="str">
        <f>IFERROR(VLOOKUP($AT151,RESOURCES!$C:$L,MATCH('PRODUCTIVITY RAW'!AY$2,RESOURCES!$C$3:$L$3,0),FALSE),"-")</f>
        <v>-</v>
      </c>
      <c r="AZ151" s="92" t="str">
        <f>IFERROR(VLOOKUP($AT151,RESOURCES!$C:$L,MATCH('PRODUCTIVITY RAW'!AZ$2,RESOURCES!$C$3:$L$3,0),FALSE),"-")</f>
        <v>-</v>
      </c>
      <c r="BA151" s="20"/>
    </row>
    <row r="152" spans="1:53">
      <c r="A152" s="664">
        <f t="shared" si="28"/>
        <v>150</v>
      </c>
      <c r="B152" s="466"/>
      <c r="C152" s="92" t="str">
        <f>IFERROR(VLOOKUP($B152,RESOURCES!$C:$L,MATCH('PRODUCTIVITY RAW'!C$2,RESOURCES!$C$3:$L$3,0),FALSE),"-")</f>
        <v>-</v>
      </c>
      <c r="D152" s="92" t="str">
        <f>IFERROR(VLOOKUP($B152,RESOURCES!$C:$L,MATCH('PRODUCTIVITY RAW'!D$2,RESOURCES!$C$3:$L$3,0),FALSE),"-")</f>
        <v>-</v>
      </c>
      <c r="E152" s="92" t="str">
        <f>IFERROR(VLOOKUP($B152,RESOURCES!$C:$L,MATCH('PRODUCTIVITY RAW'!E$2,RESOURCES!$C$3:$L$3,0),FALSE),"-")</f>
        <v>-</v>
      </c>
      <c r="F152" s="92" t="str">
        <f>IFERROR(VLOOKUP($B152,RESOURCES!$C:$L,MATCH('PRODUCTIVITY RAW'!F$2,RESOURCES!$C$3:$L$3,0),FALSE),"-")</f>
        <v>-</v>
      </c>
      <c r="G152" s="92" t="str">
        <f>IFERROR(VLOOKUP($B152,RESOURCES!$C:$L,MATCH('PRODUCTIVITY RAW'!G$2,RESOURCES!$C$3:$L$3,0),FALSE),"-")</f>
        <v>-</v>
      </c>
      <c r="H152" s="92" t="str">
        <f>IFERROR(VLOOKUP($B152,RESOURCES!$C:$L,MATCH('PRODUCTIVITY RAW'!H$2,RESOURCES!$C$3:$L$3,0),FALSE),"-")</f>
        <v>-</v>
      </c>
      <c r="I152" s="8"/>
      <c r="J152" s="8"/>
      <c r="K152" s="9" t="str">
        <f>IFERROR(VLOOKUP($B152,RESOURCES!$C:$L,MATCH('PRODUCTIVITY RAW'!K$2,RESOURCES!$C$3:$L$3,0),FALSE),"-")</f>
        <v>-</v>
      </c>
      <c r="L152" s="21" t="str">
        <f t="shared" si="20"/>
        <v>-</v>
      </c>
      <c r="M152" s="21" t="str">
        <f t="shared" si="21"/>
        <v>-</v>
      </c>
      <c r="N152" s="21" t="str">
        <f t="shared" si="23"/>
        <v>-</v>
      </c>
      <c r="O152" s="86" t="str">
        <f t="shared" si="24"/>
        <v>-</v>
      </c>
      <c r="P152" s="86" t="str">
        <f>IFERROR(VLOOKUP($D152,KPI!$V:$AN,2,FALSE),"-")</f>
        <v>-</v>
      </c>
      <c r="Q152" s="32" t="str">
        <f t="shared" si="25"/>
        <v>-</v>
      </c>
      <c r="R152" s="185" t="str">
        <f t="shared" si="26"/>
        <v>-</v>
      </c>
      <c r="S152" s="89" t="str">
        <f t="shared" si="27"/>
        <v>-</v>
      </c>
      <c r="AG152" s="664"/>
      <c r="AH152" s="664"/>
      <c r="AI152" s="664"/>
      <c r="AJ152" s="92"/>
      <c r="AK152" s="92"/>
      <c r="AL152" s="92"/>
      <c r="AM152" s="92"/>
      <c r="AN152" s="92"/>
      <c r="AO152" s="157"/>
      <c r="AP152" s="157"/>
      <c r="AQ152" s="571"/>
      <c r="AS152" s="664">
        <f t="shared" si="29"/>
        <v>150</v>
      </c>
      <c r="AT152" s="664"/>
      <c r="AU152" s="664"/>
      <c r="AV152" s="92" t="str">
        <f>IFERROR(VLOOKUP($AT152,RESOURCES!$C:$L,MATCH('PRODUCTIVITY RAW'!AV$2,RESOURCES!$C$3:$L$3,0),FALSE),"-")</f>
        <v>-</v>
      </c>
      <c r="AW152" s="92" t="str">
        <f>IFERROR(VLOOKUP($AT152,RESOURCES!$C:$L,MATCH('PRODUCTIVITY RAW'!AW$2,RESOURCES!$C$3:$L$3,0),FALSE),"-")</f>
        <v>-</v>
      </c>
      <c r="AX152" s="92" t="str">
        <f>IFERROR(VLOOKUP($AT152,RESOURCES!$C:$L,MATCH('PRODUCTIVITY RAW'!AX$2,RESOURCES!$C$3:$L$3,0),FALSE),"-")</f>
        <v>-</v>
      </c>
      <c r="AY152" s="92" t="str">
        <f>IFERROR(VLOOKUP($AT152,RESOURCES!$C:$L,MATCH('PRODUCTIVITY RAW'!AY$2,RESOURCES!$C$3:$L$3,0),FALSE),"-")</f>
        <v>-</v>
      </c>
      <c r="AZ152" s="92" t="str">
        <f>IFERROR(VLOOKUP($AT152,RESOURCES!$C:$L,MATCH('PRODUCTIVITY RAW'!AZ$2,RESOURCES!$C$3:$L$3,0),FALSE),"-")</f>
        <v>-</v>
      </c>
      <c r="BA152" s="20"/>
    </row>
    <row r="153" spans="1:53">
      <c r="A153" s="664">
        <f t="shared" si="28"/>
        <v>151</v>
      </c>
      <c r="B153" s="466"/>
      <c r="C153" s="92" t="str">
        <f>IFERROR(VLOOKUP($B153,RESOURCES!$C:$L,MATCH('PRODUCTIVITY RAW'!C$2,RESOURCES!$C$3:$L$3,0),FALSE),"-")</f>
        <v>-</v>
      </c>
      <c r="D153" s="92" t="str">
        <f>IFERROR(VLOOKUP($B153,RESOURCES!$C:$L,MATCH('PRODUCTIVITY RAW'!D$2,RESOURCES!$C$3:$L$3,0),FALSE),"-")</f>
        <v>-</v>
      </c>
      <c r="E153" s="92" t="str">
        <f>IFERROR(VLOOKUP($B153,RESOURCES!$C:$L,MATCH('PRODUCTIVITY RAW'!E$2,RESOURCES!$C$3:$L$3,0),FALSE),"-")</f>
        <v>-</v>
      </c>
      <c r="F153" s="92" t="str">
        <f>IFERROR(VLOOKUP($B153,RESOURCES!$C:$L,MATCH('PRODUCTIVITY RAW'!F$2,RESOURCES!$C$3:$L$3,0),FALSE),"-")</f>
        <v>-</v>
      </c>
      <c r="G153" s="92" t="str">
        <f>IFERROR(VLOOKUP($B153,RESOURCES!$C:$L,MATCH('PRODUCTIVITY RAW'!G$2,RESOURCES!$C$3:$L$3,0),FALSE),"-")</f>
        <v>-</v>
      </c>
      <c r="H153" s="92" t="str">
        <f>IFERROR(VLOOKUP($B153,RESOURCES!$C:$L,MATCH('PRODUCTIVITY RAW'!H$2,RESOURCES!$C$3:$L$3,0),FALSE),"-")</f>
        <v>-</v>
      </c>
      <c r="I153" s="8"/>
      <c r="J153" s="8"/>
      <c r="K153" s="9" t="str">
        <f>IFERROR(VLOOKUP($B153,RESOURCES!$C:$L,MATCH('PRODUCTIVITY RAW'!K$2,RESOURCES!$C$3:$L$3,0),FALSE),"-")</f>
        <v>-</v>
      </c>
      <c r="L153" s="21" t="str">
        <f t="shared" si="20"/>
        <v>-</v>
      </c>
      <c r="M153" s="21" t="str">
        <f t="shared" si="21"/>
        <v>-</v>
      </c>
      <c r="N153" s="21" t="str">
        <f t="shared" si="23"/>
        <v>-</v>
      </c>
      <c r="O153" s="86" t="str">
        <f t="shared" si="24"/>
        <v>-</v>
      </c>
      <c r="P153" s="86" t="str">
        <f>IFERROR(VLOOKUP($D153,KPI!$V:$AN,2,FALSE),"-")</f>
        <v>-</v>
      </c>
      <c r="Q153" s="32" t="str">
        <f t="shared" si="25"/>
        <v>-</v>
      </c>
      <c r="R153" s="185" t="str">
        <f t="shared" si="26"/>
        <v>-</v>
      </c>
      <c r="S153" s="89" t="str">
        <f t="shared" si="27"/>
        <v>-</v>
      </c>
      <c r="AG153" s="664"/>
      <c r="AH153" s="664"/>
      <c r="AI153" s="664"/>
      <c r="AJ153" s="92"/>
      <c r="AK153" s="92"/>
      <c r="AL153" s="92"/>
      <c r="AM153" s="92"/>
      <c r="AN153" s="92"/>
      <c r="AO153" s="157"/>
      <c r="AP153" s="157"/>
      <c r="AQ153" s="571"/>
      <c r="AS153" s="664">
        <f t="shared" si="29"/>
        <v>151</v>
      </c>
      <c r="AT153" s="664"/>
      <c r="AU153" s="664"/>
      <c r="AV153" s="92" t="str">
        <f>IFERROR(VLOOKUP($AT153,RESOURCES!$C:$L,MATCH('PRODUCTIVITY RAW'!AV$2,RESOURCES!$C$3:$L$3,0),FALSE),"-")</f>
        <v>-</v>
      </c>
      <c r="AW153" s="92" t="str">
        <f>IFERROR(VLOOKUP($AT153,RESOURCES!$C:$L,MATCH('PRODUCTIVITY RAW'!AW$2,RESOURCES!$C$3:$L$3,0),FALSE),"-")</f>
        <v>-</v>
      </c>
      <c r="AX153" s="92" t="str">
        <f>IFERROR(VLOOKUP($AT153,RESOURCES!$C:$L,MATCH('PRODUCTIVITY RAW'!AX$2,RESOURCES!$C$3:$L$3,0),FALSE),"-")</f>
        <v>-</v>
      </c>
      <c r="AY153" s="92" t="str">
        <f>IFERROR(VLOOKUP($AT153,RESOURCES!$C:$L,MATCH('PRODUCTIVITY RAW'!AY$2,RESOURCES!$C$3:$L$3,0),FALSE),"-")</f>
        <v>-</v>
      </c>
      <c r="AZ153" s="92" t="str">
        <f>IFERROR(VLOOKUP($AT153,RESOURCES!$C:$L,MATCH('PRODUCTIVITY RAW'!AZ$2,RESOURCES!$C$3:$L$3,0),FALSE),"-")</f>
        <v>-</v>
      </c>
      <c r="BA153" s="20"/>
    </row>
    <row r="154" spans="1:53">
      <c r="A154" s="664">
        <f t="shared" si="28"/>
        <v>152</v>
      </c>
      <c r="B154" s="466"/>
      <c r="C154" s="92" t="str">
        <f>IFERROR(VLOOKUP($B154,RESOURCES!$C:$L,MATCH('PRODUCTIVITY RAW'!C$2,RESOURCES!$C$3:$L$3,0),FALSE),"-")</f>
        <v>-</v>
      </c>
      <c r="D154" s="92" t="str">
        <f>IFERROR(VLOOKUP($B154,RESOURCES!$C:$L,MATCH('PRODUCTIVITY RAW'!D$2,RESOURCES!$C$3:$L$3,0),FALSE),"-")</f>
        <v>-</v>
      </c>
      <c r="E154" s="92" t="str">
        <f>IFERROR(VLOOKUP($B154,RESOURCES!$C:$L,MATCH('PRODUCTIVITY RAW'!E$2,RESOURCES!$C$3:$L$3,0),FALSE),"-")</f>
        <v>-</v>
      </c>
      <c r="F154" s="92" t="str">
        <f>IFERROR(VLOOKUP($B154,RESOURCES!$C:$L,MATCH('PRODUCTIVITY RAW'!F$2,RESOURCES!$C$3:$L$3,0),FALSE),"-")</f>
        <v>-</v>
      </c>
      <c r="G154" s="92" t="str">
        <f>IFERROR(VLOOKUP($B154,RESOURCES!$C:$L,MATCH('PRODUCTIVITY RAW'!G$2,RESOURCES!$C$3:$L$3,0),FALSE),"-")</f>
        <v>-</v>
      </c>
      <c r="H154" s="92" t="str">
        <f>IFERROR(VLOOKUP($B154,RESOURCES!$C:$L,MATCH('PRODUCTIVITY RAW'!H$2,RESOURCES!$C$3:$L$3,0),FALSE),"-")</f>
        <v>-</v>
      </c>
      <c r="I154" s="8"/>
      <c r="J154" s="8"/>
      <c r="K154" s="9" t="str">
        <f>IFERROR(VLOOKUP($B154,RESOURCES!$C:$L,MATCH('PRODUCTIVITY RAW'!K$2,RESOURCES!$C$3:$L$3,0),FALSE),"-")</f>
        <v>-</v>
      </c>
      <c r="L154" s="21" t="str">
        <f t="shared" si="20"/>
        <v>-</v>
      </c>
      <c r="M154" s="21" t="str">
        <f t="shared" si="21"/>
        <v>-</v>
      </c>
      <c r="N154" s="21" t="str">
        <f t="shared" si="23"/>
        <v>-</v>
      </c>
      <c r="O154" s="86" t="str">
        <f t="shared" si="24"/>
        <v>-</v>
      </c>
      <c r="P154" s="86" t="str">
        <f>IFERROR(VLOOKUP($D154,KPI!$V:$AN,2,FALSE),"-")</f>
        <v>-</v>
      </c>
      <c r="Q154" s="32" t="str">
        <f t="shared" si="25"/>
        <v>-</v>
      </c>
      <c r="R154" s="185" t="str">
        <f t="shared" si="26"/>
        <v>-</v>
      </c>
      <c r="S154" s="89" t="str">
        <f t="shared" si="27"/>
        <v>-</v>
      </c>
      <c r="AG154" s="664"/>
      <c r="AH154" s="664"/>
      <c r="AI154" s="664"/>
      <c r="AJ154" s="92"/>
      <c r="AK154" s="92"/>
      <c r="AL154" s="92"/>
      <c r="AM154" s="92"/>
      <c r="AN154" s="92"/>
      <c r="AO154" s="157"/>
      <c r="AP154" s="157"/>
      <c r="AQ154" s="571"/>
      <c r="AS154" s="664">
        <f t="shared" si="29"/>
        <v>152</v>
      </c>
      <c r="AT154" s="664"/>
      <c r="AU154" s="664"/>
      <c r="AV154" s="92" t="str">
        <f>IFERROR(VLOOKUP($AT154,RESOURCES!$C:$L,MATCH('PRODUCTIVITY RAW'!AV$2,RESOURCES!$C$3:$L$3,0),FALSE),"-")</f>
        <v>-</v>
      </c>
      <c r="AW154" s="92" t="str">
        <f>IFERROR(VLOOKUP($AT154,RESOURCES!$C:$L,MATCH('PRODUCTIVITY RAW'!AW$2,RESOURCES!$C$3:$L$3,0),FALSE),"-")</f>
        <v>-</v>
      </c>
      <c r="AX154" s="92" t="str">
        <f>IFERROR(VLOOKUP($AT154,RESOURCES!$C:$L,MATCH('PRODUCTIVITY RAW'!AX$2,RESOURCES!$C$3:$L$3,0),FALSE),"-")</f>
        <v>-</v>
      </c>
      <c r="AY154" s="92" t="str">
        <f>IFERROR(VLOOKUP($AT154,RESOURCES!$C:$L,MATCH('PRODUCTIVITY RAW'!AY$2,RESOURCES!$C$3:$L$3,0),FALSE),"-")</f>
        <v>-</v>
      </c>
      <c r="AZ154" s="92" t="str">
        <f>IFERROR(VLOOKUP($AT154,RESOURCES!$C:$L,MATCH('PRODUCTIVITY RAW'!AZ$2,RESOURCES!$C$3:$L$3,0),FALSE),"-")</f>
        <v>-</v>
      </c>
      <c r="BA154" s="20"/>
    </row>
    <row r="155" spans="1:53">
      <c r="A155" s="664">
        <f t="shared" si="28"/>
        <v>153</v>
      </c>
      <c r="B155" s="466"/>
      <c r="C155" s="92" t="str">
        <f>IFERROR(VLOOKUP($B155,RESOURCES!$C:$L,MATCH('PRODUCTIVITY RAW'!C$2,RESOURCES!$C$3:$L$3,0),FALSE),"-")</f>
        <v>-</v>
      </c>
      <c r="D155" s="92" t="str">
        <f>IFERROR(VLOOKUP($B155,RESOURCES!$C:$L,MATCH('PRODUCTIVITY RAW'!D$2,RESOURCES!$C$3:$L$3,0),FALSE),"-")</f>
        <v>-</v>
      </c>
      <c r="E155" s="92" t="str">
        <f>IFERROR(VLOOKUP($B155,RESOURCES!$C:$L,MATCH('PRODUCTIVITY RAW'!E$2,RESOURCES!$C$3:$L$3,0),FALSE),"-")</f>
        <v>-</v>
      </c>
      <c r="F155" s="92" t="str">
        <f>IFERROR(VLOOKUP($B155,RESOURCES!$C:$L,MATCH('PRODUCTIVITY RAW'!F$2,RESOURCES!$C$3:$L$3,0),FALSE),"-")</f>
        <v>-</v>
      </c>
      <c r="G155" s="92" t="str">
        <f>IFERROR(VLOOKUP($B155,RESOURCES!$C:$L,MATCH('PRODUCTIVITY RAW'!G$2,RESOURCES!$C$3:$L$3,0),FALSE),"-")</f>
        <v>-</v>
      </c>
      <c r="H155" s="92" t="str">
        <f>IFERROR(VLOOKUP($B155,RESOURCES!$C:$L,MATCH('PRODUCTIVITY RAW'!H$2,RESOURCES!$C$3:$L$3,0),FALSE),"-")</f>
        <v>-</v>
      </c>
      <c r="I155" s="8"/>
      <c r="J155" s="8"/>
      <c r="K155" s="9" t="str">
        <f>IFERROR(VLOOKUP($B155,RESOURCES!$C:$L,MATCH('PRODUCTIVITY RAW'!K$2,RESOURCES!$C$3:$L$3,0),FALSE),"-")</f>
        <v>-</v>
      </c>
      <c r="L155" s="21" t="str">
        <f t="shared" si="20"/>
        <v>-</v>
      </c>
      <c r="M155" s="21" t="str">
        <f t="shared" si="21"/>
        <v>-</v>
      </c>
      <c r="N155" s="21" t="str">
        <f t="shared" si="23"/>
        <v>-</v>
      </c>
      <c r="O155" s="86" t="str">
        <f t="shared" si="24"/>
        <v>-</v>
      </c>
      <c r="P155" s="86" t="str">
        <f>IFERROR(VLOOKUP($D155,KPI!$V:$AN,2,FALSE),"-")</f>
        <v>-</v>
      </c>
      <c r="Q155" s="32" t="str">
        <f t="shared" si="25"/>
        <v>-</v>
      </c>
      <c r="R155" s="185" t="str">
        <f t="shared" si="26"/>
        <v>-</v>
      </c>
      <c r="S155" s="89" t="str">
        <f t="shared" si="27"/>
        <v>-</v>
      </c>
      <c r="AG155" s="664"/>
      <c r="AH155" s="664"/>
      <c r="AI155" s="664"/>
      <c r="AJ155" s="92"/>
      <c r="AK155" s="92"/>
      <c r="AL155" s="92"/>
      <c r="AM155" s="92"/>
      <c r="AN155" s="92"/>
      <c r="AO155" s="157"/>
      <c r="AP155" s="157"/>
      <c r="AQ155" s="571"/>
      <c r="AS155" s="664">
        <f t="shared" si="29"/>
        <v>153</v>
      </c>
      <c r="AT155" s="664"/>
      <c r="AU155" s="664"/>
      <c r="AV155" s="92" t="str">
        <f>IFERROR(VLOOKUP($AT155,RESOURCES!$C:$L,MATCH('PRODUCTIVITY RAW'!AV$2,RESOURCES!$C$3:$L$3,0),FALSE),"-")</f>
        <v>-</v>
      </c>
      <c r="AW155" s="92" t="str">
        <f>IFERROR(VLOOKUP($AT155,RESOURCES!$C:$L,MATCH('PRODUCTIVITY RAW'!AW$2,RESOURCES!$C$3:$L$3,0),FALSE),"-")</f>
        <v>-</v>
      </c>
      <c r="AX155" s="92" t="str">
        <f>IFERROR(VLOOKUP($AT155,RESOURCES!$C:$L,MATCH('PRODUCTIVITY RAW'!AX$2,RESOURCES!$C$3:$L$3,0),FALSE),"-")</f>
        <v>-</v>
      </c>
      <c r="AY155" s="92" t="str">
        <f>IFERROR(VLOOKUP($AT155,RESOURCES!$C:$L,MATCH('PRODUCTIVITY RAW'!AY$2,RESOURCES!$C$3:$L$3,0),FALSE),"-")</f>
        <v>-</v>
      </c>
      <c r="AZ155" s="92" t="str">
        <f>IFERROR(VLOOKUP($AT155,RESOURCES!$C:$L,MATCH('PRODUCTIVITY RAW'!AZ$2,RESOURCES!$C$3:$L$3,0),FALSE),"-")</f>
        <v>-</v>
      </c>
      <c r="BA155" s="20"/>
    </row>
    <row r="156" spans="1:53">
      <c r="A156" s="664">
        <f t="shared" si="28"/>
        <v>154</v>
      </c>
      <c r="B156" s="466"/>
      <c r="C156" s="92" t="str">
        <f>IFERROR(VLOOKUP($B156,RESOURCES!$C:$L,MATCH('PRODUCTIVITY RAW'!C$2,RESOURCES!$C$3:$L$3,0),FALSE),"-")</f>
        <v>-</v>
      </c>
      <c r="D156" s="92" t="str">
        <f>IFERROR(VLOOKUP($B156,RESOURCES!$C:$L,MATCH('PRODUCTIVITY RAW'!D$2,RESOURCES!$C$3:$L$3,0),FALSE),"-")</f>
        <v>-</v>
      </c>
      <c r="E156" s="92" t="str">
        <f>IFERROR(VLOOKUP($B156,RESOURCES!$C:$L,MATCH('PRODUCTIVITY RAW'!E$2,RESOURCES!$C$3:$L$3,0),FALSE),"-")</f>
        <v>-</v>
      </c>
      <c r="F156" s="92" t="str">
        <f>IFERROR(VLOOKUP($B156,RESOURCES!$C:$L,MATCH('PRODUCTIVITY RAW'!F$2,RESOURCES!$C$3:$L$3,0),FALSE),"-")</f>
        <v>-</v>
      </c>
      <c r="G156" s="92" t="str">
        <f>IFERROR(VLOOKUP($B156,RESOURCES!$C:$L,MATCH('PRODUCTIVITY RAW'!G$2,RESOURCES!$C$3:$L$3,0),FALSE),"-")</f>
        <v>-</v>
      </c>
      <c r="H156" s="92" t="str">
        <f>IFERROR(VLOOKUP($B156,RESOURCES!$C:$L,MATCH('PRODUCTIVITY RAW'!H$2,RESOURCES!$C$3:$L$3,0),FALSE),"-")</f>
        <v>-</v>
      </c>
      <c r="I156" s="8"/>
      <c r="J156" s="8"/>
      <c r="K156" s="9" t="str">
        <f>IFERROR(VLOOKUP($B156,RESOURCES!$C:$L,MATCH('PRODUCTIVITY RAW'!K$2,RESOURCES!$C$3:$L$3,0),FALSE),"-")</f>
        <v>-</v>
      </c>
      <c r="L156" s="21" t="str">
        <f t="shared" si="20"/>
        <v>-</v>
      </c>
      <c r="M156" s="21" t="str">
        <f t="shared" si="21"/>
        <v>-</v>
      </c>
      <c r="N156" s="21" t="str">
        <f t="shared" si="23"/>
        <v>-</v>
      </c>
      <c r="O156" s="86" t="str">
        <f t="shared" si="24"/>
        <v>-</v>
      </c>
      <c r="P156" s="86" t="str">
        <f>IFERROR(VLOOKUP($D156,KPI!$V:$AN,2,FALSE),"-")</f>
        <v>-</v>
      </c>
      <c r="Q156" s="32" t="str">
        <f t="shared" si="25"/>
        <v>-</v>
      </c>
      <c r="R156" s="185" t="str">
        <f t="shared" si="26"/>
        <v>-</v>
      </c>
      <c r="S156" s="89" t="str">
        <f t="shared" si="27"/>
        <v>-</v>
      </c>
      <c r="AG156" s="664"/>
      <c r="AH156" s="664"/>
      <c r="AI156" s="664"/>
      <c r="AJ156" s="92"/>
      <c r="AK156" s="92"/>
      <c r="AL156" s="92"/>
      <c r="AM156" s="92"/>
      <c r="AN156" s="92"/>
      <c r="AO156" s="157"/>
      <c r="AP156" s="157"/>
      <c r="AQ156" s="571"/>
      <c r="AS156" s="664">
        <f t="shared" si="29"/>
        <v>154</v>
      </c>
      <c r="AT156" s="664"/>
      <c r="AU156" s="664"/>
      <c r="AV156" s="92" t="str">
        <f>IFERROR(VLOOKUP($AT156,RESOURCES!$C:$L,MATCH('PRODUCTIVITY RAW'!AV$2,RESOURCES!$C$3:$L$3,0),FALSE),"-")</f>
        <v>-</v>
      </c>
      <c r="AW156" s="92" t="str">
        <f>IFERROR(VLOOKUP($AT156,RESOURCES!$C:$L,MATCH('PRODUCTIVITY RAW'!AW$2,RESOURCES!$C$3:$L$3,0),FALSE),"-")</f>
        <v>-</v>
      </c>
      <c r="AX156" s="92" t="str">
        <f>IFERROR(VLOOKUP($AT156,RESOURCES!$C:$L,MATCH('PRODUCTIVITY RAW'!AX$2,RESOURCES!$C$3:$L$3,0),FALSE),"-")</f>
        <v>-</v>
      </c>
      <c r="AY156" s="92" t="str">
        <f>IFERROR(VLOOKUP($AT156,RESOURCES!$C:$L,MATCH('PRODUCTIVITY RAW'!AY$2,RESOURCES!$C$3:$L$3,0),FALSE),"-")</f>
        <v>-</v>
      </c>
      <c r="AZ156" s="92" t="str">
        <f>IFERROR(VLOOKUP($AT156,RESOURCES!$C:$L,MATCH('PRODUCTIVITY RAW'!AZ$2,RESOURCES!$C$3:$L$3,0),FALSE),"-")</f>
        <v>-</v>
      </c>
      <c r="BA156" s="20"/>
    </row>
    <row r="157" spans="1:53">
      <c r="A157" s="664">
        <f t="shared" si="28"/>
        <v>155</v>
      </c>
      <c r="B157" s="466"/>
      <c r="C157" s="92" t="str">
        <f>IFERROR(VLOOKUP($B157,RESOURCES!$C:$L,MATCH('PRODUCTIVITY RAW'!C$2,RESOURCES!$C$3:$L$3,0),FALSE),"-")</f>
        <v>-</v>
      </c>
      <c r="D157" s="92" t="str">
        <f>IFERROR(VLOOKUP($B157,RESOURCES!$C:$L,MATCH('PRODUCTIVITY RAW'!D$2,RESOURCES!$C$3:$L$3,0),FALSE),"-")</f>
        <v>-</v>
      </c>
      <c r="E157" s="92" t="str">
        <f>IFERROR(VLOOKUP($B157,RESOURCES!$C:$L,MATCH('PRODUCTIVITY RAW'!E$2,RESOURCES!$C$3:$L$3,0),FALSE),"-")</f>
        <v>-</v>
      </c>
      <c r="F157" s="92" t="str">
        <f>IFERROR(VLOOKUP($B157,RESOURCES!$C:$L,MATCH('PRODUCTIVITY RAW'!F$2,RESOURCES!$C$3:$L$3,0),FALSE),"-")</f>
        <v>-</v>
      </c>
      <c r="G157" s="92" t="str">
        <f>IFERROR(VLOOKUP($B157,RESOURCES!$C:$L,MATCH('PRODUCTIVITY RAW'!G$2,RESOURCES!$C$3:$L$3,0),FALSE),"-")</f>
        <v>-</v>
      </c>
      <c r="H157" s="92" t="str">
        <f>IFERROR(VLOOKUP($B157,RESOURCES!$C:$L,MATCH('PRODUCTIVITY RAW'!H$2,RESOURCES!$C$3:$L$3,0),FALSE),"-")</f>
        <v>-</v>
      </c>
      <c r="I157" s="8"/>
      <c r="J157" s="8"/>
      <c r="K157" s="9" t="str">
        <f>IFERROR(VLOOKUP($B157,RESOURCES!$C:$L,MATCH('PRODUCTIVITY RAW'!K$2,RESOURCES!$C$3:$L$3,0),FALSE),"-")</f>
        <v>-</v>
      </c>
      <c r="L157" s="21" t="str">
        <f t="shared" si="20"/>
        <v>-</v>
      </c>
      <c r="M157" s="21" t="str">
        <f t="shared" si="21"/>
        <v>-</v>
      </c>
      <c r="N157" s="21" t="str">
        <f t="shared" si="23"/>
        <v>-</v>
      </c>
      <c r="O157" s="86" t="str">
        <f t="shared" si="24"/>
        <v>-</v>
      </c>
      <c r="P157" s="86" t="str">
        <f>IFERROR(VLOOKUP($D157,KPI!$V:$AN,2,FALSE),"-")</f>
        <v>-</v>
      </c>
      <c r="Q157" s="32" t="str">
        <f t="shared" si="25"/>
        <v>-</v>
      </c>
      <c r="R157" s="185" t="str">
        <f t="shared" si="26"/>
        <v>-</v>
      </c>
      <c r="S157" s="89" t="str">
        <f t="shared" si="27"/>
        <v>-</v>
      </c>
      <c r="AG157" s="664"/>
      <c r="AH157" s="664"/>
      <c r="AI157" s="664"/>
      <c r="AJ157" s="92"/>
      <c r="AK157" s="92"/>
      <c r="AL157" s="92"/>
      <c r="AM157" s="92"/>
      <c r="AN157" s="92"/>
      <c r="AO157" s="157"/>
      <c r="AP157" s="157"/>
      <c r="AQ157" s="571"/>
      <c r="AS157" s="664">
        <f t="shared" si="29"/>
        <v>155</v>
      </c>
      <c r="AT157" s="664"/>
      <c r="AU157" s="664"/>
      <c r="AV157" s="92" t="str">
        <f>IFERROR(VLOOKUP($AT157,RESOURCES!$C:$L,MATCH('PRODUCTIVITY RAW'!AV$2,RESOURCES!$C$3:$L$3,0),FALSE),"-")</f>
        <v>-</v>
      </c>
      <c r="AW157" s="92" t="str">
        <f>IFERROR(VLOOKUP($AT157,RESOURCES!$C:$L,MATCH('PRODUCTIVITY RAW'!AW$2,RESOURCES!$C$3:$L$3,0),FALSE),"-")</f>
        <v>-</v>
      </c>
      <c r="AX157" s="92" t="str">
        <f>IFERROR(VLOOKUP($AT157,RESOURCES!$C:$L,MATCH('PRODUCTIVITY RAW'!AX$2,RESOURCES!$C$3:$L$3,0),FALSE),"-")</f>
        <v>-</v>
      </c>
      <c r="AY157" s="92" t="str">
        <f>IFERROR(VLOOKUP($AT157,RESOURCES!$C:$L,MATCH('PRODUCTIVITY RAW'!AY$2,RESOURCES!$C$3:$L$3,0),FALSE),"-")</f>
        <v>-</v>
      </c>
      <c r="AZ157" s="92" t="str">
        <f>IFERROR(VLOOKUP($AT157,RESOURCES!$C:$L,MATCH('PRODUCTIVITY RAW'!AZ$2,RESOURCES!$C$3:$L$3,0),FALSE),"-")</f>
        <v>-</v>
      </c>
      <c r="BA157" s="20"/>
    </row>
    <row r="158" spans="1:53">
      <c r="A158" s="664">
        <f t="shared" si="28"/>
        <v>156</v>
      </c>
      <c r="B158" s="466"/>
      <c r="C158" s="92" t="str">
        <f>IFERROR(VLOOKUP($B158,RESOURCES!$C:$L,MATCH('PRODUCTIVITY RAW'!C$2,RESOURCES!$C$3:$L$3,0),FALSE),"-")</f>
        <v>-</v>
      </c>
      <c r="D158" s="92" t="str">
        <f>IFERROR(VLOOKUP($B158,RESOURCES!$C:$L,MATCH('PRODUCTIVITY RAW'!D$2,RESOURCES!$C$3:$L$3,0),FALSE),"-")</f>
        <v>-</v>
      </c>
      <c r="E158" s="92" t="str">
        <f>IFERROR(VLOOKUP($B158,RESOURCES!$C:$L,MATCH('PRODUCTIVITY RAW'!E$2,RESOURCES!$C$3:$L$3,0),FALSE),"-")</f>
        <v>-</v>
      </c>
      <c r="F158" s="92" t="str">
        <f>IFERROR(VLOOKUP($B158,RESOURCES!$C:$L,MATCH('PRODUCTIVITY RAW'!F$2,RESOURCES!$C$3:$L$3,0),FALSE),"-")</f>
        <v>-</v>
      </c>
      <c r="G158" s="92" t="str">
        <f>IFERROR(VLOOKUP($B158,RESOURCES!$C:$L,MATCH('PRODUCTIVITY RAW'!G$2,RESOURCES!$C$3:$L$3,0),FALSE),"-")</f>
        <v>-</v>
      </c>
      <c r="H158" s="92" t="str">
        <f>IFERROR(VLOOKUP($B158,RESOURCES!$C:$L,MATCH('PRODUCTIVITY RAW'!H$2,RESOURCES!$C$3:$L$3,0),FALSE),"-")</f>
        <v>-</v>
      </c>
      <c r="I158" s="8"/>
      <c r="J158" s="8"/>
      <c r="K158" s="9" t="str">
        <f>IFERROR(VLOOKUP($B158,RESOURCES!$C:$L,MATCH('PRODUCTIVITY RAW'!K$2,RESOURCES!$C$3:$L$3,0),FALSE),"-")</f>
        <v>-</v>
      </c>
      <c r="L158" s="21" t="str">
        <f t="shared" si="20"/>
        <v>-</v>
      </c>
      <c r="M158" s="21" t="str">
        <f t="shared" si="21"/>
        <v>-</v>
      </c>
      <c r="N158" s="21" t="str">
        <f t="shared" si="23"/>
        <v>-</v>
      </c>
      <c r="O158" s="86" t="str">
        <f t="shared" si="24"/>
        <v>-</v>
      </c>
      <c r="P158" s="86" t="str">
        <f>IFERROR(VLOOKUP($D158,KPI!$V:$AN,2,FALSE),"-")</f>
        <v>-</v>
      </c>
      <c r="Q158" s="32" t="str">
        <f t="shared" si="25"/>
        <v>-</v>
      </c>
      <c r="R158" s="185" t="str">
        <f t="shared" si="26"/>
        <v>-</v>
      </c>
      <c r="S158" s="89" t="str">
        <f t="shared" si="27"/>
        <v>-</v>
      </c>
      <c r="AG158" s="664"/>
      <c r="AH158" s="664"/>
      <c r="AI158" s="664"/>
      <c r="AJ158" s="92"/>
      <c r="AK158" s="92"/>
      <c r="AL158" s="92"/>
      <c r="AM158" s="92"/>
      <c r="AN158" s="92"/>
      <c r="AO158" s="157"/>
      <c r="AP158" s="157"/>
      <c r="AQ158" s="571"/>
      <c r="AS158" s="664">
        <f t="shared" si="29"/>
        <v>156</v>
      </c>
      <c r="AT158" s="664"/>
      <c r="AU158" s="664"/>
      <c r="AV158" s="92" t="str">
        <f>IFERROR(VLOOKUP($AT158,RESOURCES!$C:$L,MATCH('PRODUCTIVITY RAW'!AV$2,RESOURCES!$C$3:$L$3,0),FALSE),"-")</f>
        <v>-</v>
      </c>
      <c r="AW158" s="92" t="str">
        <f>IFERROR(VLOOKUP($AT158,RESOURCES!$C:$L,MATCH('PRODUCTIVITY RAW'!AW$2,RESOURCES!$C$3:$L$3,0),FALSE),"-")</f>
        <v>-</v>
      </c>
      <c r="AX158" s="92" t="str">
        <f>IFERROR(VLOOKUP($AT158,RESOURCES!$C:$L,MATCH('PRODUCTIVITY RAW'!AX$2,RESOURCES!$C$3:$L$3,0),FALSE),"-")</f>
        <v>-</v>
      </c>
      <c r="AY158" s="92" t="str">
        <f>IFERROR(VLOOKUP($AT158,RESOURCES!$C:$L,MATCH('PRODUCTIVITY RAW'!AY$2,RESOURCES!$C$3:$L$3,0),FALSE),"-")</f>
        <v>-</v>
      </c>
      <c r="AZ158" s="92" t="str">
        <f>IFERROR(VLOOKUP($AT158,RESOURCES!$C:$L,MATCH('PRODUCTIVITY RAW'!AZ$2,RESOURCES!$C$3:$L$3,0),FALSE),"-")</f>
        <v>-</v>
      </c>
      <c r="BA158" s="20"/>
    </row>
    <row r="159" spans="1:53">
      <c r="A159" s="664">
        <f t="shared" si="28"/>
        <v>157</v>
      </c>
      <c r="B159" s="466"/>
      <c r="C159" s="92" t="str">
        <f>IFERROR(VLOOKUP($B159,RESOURCES!$C:$L,MATCH('PRODUCTIVITY RAW'!C$2,RESOURCES!$C$3:$L$3,0),FALSE),"-")</f>
        <v>-</v>
      </c>
      <c r="D159" s="92" t="str">
        <f>IFERROR(VLOOKUP($B159,RESOURCES!$C:$L,MATCH('PRODUCTIVITY RAW'!D$2,RESOURCES!$C$3:$L$3,0),FALSE),"-")</f>
        <v>-</v>
      </c>
      <c r="E159" s="92" t="str">
        <f>IFERROR(VLOOKUP($B159,RESOURCES!$C:$L,MATCH('PRODUCTIVITY RAW'!E$2,RESOURCES!$C$3:$L$3,0),FALSE),"-")</f>
        <v>-</v>
      </c>
      <c r="F159" s="92" t="str">
        <f>IFERROR(VLOOKUP($B159,RESOURCES!$C:$L,MATCH('PRODUCTIVITY RAW'!F$2,RESOURCES!$C$3:$L$3,0),FALSE),"-")</f>
        <v>-</v>
      </c>
      <c r="G159" s="92" t="str">
        <f>IFERROR(VLOOKUP($B159,RESOURCES!$C:$L,MATCH('PRODUCTIVITY RAW'!G$2,RESOURCES!$C$3:$L$3,0),FALSE),"-")</f>
        <v>-</v>
      </c>
      <c r="H159" s="92" t="str">
        <f>IFERROR(VLOOKUP($B159,RESOURCES!$C:$L,MATCH('PRODUCTIVITY RAW'!H$2,RESOURCES!$C$3:$L$3,0),FALSE),"-")</f>
        <v>-</v>
      </c>
      <c r="I159" s="8"/>
      <c r="J159" s="8"/>
      <c r="K159" s="9" t="str">
        <f>IFERROR(VLOOKUP($B159,RESOURCES!$C:$L,MATCH('PRODUCTIVITY RAW'!K$2,RESOURCES!$C$3:$L$3,0),FALSE),"-")</f>
        <v>-</v>
      </c>
      <c r="L159" s="21" t="str">
        <f t="shared" si="20"/>
        <v>-</v>
      </c>
      <c r="M159" s="21" t="str">
        <f t="shared" si="21"/>
        <v>-</v>
      </c>
      <c r="N159" s="21" t="str">
        <f t="shared" si="23"/>
        <v>-</v>
      </c>
      <c r="O159" s="86" t="str">
        <f t="shared" si="24"/>
        <v>-</v>
      </c>
      <c r="P159" s="86" t="str">
        <f>IFERROR(VLOOKUP($D159,KPI!$V:$AN,2,FALSE),"-")</f>
        <v>-</v>
      </c>
      <c r="Q159" s="32" t="str">
        <f t="shared" si="25"/>
        <v>-</v>
      </c>
      <c r="R159" s="185" t="str">
        <f t="shared" si="26"/>
        <v>-</v>
      </c>
      <c r="S159" s="89" t="str">
        <f t="shared" si="27"/>
        <v>-</v>
      </c>
      <c r="AG159" s="664"/>
      <c r="AH159" s="664"/>
      <c r="AI159" s="664"/>
      <c r="AJ159" s="92"/>
      <c r="AK159" s="92"/>
      <c r="AL159" s="92"/>
      <c r="AM159" s="92"/>
      <c r="AN159" s="92"/>
      <c r="AO159" s="157"/>
      <c r="AP159" s="157"/>
      <c r="AQ159" s="571"/>
      <c r="AS159" s="664">
        <f t="shared" si="29"/>
        <v>157</v>
      </c>
      <c r="AT159" s="664"/>
      <c r="AU159" s="664"/>
      <c r="AV159" s="92" t="str">
        <f>IFERROR(VLOOKUP($AT159,RESOURCES!$C:$L,MATCH('PRODUCTIVITY RAW'!AV$2,RESOURCES!$C$3:$L$3,0),FALSE),"-")</f>
        <v>-</v>
      </c>
      <c r="AW159" s="92" t="str">
        <f>IFERROR(VLOOKUP($AT159,RESOURCES!$C:$L,MATCH('PRODUCTIVITY RAW'!AW$2,RESOURCES!$C$3:$L$3,0),FALSE),"-")</f>
        <v>-</v>
      </c>
      <c r="AX159" s="92" t="str">
        <f>IFERROR(VLOOKUP($AT159,RESOURCES!$C:$L,MATCH('PRODUCTIVITY RAW'!AX$2,RESOURCES!$C$3:$L$3,0),FALSE),"-")</f>
        <v>-</v>
      </c>
      <c r="AY159" s="92" t="str">
        <f>IFERROR(VLOOKUP($AT159,RESOURCES!$C:$L,MATCH('PRODUCTIVITY RAW'!AY$2,RESOURCES!$C$3:$L$3,0),FALSE),"-")</f>
        <v>-</v>
      </c>
      <c r="AZ159" s="92" t="str">
        <f>IFERROR(VLOOKUP($AT159,RESOURCES!$C:$L,MATCH('PRODUCTIVITY RAW'!AZ$2,RESOURCES!$C$3:$L$3,0),FALSE),"-")</f>
        <v>-</v>
      </c>
      <c r="BA159" s="20"/>
    </row>
    <row r="160" spans="1:53">
      <c r="A160" s="664">
        <f t="shared" si="28"/>
        <v>158</v>
      </c>
      <c r="B160" s="466"/>
      <c r="C160" s="92" t="str">
        <f>IFERROR(VLOOKUP($B160,RESOURCES!$C:$L,MATCH('PRODUCTIVITY RAW'!C$2,RESOURCES!$C$3:$L$3,0),FALSE),"-")</f>
        <v>-</v>
      </c>
      <c r="D160" s="92" t="str">
        <f>IFERROR(VLOOKUP($B160,RESOURCES!$C:$L,MATCH('PRODUCTIVITY RAW'!D$2,RESOURCES!$C$3:$L$3,0),FALSE),"-")</f>
        <v>-</v>
      </c>
      <c r="E160" s="92" t="str">
        <f>IFERROR(VLOOKUP($B160,RESOURCES!$C:$L,MATCH('PRODUCTIVITY RAW'!E$2,RESOURCES!$C$3:$L$3,0),FALSE),"-")</f>
        <v>-</v>
      </c>
      <c r="F160" s="92" t="str">
        <f>IFERROR(VLOOKUP($B160,RESOURCES!$C:$L,MATCH('PRODUCTIVITY RAW'!F$2,RESOURCES!$C$3:$L$3,0),FALSE),"-")</f>
        <v>-</v>
      </c>
      <c r="G160" s="92" t="str">
        <f>IFERROR(VLOOKUP($B160,RESOURCES!$C:$L,MATCH('PRODUCTIVITY RAW'!G$2,RESOURCES!$C$3:$L$3,0),FALSE),"-")</f>
        <v>-</v>
      </c>
      <c r="H160" s="92" t="str">
        <f>IFERROR(VLOOKUP($B160,RESOURCES!$C:$L,MATCH('PRODUCTIVITY RAW'!H$2,RESOURCES!$C$3:$L$3,0),FALSE),"-")</f>
        <v>-</v>
      </c>
      <c r="I160" s="8"/>
      <c r="J160" s="8"/>
      <c r="K160" s="9" t="str">
        <f>IFERROR(VLOOKUP($B160,RESOURCES!$C:$L,MATCH('PRODUCTIVITY RAW'!K$2,RESOURCES!$C$3:$L$3,0),FALSE),"-")</f>
        <v>-</v>
      </c>
      <c r="L160" s="21" t="str">
        <f t="shared" si="20"/>
        <v>-</v>
      </c>
      <c r="M160" s="21" t="str">
        <f t="shared" si="21"/>
        <v>-</v>
      </c>
      <c r="N160" s="21" t="str">
        <f t="shared" si="23"/>
        <v>-</v>
      </c>
      <c r="O160" s="86" t="str">
        <f t="shared" si="24"/>
        <v>-</v>
      </c>
      <c r="P160" s="86" t="str">
        <f>IFERROR(VLOOKUP($D160,KPI!$V:$AN,2,FALSE),"-")</f>
        <v>-</v>
      </c>
      <c r="Q160" s="32" t="str">
        <f t="shared" si="25"/>
        <v>-</v>
      </c>
      <c r="R160" s="185" t="str">
        <f t="shared" si="26"/>
        <v>-</v>
      </c>
      <c r="S160" s="89" t="str">
        <f t="shared" si="27"/>
        <v>-</v>
      </c>
      <c r="AG160" s="664"/>
      <c r="AH160" s="664"/>
      <c r="AI160" s="664"/>
      <c r="AJ160" s="92"/>
      <c r="AK160" s="92"/>
      <c r="AL160" s="92"/>
      <c r="AM160" s="92"/>
      <c r="AN160" s="92"/>
      <c r="AO160" s="157"/>
      <c r="AP160" s="157"/>
      <c r="AQ160" s="571"/>
      <c r="AS160" s="664">
        <f t="shared" si="29"/>
        <v>158</v>
      </c>
      <c r="AT160" s="664"/>
      <c r="AU160" s="664"/>
      <c r="AV160" s="92" t="str">
        <f>IFERROR(VLOOKUP($AT160,RESOURCES!$C:$L,MATCH('PRODUCTIVITY RAW'!AV$2,RESOURCES!$C$3:$L$3,0),FALSE),"-")</f>
        <v>-</v>
      </c>
      <c r="AW160" s="92" t="str">
        <f>IFERROR(VLOOKUP($AT160,RESOURCES!$C:$L,MATCH('PRODUCTIVITY RAW'!AW$2,RESOURCES!$C$3:$L$3,0),FALSE),"-")</f>
        <v>-</v>
      </c>
      <c r="AX160" s="92" t="str">
        <f>IFERROR(VLOOKUP($AT160,RESOURCES!$C:$L,MATCH('PRODUCTIVITY RAW'!AX$2,RESOURCES!$C$3:$L$3,0),FALSE),"-")</f>
        <v>-</v>
      </c>
      <c r="AY160" s="92" t="str">
        <f>IFERROR(VLOOKUP($AT160,RESOURCES!$C:$L,MATCH('PRODUCTIVITY RAW'!AY$2,RESOURCES!$C$3:$L$3,0),FALSE),"-")</f>
        <v>-</v>
      </c>
      <c r="AZ160" s="92" t="str">
        <f>IFERROR(VLOOKUP($AT160,RESOURCES!$C:$L,MATCH('PRODUCTIVITY RAW'!AZ$2,RESOURCES!$C$3:$L$3,0),FALSE),"-")</f>
        <v>-</v>
      </c>
      <c r="BA160" s="20"/>
    </row>
    <row r="161" spans="1:53">
      <c r="A161" s="664">
        <f t="shared" si="28"/>
        <v>159</v>
      </c>
      <c r="B161" s="466"/>
      <c r="C161" s="92" t="str">
        <f>IFERROR(VLOOKUP($B161,RESOURCES!$C:$L,MATCH('PRODUCTIVITY RAW'!C$2,RESOURCES!$C$3:$L$3,0),FALSE),"-")</f>
        <v>-</v>
      </c>
      <c r="D161" s="92" t="str">
        <f>IFERROR(VLOOKUP($B161,RESOURCES!$C:$L,MATCH('PRODUCTIVITY RAW'!D$2,RESOURCES!$C$3:$L$3,0),FALSE),"-")</f>
        <v>-</v>
      </c>
      <c r="E161" s="92" t="str">
        <f>IFERROR(VLOOKUP($B161,RESOURCES!$C:$L,MATCH('PRODUCTIVITY RAW'!E$2,RESOURCES!$C$3:$L$3,0),FALSE),"-")</f>
        <v>-</v>
      </c>
      <c r="F161" s="92" t="str">
        <f>IFERROR(VLOOKUP($B161,RESOURCES!$C:$L,MATCH('PRODUCTIVITY RAW'!F$2,RESOURCES!$C$3:$L$3,0),FALSE),"-")</f>
        <v>-</v>
      </c>
      <c r="G161" s="92" t="str">
        <f>IFERROR(VLOOKUP($B161,RESOURCES!$C:$L,MATCH('PRODUCTIVITY RAW'!G$2,RESOURCES!$C$3:$L$3,0),FALSE),"-")</f>
        <v>-</v>
      </c>
      <c r="H161" s="92" t="str">
        <f>IFERROR(VLOOKUP($B161,RESOURCES!$C:$L,MATCH('PRODUCTIVITY RAW'!H$2,RESOURCES!$C$3:$L$3,0),FALSE),"-")</f>
        <v>-</v>
      </c>
      <c r="I161" s="8"/>
      <c r="J161" s="8"/>
      <c r="K161" s="9" t="str">
        <f>IFERROR(VLOOKUP($B161,RESOURCES!$C:$L,MATCH('PRODUCTIVITY RAW'!K$2,RESOURCES!$C$3:$L$3,0),FALSE),"-")</f>
        <v>-</v>
      </c>
      <c r="L161" s="21" t="str">
        <f t="shared" si="20"/>
        <v>-</v>
      </c>
      <c r="M161" s="21" t="str">
        <f t="shared" si="21"/>
        <v>-</v>
      </c>
      <c r="N161" s="21" t="str">
        <f t="shared" si="23"/>
        <v>-</v>
      </c>
      <c r="O161" s="86" t="str">
        <f t="shared" si="24"/>
        <v>-</v>
      </c>
      <c r="P161" s="86" t="str">
        <f>IFERROR(VLOOKUP($D161,KPI!$V:$AN,2,FALSE),"-")</f>
        <v>-</v>
      </c>
      <c r="Q161" s="32" t="str">
        <f t="shared" si="25"/>
        <v>-</v>
      </c>
      <c r="R161" s="185" t="str">
        <f t="shared" si="26"/>
        <v>-</v>
      </c>
      <c r="S161" s="89" t="str">
        <f t="shared" si="27"/>
        <v>-</v>
      </c>
      <c r="AG161" s="664"/>
      <c r="AH161" s="664"/>
      <c r="AI161" s="664"/>
      <c r="AJ161" s="92"/>
      <c r="AK161" s="92"/>
      <c r="AL161" s="92"/>
      <c r="AM161" s="92"/>
      <c r="AN161" s="92"/>
      <c r="AO161" s="157"/>
      <c r="AP161" s="157"/>
      <c r="AQ161" s="571"/>
      <c r="AS161" s="664">
        <f t="shared" si="29"/>
        <v>159</v>
      </c>
      <c r="AT161" s="664"/>
      <c r="AU161" s="664"/>
      <c r="AV161" s="92" t="str">
        <f>IFERROR(VLOOKUP($AT161,RESOURCES!$C:$L,MATCH('PRODUCTIVITY RAW'!AV$2,RESOURCES!$C$3:$L$3,0),FALSE),"-")</f>
        <v>-</v>
      </c>
      <c r="AW161" s="92" t="str">
        <f>IFERROR(VLOOKUP($AT161,RESOURCES!$C:$L,MATCH('PRODUCTIVITY RAW'!AW$2,RESOURCES!$C$3:$L$3,0),FALSE),"-")</f>
        <v>-</v>
      </c>
      <c r="AX161" s="92" t="str">
        <f>IFERROR(VLOOKUP($AT161,RESOURCES!$C:$L,MATCH('PRODUCTIVITY RAW'!AX$2,RESOURCES!$C$3:$L$3,0),FALSE),"-")</f>
        <v>-</v>
      </c>
      <c r="AY161" s="92" t="str">
        <f>IFERROR(VLOOKUP($AT161,RESOURCES!$C:$L,MATCH('PRODUCTIVITY RAW'!AY$2,RESOURCES!$C$3:$L$3,0),FALSE),"-")</f>
        <v>-</v>
      </c>
      <c r="AZ161" s="92" t="str">
        <f>IFERROR(VLOOKUP($AT161,RESOURCES!$C:$L,MATCH('PRODUCTIVITY RAW'!AZ$2,RESOURCES!$C$3:$L$3,0),FALSE),"-")</f>
        <v>-</v>
      </c>
      <c r="BA161" s="20"/>
    </row>
    <row r="162" spans="1:53">
      <c r="A162" s="664">
        <f t="shared" si="28"/>
        <v>160</v>
      </c>
      <c r="B162" s="466"/>
      <c r="C162" s="92" t="str">
        <f>IFERROR(VLOOKUP($B162,RESOURCES!$C:$L,MATCH('PRODUCTIVITY RAW'!C$2,RESOURCES!$C$3:$L$3,0),FALSE),"-")</f>
        <v>-</v>
      </c>
      <c r="D162" s="92" t="str">
        <f>IFERROR(VLOOKUP($B162,RESOURCES!$C:$L,MATCH('PRODUCTIVITY RAW'!D$2,RESOURCES!$C$3:$L$3,0),FALSE),"-")</f>
        <v>-</v>
      </c>
      <c r="E162" s="92" t="str">
        <f>IFERROR(VLOOKUP($B162,RESOURCES!$C:$L,MATCH('PRODUCTIVITY RAW'!E$2,RESOURCES!$C$3:$L$3,0),FALSE),"-")</f>
        <v>-</v>
      </c>
      <c r="F162" s="92" t="str">
        <f>IFERROR(VLOOKUP($B162,RESOURCES!$C:$L,MATCH('PRODUCTIVITY RAW'!F$2,RESOURCES!$C$3:$L$3,0),FALSE),"-")</f>
        <v>-</v>
      </c>
      <c r="G162" s="92" t="str">
        <f>IFERROR(VLOOKUP($B162,RESOURCES!$C:$L,MATCH('PRODUCTIVITY RAW'!G$2,RESOURCES!$C$3:$L$3,0),FALSE),"-")</f>
        <v>-</v>
      </c>
      <c r="H162" s="92" t="str">
        <f>IFERROR(VLOOKUP($B162,RESOURCES!$C:$L,MATCH('PRODUCTIVITY RAW'!H$2,RESOURCES!$C$3:$L$3,0),FALSE),"-")</f>
        <v>-</v>
      </c>
      <c r="I162" s="8"/>
      <c r="J162" s="8"/>
      <c r="K162" s="9" t="str">
        <f>IFERROR(VLOOKUP($B162,RESOURCES!$C:$L,MATCH('PRODUCTIVITY RAW'!K$2,RESOURCES!$C$3:$L$3,0),FALSE),"-")</f>
        <v>-</v>
      </c>
      <c r="L162" s="21" t="str">
        <f t="shared" si="20"/>
        <v>-</v>
      </c>
      <c r="M162" s="21" t="str">
        <f t="shared" si="21"/>
        <v>-</v>
      </c>
      <c r="N162" s="21" t="str">
        <f t="shared" si="23"/>
        <v>-</v>
      </c>
      <c r="O162" s="86" t="str">
        <f t="shared" si="24"/>
        <v>-</v>
      </c>
      <c r="P162" s="86" t="str">
        <f>IFERROR(VLOOKUP($D162,KPI!$V:$AN,2,FALSE),"-")</f>
        <v>-</v>
      </c>
      <c r="Q162" s="32" t="str">
        <f t="shared" si="25"/>
        <v>-</v>
      </c>
      <c r="R162" s="185" t="str">
        <f t="shared" si="26"/>
        <v>-</v>
      </c>
      <c r="S162" s="89" t="str">
        <f t="shared" si="27"/>
        <v>-</v>
      </c>
      <c r="AG162" s="664"/>
      <c r="AH162" s="664"/>
      <c r="AI162" s="664"/>
      <c r="AJ162" s="92"/>
      <c r="AK162" s="92"/>
      <c r="AL162" s="92"/>
      <c r="AM162" s="92"/>
      <c r="AN162" s="92"/>
      <c r="AO162" s="157"/>
      <c r="AP162" s="157"/>
      <c r="AQ162" s="571"/>
      <c r="AS162" s="664">
        <f t="shared" si="29"/>
        <v>160</v>
      </c>
      <c r="AT162" s="664"/>
      <c r="AU162" s="664"/>
      <c r="AV162" s="92" t="str">
        <f>IFERROR(VLOOKUP($AT162,RESOURCES!$C:$L,MATCH('PRODUCTIVITY RAW'!AV$2,RESOURCES!$C$3:$L$3,0),FALSE),"-")</f>
        <v>-</v>
      </c>
      <c r="AW162" s="92" t="str">
        <f>IFERROR(VLOOKUP($AT162,RESOURCES!$C:$L,MATCH('PRODUCTIVITY RAW'!AW$2,RESOURCES!$C$3:$L$3,0),FALSE),"-")</f>
        <v>-</v>
      </c>
      <c r="AX162" s="92" t="str">
        <f>IFERROR(VLOOKUP($AT162,RESOURCES!$C:$L,MATCH('PRODUCTIVITY RAW'!AX$2,RESOURCES!$C$3:$L$3,0),FALSE),"-")</f>
        <v>-</v>
      </c>
      <c r="AY162" s="92" t="str">
        <f>IFERROR(VLOOKUP($AT162,RESOURCES!$C:$L,MATCH('PRODUCTIVITY RAW'!AY$2,RESOURCES!$C$3:$L$3,0),FALSE),"-")</f>
        <v>-</v>
      </c>
      <c r="AZ162" s="92" t="str">
        <f>IFERROR(VLOOKUP($AT162,RESOURCES!$C:$L,MATCH('PRODUCTIVITY RAW'!AZ$2,RESOURCES!$C$3:$L$3,0),FALSE),"-")</f>
        <v>-</v>
      </c>
      <c r="BA162" s="20"/>
    </row>
    <row r="163" spans="1:53">
      <c r="A163" s="664">
        <f t="shared" si="28"/>
        <v>161</v>
      </c>
      <c r="B163" s="466"/>
      <c r="C163" s="92" t="str">
        <f>IFERROR(VLOOKUP($B163,RESOURCES!$C:$L,MATCH('PRODUCTIVITY RAW'!C$2,RESOURCES!$C$3:$L$3,0),FALSE),"-")</f>
        <v>-</v>
      </c>
      <c r="D163" s="92" t="str">
        <f>IFERROR(VLOOKUP($B163,RESOURCES!$C:$L,MATCH('PRODUCTIVITY RAW'!D$2,RESOURCES!$C$3:$L$3,0),FALSE),"-")</f>
        <v>-</v>
      </c>
      <c r="E163" s="92" t="str">
        <f>IFERROR(VLOOKUP($B163,RESOURCES!$C:$L,MATCH('PRODUCTIVITY RAW'!E$2,RESOURCES!$C$3:$L$3,0),FALSE),"-")</f>
        <v>-</v>
      </c>
      <c r="F163" s="92" t="str">
        <f>IFERROR(VLOOKUP($B163,RESOURCES!$C:$L,MATCH('PRODUCTIVITY RAW'!F$2,RESOURCES!$C$3:$L$3,0),FALSE),"-")</f>
        <v>-</v>
      </c>
      <c r="G163" s="92" t="str">
        <f>IFERROR(VLOOKUP($B163,RESOURCES!$C:$L,MATCH('PRODUCTIVITY RAW'!G$2,RESOURCES!$C$3:$L$3,0),FALSE),"-")</f>
        <v>-</v>
      </c>
      <c r="H163" s="92" t="str">
        <f>IFERROR(VLOOKUP($B163,RESOURCES!$C:$L,MATCH('PRODUCTIVITY RAW'!H$2,RESOURCES!$C$3:$L$3,0),FALSE),"-")</f>
        <v>-</v>
      </c>
      <c r="I163" s="8"/>
      <c r="J163" s="8"/>
      <c r="K163" s="9" t="str">
        <f>IFERROR(VLOOKUP($B163,RESOURCES!$C:$L,MATCH('PRODUCTIVITY RAW'!K$2,RESOURCES!$C$3:$L$3,0),FALSE),"-")</f>
        <v>-</v>
      </c>
      <c r="L163" s="21" t="str">
        <f t="shared" si="20"/>
        <v>-</v>
      </c>
      <c r="M163" s="21" t="str">
        <f t="shared" si="21"/>
        <v>-</v>
      </c>
      <c r="N163" s="21" t="str">
        <f t="shared" si="23"/>
        <v>-</v>
      </c>
      <c r="O163" s="86" t="str">
        <f t="shared" si="24"/>
        <v>-</v>
      </c>
      <c r="P163" s="86" t="str">
        <f>IFERROR(VLOOKUP($D163,KPI!$V:$AN,2,FALSE),"-")</f>
        <v>-</v>
      </c>
      <c r="Q163" s="32" t="str">
        <f t="shared" si="25"/>
        <v>-</v>
      </c>
      <c r="R163" s="185" t="str">
        <f t="shared" si="26"/>
        <v>-</v>
      </c>
      <c r="S163" s="89" t="str">
        <f t="shared" si="27"/>
        <v>-</v>
      </c>
      <c r="AG163" s="664"/>
      <c r="AH163" s="664"/>
      <c r="AI163" s="664"/>
      <c r="AJ163" s="92"/>
      <c r="AK163" s="92"/>
      <c r="AL163" s="92"/>
      <c r="AM163" s="92"/>
      <c r="AN163" s="92"/>
      <c r="AO163" s="157"/>
      <c r="AP163" s="157"/>
      <c r="AQ163" s="571"/>
      <c r="AS163" s="664">
        <f t="shared" si="29"/>
        <v>161</v>
      </c>
      <c r="AT163" s="664"/>
      <c r="AU163" s="664"/>
      <c r="AV163" s="92" t="str">
        <f>IFERROR(VLOOKUP($AT163,RESOURCES!$C:$L,MATCH('PRODUCTIVITY RAW'!AV$2,RESOURCES!$C$3:$L$3,0),FALSE),"-")</f>
        <v>-</v>
      </c>
      <c r="AW163" s="92" t="str">
        <f>IFERROR(VLOOKUP($AT163,RESOURCES!$C:$L,MATCH('PRODUCTIVITY RAW'!AW$2,RESOURCES!$C$3:$L$3,0),FALSE),"-")</f>
        <v>-</v>
      </c>
      <c r="AX163" s="92" t="str">
        <f>IFERROR(VLOOKUP($AT163,RESOURCES!$C:$L,MATCH('PRODUCTIVITY RAW'!AX$2,RESOURCES!$C$3:$L$3,0),FALSE),"-")</f>
        <v>-</v>
      </c>
      <c r="AY163" s="92" t="str">
        <f>IFERROR(VLOOKUP($AT163,RESOURCES!$C:$L,MATCH('PRODUCTIVITY RAW'!AY$2,RESOURCES!$C$3:$L$3,0),FALSE),"-")</f>
        <v>-</v>
      </c>
      <c r="AZ163" s="92" t="str">
        <f>IFERROR(VLOOKUP($AT163,RESOURCES!$C:$L,MATCH('PRODUCTIVITY RAW'!AZ$2,RESOURCES!$C$3:$L$3,0),FALSE),"-")</f>
        <v>-</v>
      </c>
      <c r="BA163" s="20"/>
    </row>
    <row r="164" spans="1:53">
      <c r="A164" s="664">
        <f t="shared" si="28"/>
        <v>162</v>
      </c>
      <c r="B164" s="466"/>
      <c r="C164" s="92" t="str">
        <f>IFERROR(VLOOKUP($B164,RESOURCES!$C:$L,MATCH('PRODUCTIVITY RAW'!C$2,RESOURCES!$C$3:$L$3,0),FALSE),"-")</f>
        <v>-</v>
      </c>
      <c r="D164" s="92" t="str">
        <f>IFERROR(VLOOKUP($B164,RESOURCES!$C:$L,MATCH('PRODUCTIVITY RAW'!D$2,RESOURCES!$C$3:$L$3,0),FALSE),"-")</f>
        <v>-</v>
      </c>
      <c r="E164" s="92" t="str">
        <f>IFERROR(VLOOKUP($B164,RESOURCES!$C:$L,MATCH('PRODUCTIVITY RAW'!E$2,RESOURCES!$C$3:$L$3,0),FALSE),"-")</f>
        <v>-</v>
      </c>
      <c r="F164" s="92" t="str">
        <f>IFERROR(VLOOKUP($B164,RESOURCES!$C:$L,MATCH('PRODUCTIVITY RAW'!F$2,RESOURCES!$C$3:$L$3,0),FALSE),"-")</f>
        <v>-</v>
      </c>
      <c r="G164" s="92" t="str">
        <f>IFERROR(VLOOKUP($B164,RESOURCES!$C:$L,MATCH('PRODUCTIVITY RAW'!G$2,RESOURCES!$C$3:$L$3,0),FALSE),"-")</f>
        <v>-</v>
      </c>
      <c r="H164" s="92" t="str">
        <f>IFERROR(VLOOKUP($B164,RESOURCES!$C:$L,MATCH('PRODUCTIVITY RAW'!H$2,RESOURCES!$C$3:$L$3,0),FALSE),"-")</f>
        <v>-</v>
      </c>
      <c r="I164" s="8"/>
      <c r="J164" s="8"/>
      <c r="K164" s="9" t="str">
        <f>IFERROR(VLOOKUP($B164,RESOURCES!$C:$L,MATCH('PRODUCTIVITY RAW'!K$2,RESOURCES!$C$3:$L$3,0),FALSE),"-")</f>
        <v>-</v>
      </c>
      <c r="L164" s="21" t="str">
        <f t="shared" si="20"/>
        <v>-</v>
      </c>
      <c r="M164" s="21" t="str">
        <f t="shared" si="21"/>
        <v>-</v>
      </c>
      <c r="N164" s="21" t="str">
        <f t="shared" si="23"/>
        <v>-</v>
      </c>
      <c r="O164" s="86" t="str">
        <f t="shared" si="24"/>
        <v>-</v>
      </c>
      <c r="P164" s="86" t="str">
        <f>IFERROR(VLOOKUP($D164,KPI!$V:$AN,2,FALSE),"-")</f>
        <v>-</v>
      </c>
      <c r="Q164" s="32" t="str">
        <f t="shared" si="25"/>
        <v>-</v>
      </c>
      <c r="R164" s="185" t="str">
        <f t="shared" si="26"/>
        <v>-</v>
      </c>
      <c r="S164" s="89" t="str">
        <f t="shared" si="27"/>
        <v>-</v>
      </c>
      <c r="AG164" s="664"/>
      <c r="AH164" s="664"/>
      <c r="AI164" s="664"/>
      <c r="AJ164" s="92"/>
      <c r="AK164" s="92"/>
      <c r="AL164" s="92"/>
      <c r="AM164" s="92"/>
      <c r="AN164" s="92"/>
      <c r="AO164" s="157"/>
      <c r="AP164" s="157"/>
      <c r="AQ164" s="571"/>
      <c r="AS164" s="664">
        <f t="shared" si="29"/>
        <v>162</v>
      </c>
      <c r="AT164" s="664"/>
      <c r="AU164" s="664"/>
      <c r="AV164" s="92" t="str">
        <f>IFERROR(VLOOKUP($AT164,RESOURCES!$C:$L,MATCH('PRODUCTIVITY RAW'!AV$2,RESOURCES!$C$3:$L$3,0),FALSE),"-")</f>
        <v>-</v>
      </c>
      <c r="AW164" s="92" t="str">
        <f>IFERROR(VLOOKUP($AT164,RESOURCES!$C:$L,MATCH('PRODUCTIVITY RAW'!AW$2,RESOURCES!$C$3:$L$3,0),FALSE),"-")</f>
        <v>-</v>
      </c>
      <c r="AX164" s="92" t="str">
        <f>IFERROR(VLOOKUP($AT164,RESOURCES!$C:$L,MATCH('PRODUCTIVITY RAW'!AX$2,RESOURCES!$C$3:$L$3,0),FALSE),"-")</f>
        <v>-</v>
      </c>
      <c r="AY164" s="92" t="str">
        <f>IFERROR(VLOOKUP($AT164,RESOURCES!$C:$L,MATCH('PRODUCTIVITY RAW'!AY$2,RESOURCES!$C$3:$L$3,0),FALSE),"-")</f>
        <v>-</v>
      </c>
      <c r="AZ164" s="92" t="str">
        <f>IFERROR(VLOOKUP($AT164,RESOURCES!$C:$L,MATCH('PRODUCTIVITY RAW'!AZ$2,RESOURCES!$C$3:$L$3,0),FALSE),"-")</f>
        <v>-</v>
      </c>
      <c r="BA164" s="20"/>
    </row>
    <row r="165" spans="1:53">
      <c r="A165" s="664">
        <f t="shared" si="28"/>
        <v>163</v>
      </c>
      <c r="B165" s="466"/>
      <c r="C165" s="92" t="str">
        <f>IFERROR(VLOOKUP($B165,RESOURCES!$C:$L,MATCH('PRODUCTIVITY RAW'!C$2,RESOURCES!$C$3:$L$3,0),FALSE),"-")</f>
        <v>-</v>
      </c>
      <c r="D165" s="92" t="str">
        <f>IFERROR(VLOOKUP($B165,RESOURCES!$C:$L,MATCH('PRODUCTIVITY RAW'!D$2,RESOURCES!$C$3:$L$3,0),FALSE),"-")</f>
        <v>-</v>
      </c>
      <c r="E165" s="92" t="str">
        <f>IFERROR(VLOOKUP($B165,RESOURCES!$C:$L,MATCH('PRODUCTIVITY RAW'!E$2,RESOURCES!$C$3:$L$3,0),FALSE),"-")</f>
        <v>-</v>
      </c>
      <c r="F165" s="92" t="str">
        <f>IFERROR(VLOOKUP($B165,RESOURCES!$C:$L,MATCH('PRODUCTIVITY RAW'!F$2,RESOURCES!$C$3:$L$3,0),FALSE),"-")</f>
        <v>-</v>
      </c>
      <c r="G165" s="92" t="str">
        <f>IFERROR(VLOOKUP($B165,RESOURCES!$C:$L,MATCH('PRODUCTIVITY RAW'!G$2,RESOURCES!$C$3:$L$3,0),FALSE),"-")</f>
        <v>-</v>
      </c>
      <c r="H165" s="92" t="str">
        <f>IFERROR(VLOOKUP($B165,RESOURCES!$C:$L,MATCH('PRODUCTIVITY RAW'!H$2,RESOURCES!$C$3:$L$3,0),FALSE),"-")</f>
        <v>-</v>
      </c>
      <c r="I165" s="8"/>
      <c r="J165" s="8"/>
      <c r="K165" s="9" t="str">
        <f>IFERROR(VLOOKUP($B165,RESOURCES!$C:$L,MATCH('PRODUCTIVITY RAW'!K$2,RESOURCES!$C$3:$L$3,0),FALSE),"-")</f>
        <v>-</v>
      </c>
      <c r="L165" s="21" t="str">
        <f t="shared" si="20"/>
        <v>-</v>
      </c>
      <c r="M165" s="21" t="str">
        <f t="shared" si="21"/>
        <v>-</v>
      </c>
      <c r="N165" s="21" t="str">
        <f t="shared" si="23"/>
        <v>-</v>
      </c>
      <c r="O165" s="86" t="str">
        <f t="shared" si="24"/>
        <v>-</v>
      </c>
      <c r="P165" s="86" t="str">
        <f>IFERROR(VLOOKUP($D165,KPI!$V:$AN,2,FALSE),"-")</f>
        <v>-</v>
      </c>
      <c r="Q165" s="32" t="str">
        <f t="shared" si="25"/>
        <v>-</v>
      </c>
      <c r="R165" s="185" t="str">
        <f t="shared" si="26"/>
        <v>-</v>
      </c>
      <c r="S165" s="89" t="str">
        <f t="shared" si="27"/>
        <v>-</v>
      </c>
      <c r="AG165" s="664"/>
      <c r="AH165" s="664"/>
      <c r="AI165" s="664"/>
      <c r="AJ165" s="92"/>
      <c r="AK165" s="92"/>
      <c r="AL165" s="92"/>
      <c r="AM165" s="92"/>
      <c r="AN165" s="92"/>
      <c r="AO165" s="157"/>
      <c r="AP165" s="157"/>
      <c r="AQ165" s="571"/>
      <c r="AS165" s="664">
        <f t="shared" si="29"/>
        <v>163</v>
      </c>
      <c r="AT165" s="664"/>
      <c r="AU165" s="664"/>
      <c r="AV165" s="92" t="str">
        <f>IFERROR(VLOOKUP($AT165,RESOURCES!$C:$L,MATCH('PRODUCTIVITY RAW'!AV$2,RESOURCES!$C$3:$L$3,0),FALSE),"-")</f>
        <v>-</v>
      </c>
      <c r="AW165" s="92" t="str">
        <f>IFERROR(VLOOKUP($AT165,RESOURCES!$C:$L,MATCH('PRODUCTIVITY RAW'!AW$2,RESOURCES!$C$3:$L$3,0),FALSE),"-")</f>
        <v>-</v>
      </c>
      <c r="AX165" s="92" t="str">
        <f>IFERROR(VLOOKUP($AT165,RESOURCES!$C:$L,MATCH('PRODUCTIVITY RAW'!AX$2,RESOURCES!$C$3:$L$3,0),FALSE),"-")</f>
        <v>-</v>
      </c>
      <c r="AY165" s="92" t="str">
        <f>IFERROR(VLOOKUP($AT165,RESOURCES!$C:$L,MATCH('PRODUCTIVITY RAW'!AY$2,RESOURCES!$C$3:$L$3,0),FALSE),"-")</f>
        <v>-</v>
      </c>
      <c r="AZ165" s="92" t="str">
        <f>IFERROR(VLOOKUP($AT165,RESOURCES!$C:$L,MATCH('PRODUCTIVITY RAW'!AZ$2,RESOURCES!$C$3:$L$3,0),FALSE),"-")</f>
        <v>-</v>
      </c>
      <c r="BA165" s="20"/>
    </row>
    <row r="166" spans="1:53">
      <c r="A166" s="664">
        <f t="shared" si="28"/>
        <v>164</v>
      </c>
      <c r="B166" s="466"/>
      <c r="C166" s="92" t="str">
        <f>IFERROR(VLOOKUP($B166,RESOURCES!$C:$L,MATCH('PRODUCTIVITY RAW'!C$2,RESOURCES!$C$3:$L$3,0),FALSE),"-")</f>
        <v>-</v>
      </c>
      <c r="D166" s="92" t="str">
        <f>IFERROR(VLOOKUP($B166,RESOURCES!$C:$L,MATCH('PRODUCTIVITY RAW'!D$2,RESOURCES!$C$3:$L$3,0),FALSE),"-")</f>
        <v>-</v>
      </c>
      <c r="E166" s="92" t="str">
        <f>IFERROR(VLOOKUP($B166,RESOURCES!$C:$L,MATCH('PRODUCTIVITY RAW'!E$2,RESOURCES!$C$3:$L$3,0),FALSE),"-")</f>
        <v>-</v>
      </c>
      <c r="F166" s="92" t="str">
        <f>IFERROR(VLOOKUP($B166,RESOURCES!$C:$L,MATCH('PRODUCTIVITY RAW'!F$2,RESOURCES!$C$3:$L$3,0),FALSE),"-")</f>
        <v>-</v>
      </c>
      <c r="G166" s="92" t="str">
        <f>IFERROR(VLOOKUP($B166,RESOURCES!$C:$L,MATCH('PRODUCTIVITY RAW'!G$2,RESOURCES!$C$3:$L$3,0),FALSE),"-")</f>
        <v>-</v>
      </c>
      <c r="H166" s="92" t="str">
        <f>IFERROR(VLOOKUP($B166,RESOURCES!$C:$L,MATCH('PRODUCTIVITY RAW'!H$2,RESOURCES!$C$3:$L$3,0),FALSE),"-")</f>
        <v>-</v>
      </c>
      <c r="I166" s="8"/>
      <c r="J166" s="8"/>
      <c r="K166" s="9" t="str">
        <f>IFERROR(VLOOKUP($B166,RESOURCES!$C:$L,MATCH('PRODUCTIVITY RAW'!K$2,RESOURCES!$C$3:$L$3,0),FALSE),"-")</f>
        <v>-</v>
      </c>
      <c r="L166" s="21" t="str">
        <f t="shared" si="20"/>
        <v>-</v>
      </c>
      <c r="M166" s="21" t="str">
        <f t="shared" si="21"/>
        <v>-</v>
      </c>
      <c r="N166" s="21" t="str">
        <f t="shared" si="23"/>
        <v>-</v>
      </c>
      <c r="O166" s="86" t="str">
        <f t="shared" si="24"/>
        <v>-</v>
      </c>
      <c r="P166" s="86" t="str">
        <f>IFERROR(VLOOKUP($D166,KPI!$V:$AN,2,FALSE),"-")</f>
        <v>-</v>
      </c>
      <c r="Q166" s="32" t="str">
        <f t="shared" si="25"/>
        <v>-</v>
      </c>
      <c r="R166" s="185" t="str">
        <f t="shared" si="26"/>
        <v>-</v>
      </c>
      <c r="S166" s="89" t="str">
        <f t="shared" si="27"/>
        <v>-</v>
      </c>
      <c r="AG166" s="664"/>
      <c r="AH166" s="664"/>
      <c r="AI166" s="664"/>
      <c r="AJ166" s="92"/>
      <c r="AK166" s="92"/>
      <c r="AL166" s="92"/>
      <c r="AM166" s="92"/>
      <c r="AN166" s="92"/>
      <c r="AO166" s="157"/>
      <c r="AP166" s="157"/>
      <c r="AQ166" s="571"/>
      <c r="AS166" s="664">
        <f t="shared" si="29"/>
        <v>164</v>
      </c>
      <c r="AT166" s="664"/>
      <c r="AU166" s="664"/>
      <c r="AV166" s="92" t="str">
        <f>IFERROR(VLOOKUP($AT166,RESOURCES!$C:$L,MATCH('PRODUCTIVITY RAW'!AV$2,RESOURCES!$C$3:$L$3,0),FALSE),"-")</f>
        <v>-</v>
      </c>
      <c r="AW166" s="92" t="str">
        <f>IFERROR(VLOOKUP($AT166,RESOURCES!$C:$L,MATCH('PRODUCTIVITY RAW'!AW$2,RESOURCES!$C$3:$L$3,0),FALSE),"-")</f>
        <v>-</v>
      </c>
      <c r="AX166" s="92" t="str">
        <f>IFERROR(VLOOKUP($AT166,RESOURCES!$C:$L,MATCH('PRODUCTIVITY RAW'!AX$2,RESOURCES!$C$3:$L$3,0),FALSE),"-")</f>
        <v>-</v>
      </c>
      <c r="AY166" s="92" t="str">
        <f>IFERROR(VLOOKUP($AT166,RESOURCES!$C:$L,MATCH('PRODUCTIVITY RAW'!AY$2,RESOURCES!$C$3:$L$3,0),FALSE),"-")</f>
        <v>-</v>
      </c>
      <c r="AZ166" s="92" t="str">
        <f>IFERROR(VLOOKUP($AT166,RESOURCES!$C:$L,MATCH('PRODUCTIVITY RAW'!AZ$2,RESOURCES!$C$3:$L$3,0),FALSE),"-")</f>
        <v>-</v>
      </c>
      <c r="BA166" s="20"/>
    </row>
    <row r="167" spans="1:53">
      <c r="A167" s="664">
        <f t="shared" si="28"/>
        <v>165</v>
      </c>
      <c r="B167" s="466"/>
      <c r="C167" s="92" t="str">
        <f>IFERROR(VLOOKUP($B167,RESOURCES!$C:$L,MATCH('PRODUCTIVITY RAW'!C$2,RESOURCES!$C$3:$L$3,0),FALSE),"-")</f>
        <v>-</v>
      </c>
      <c r="D167" s="92" t="str">
        <f>IFERROR(VLOOKUP($B167,RESOURCES!$C:$L,MATCH('PRODUCTIVITY RAW'!D$2,RESOURCES!$C$3:$L$3,0),FALSE),"-")</f>
        <v>-</v>
      </c>
      <c r="E167" s="92" t="str">
        <f>IFERROR(VLOOKUP($B167,RESOURCES!$C:$L,MATCH('PRODUCTIVITY RAW'!E$2,RESOURCES!$C$3:$L$3,0),FALSE),"-")</f>
        <v>-</v>
      </c>
      <c r="F167" s="92" t="str">
        <f>IFERROR(VLOOKUP($B167,RESOURCES!$C:$L,MATCH('PRODUCTIVITY RAW'!F$2,RESOURCES!$C$3:$L$3,0),FALSE),"-")</f>
        <v>-</v>
      </c>
      <c r="G167" s="92" t="str">
        <f>IFERROR(VLOOKUP($B167,RESOURCES!$C:$L,MATCH('PRODUCTIVITY RAW'!G$2,RESOURCES!$C$3:$L$3,0),FALSE),"-")</f>
        <v>-</v>
      </c>
      <c r="H167" s="92" t="str">
        <f>IFERROR(VLOOKUP($B167,RESOURCES!$C:$L,MATCH('PRODUCTIVITY RAW'!H$2,RESOURCES!$C$3:$L$3,0),FALSE),"-")</f>
        <v>-</v>
      </c>
      <c r="I167" s="8"/>
      <c r="J167" s="8"/>
      <c r="K167" s="9" t="str">
        <f>IFERROR(VLOOKUP($B167,RESOURCES!$C:$L,MATCH('PRODUCTIVITY RAW'!K$2,RESOURCES!$C$3:$L$3,0),FALSE),"-")</f>
        <v>-</v>
      </c>
      <c r="L167" s="21" t="str">
        <f t="shared" si="20"/>
        <v>-</v>
      </c>
      <c r="M167" s="21" t="str">
        <f t="shared" si="21"/>
        <v>-</v>
      </c>
      <c r="N167" s="21" t="str">
        <f t="shared" si="23"/>
        <v>-</v>
      </c>
      <c r="O167" s="86" t="str">
        <f t="shared" si="24"/>
        <v>-</v>
      </c>
      <c r="P167" s="86" t="str">
        <f>IFERROR(VLOOKUP($D167,KPI!$V:$AN,2,FALSE),"-")</f>
        <v>-</v>
      </c>
      <c r="Q167" s="32" t="str">
        <f t="shared" si="25"/>
        <v>-</v>
      </c>
      <c r="R167" s="185" t="str">
        <f t="shared" si="26"/>
        <v>-</v>
      </c>
      <c r="S167" s="89" t="str">
        <f t="shared" si="27"/>
        <v>-</v>
      </c>
      <c r="AG167" s="664"/>
      <c r="AH167" s="664"/>
      <c r="AI167" s="664"/>
      <c r="AJ167" s="92"/>
      <c r="AK167" s="92"/>
      <c r="AL167" s="92"/>
      <c r="AM167" s="92"/>
      <c r="AN167" s="92"/>
      <c r="AO167" s="157"/>
      <c r="AP167" s="157"/>
      <c r="AQ167" s="571"/>
      <c r="AS167" s="664">
        <f t="shared" si="29"/>
        <v>165</v>
      </c>
      <c r="AT167" s="664"/>
      <c r="AU167" s="664"/>
      <c r="AV167" s="92" t="str">
        <f>IFERROR(VLOOKUP($AT167,RESOURCES!$C:$L,MATCH('PRODUCTIVITY RAW'!AV$2,RESOURCES!$C$3:$L$3,0),FALSE),"-")</f>
        <v>-</v>
      </c>
      <c r="AW167" s="92" t="str">
        <f>IFERROR(VLOOKUP($AT167,RESOURCES!$C:$L,MATCH('PRODUCTIVITY RAW'!AW$2,RESOURCES!$C$3:$L$3,0),FALSE),"-")</f>
        <v>-</v>
      </c>
      <c r="AX167" s="92" t="str">
        <f>IFERROR(VLOOKUP($AT167,RESOURCES!$C:$L,MATCH('PRODUCTIVITY RAW'!AX$2,RESOURCES!$C$3:$L$3,0),FALSE),"-")</f>
        <v>-</v>
      </c>
      <c r="AY167" s="92" t="str">
        <f>IFERROR(VLOOKUP($AT167,RESOURCES!$C:$L,MATCH('PRODUCTIVITY RAW'!AY$2,RESOURCES!$C$3:$L$3,0),FALSE),"-")</f>
        <v>-</v>
      </c>
      <c r="AZ167" s="92" t="str">
        <f>IFERROR(VLOOKUP($AT167,RESOURCES!$C:$L,MATCH('PRODUCTIVITY RAW'!AZ$2,RESOURCES!$C$3:$L$3,0),FALSE),"-")</f>
        <v>-</v>
      </c>
      <c r="BA167" s="20"/>
    </row>
    <row r="168" spans="1:53">
      <c r="A168" s="664">
        <f t="shared" si="28"/>
        <v>166</v>
      </c>
      <c r="B168" s="466"/>
      <c r="C168" s="92" t="str">
        <f>IFERROR(VLOOKUP($B168,RESOURCES!$C:$L,MATCH('PRODUCTIVITY RAW'!C$2,RESOURCES!$C$3:$L$3,0),FALSE),"-")</f>
        <v>-</v>
      </c>
      <c r="D168" s="92" t="str">
        <f>IFERROR(VLOOKUP($B168,RESOURCES!$C:$L,MATCH('PRODUCTIVITY RAW'!D$2,RESOURCES!$C$3:$L$3,0),FALSE),"-")</f>
        <v>-</v>
      </c>
      <c r="E168" s="92" t="str">
        <f>IFERROR(VLOOKUP($B168,RESOURCES!$C:$L,MATCH('PRODUCTIVITY RAW'!E$2,RESOURCES!$C$3:$L$3,0),FALSE),"-")</f>
        <v>-</v>
      </c>
      <c r="F168" s="92" t="str">
        <f>IFERROR(VLOOKUP($B168,RESOURCES!$C:$L,MATCH('PRODUCTIVITY RAW'!F$2,RESOURCES!$C$3:$L$3,0),FALSE),"-")</f>
        <v>-</v>
      </c>
      <c r="G168" s="92" t="str">
        <f>IFERROR(VLOOKUP($B168,RESOURCES!$C:$L,MATCH('PRODUCTIVITY RAW'!G$2,RESOURCES!$C$3:$L$3,0),FALSE),"-")</f>
        <v>-</v>
      </c>
      <c r="H168" s="92" t="str">
        <f>IFERROR(VLOOKUP($B168,RESOURCES!$C:$L,MATCH('PRODUCTIVITY RAW'!H$2,RESOURCES!$C$3:$L$3,0),FALSE),"-")</f>
        <v>-</v>
      </c>
      <c r="I168" s="8"/>
      <c r="J168" s="8"/>
      <c r="K168" s="9" t="str">
        <f>IFERROR(VLOOKUP($B168,RESOURCES!$C:$L,MATCH('PRODUCTIVITY RAW'!K$2,RESOURCES!$C$3:$L$3,0),FALSE),"-")</f>
        <v>-</v>
      </c>
      <c r="L168" s="21" t="str">
        <f t="shared" si="20"/>
        <v>-</v>
      </c>
      <c r="M168" s="21" t="str">
        <f t="shared" si="21"/>
        <v>-</v>
      </c>
      <c r="N168" s="21" t="str">
        <f t="shared" si="23"/>
        <v>-</v>
      </c>
      <c r="O168" s="86" t="str">
        <f t="shared" si="24"/>
        <v>-</v>
      </c>
      <c r="P168" s="86" t="str">
        <f>IFERROR(VLOOKUP($D168,KPI!$V:$AN,2,FALSE),"-")</f>
        <v>-</v>
      </c>
      <c r="Q168" s="32" t="str">
        <f t="shared" si="25"/>
        <v>-</v>
      </c>
      <c r="R168" s="185" t="str">
        <f t="shared" si="26"/>
        <v>-</v>
      </c>
      <c r="S168" s="89" t="str">
        <f t="shared" si="27"/>
        <v>-</v>
      </c>
      <c r="AG168" s="664"/>
      <c r="AH168" s="664"/>
      <c r="AI168" s="664"/>
      <c r="AJ168" s="92"/>
      <c r="AK168" s="92"/>
      <c r="AL168" s="92"/>
      <c r="AM168" s="92"/>
      <c r="AN168" s="92"/>
      <c r="AO168" s="157"/>
      <c r="AP168" s="157"/>
      <c r="AQ168" s="571"/>
      <c r="AS168" s="664">
        <f t="shared" si="29"/>
        <v>166</v>
      </c>
      <c r="AT168" s="664"/>
      <c r="AU168" s="664"/>
      <c r="AV168" s="92" t="str">
        <f>IFERROR(VLOOKUP($AT168,RESOURCES!$C:$L,MATCH('PRODUCTIVITY RAW'!AV$2,RESOURCES!$C$3:$L$3,0),FALSE),"-")</f>
        <v>-</v>
      </c>
      <c r="AW168" s="92" t="str">
        <f>IFERROR(VLOOKUP($AT168,RESOURCES!$C:$L,MATCH('PRODUCTIVITY RAW'!AW$2,RESOURCES!$C$3:$L$3,0),FALSE),"-")</f>
        <v>-</v>
      </c>
      <c r="AX168" s="92" t="str">
        <f>IFERROR(VLOOKUP($AT168,RESOURCES!$C:$L,MATCH('PRODUCTIVITY RAW'!AX$2,RESOURCES!$C$3:$L$3,0),FALSE),"-")</f>
        <v>-</v>
      </c>
      <c r="AY168" s="92" t="str">
        <f>IFERROR(VLOOKUP($AT168,RESOURCES!$C:$L,MATCH('PRODUCTIVITY RAW'!AY$2,RESOURCES!$C$3:$L$3,0),FALSE),"-")</f>
        <v>-</v>
      </c>
      <c r="AZ168" s="92" t="str">
        <f>IFERROR(VLOOKUP($AT168,RESOURCES!$C:$L,MATCH('PRODUCTIVITY RAW'!AZ$2,RESOURCES!$C$3:$L$3,0),FALSE),"-")</f>
        <v>-</v>
      </c>
      <c r="BA168" s="20"/>
    </row>
    <row r="169" spans="1:53">
      <c r="A169" s="664">
        <f t="shared" si="28"/>
        <v>167</v>
      </c>
      <c r="B169" s="466"/>
      <c r="C169" s="92" t="str">
        <f>IFERROR(VLOOKUP($B169,RESOURCES!$C:$L,MATCH('PRODUCTIVITY RAW'!C$2,RESOURCES!$C$3:$L$3,0),FALSE),"-")</f>
        <v>-</v>
      </c>
      <c r="D169" s="92" t="str">
        <f>IFERROR(VLOOKUP($B169,RESOURCES!$C:$L,MATCH('PRODUCTIVITY RAW'!D$2,RESOURCES!$C$3:$L$3,0),FALSE),"-")</f>
        <v>-</v>
      </c>
      <c r="E169" s="92" t="str">
        <f>IFERROR(VLOOKUP($B169,RESOURCES!$C:$L,MATCH('PRODUCTIVITY RAW'!E$2,RESOURCES!$C$3:$L$3,0),FALSE),"-")</f>
        <v>-</v>
      </c>
      <c r="F169" s="92" t="str">
        <f>IFERROR(VLOOKUP($B169,RESOURCES!$C:$L,MATCH('PRODUCTIVITY RAW'!F$2,RESOURCES!$C$3:$L$3,0),FALSE),"-")</f>
        <v>-</v>
      </c>
      <c r="G169" s="92" t="str">
        <f>IFERROR(VLOOKUP($B169,RESOURCES!$C:$L,MATCH('PRODUCTIVITY RAW'!G$2,RESOURCES!$C$3:$L$3,0),FALSE),"-")</f>
        <v>-</v>
      </c>
      <c r="H169" s="92" t="str">
        <f>IFERROR(VLOOKUP($B169,RESOURCES!$C:$L,MATCH('PRODUCTIVITY RAW'!H$2,RESOURCES!$C$3:$L$3,0),FALSE),"-")</f>
        <v>-</v>
      </c>
      <c r="I169" s="8"/>
      <c r="J169" s="8"/>
      <c r="K169" s="9" t="str">
        <f>IFERROR(VLOOKUP($B169,RESOURCES!$C:$L,MATCH('PRODUCTIVITY RAW'!K$2,RESOURCES!$C$3:$L$3,0),FALSE),"-")</f>
        <v>-</v>
      </c>
      <c r="L169" s="21" t="str">
        <f t="shared" si="20"/>
        <v>-</v>
      </c>
      <c r="M169" s="21" t="str">
        <f t="shared" si="21"/>
        <v>-</v>
      </c>
      <c r="N169" s="21" t="str">
        <f t="shared" si="23"/>
        <v>-</v>
      </c>
      <c r="O169" s="86" t="str">
        <f t="shared" si="24"/>
        <v>-</v>
      </c>
      <c r="P169" s="86" t="str">
        <f>IFERROR(VLOOKUP($D169,KPI!$V:$AN,2,FALSE),"-")</f>
        <v>-</v>
      </c>
      <c r="Q169" s="32" t="str">
        <f t="shared" si="25"/>
        <v>-</v>
      </c>
      <c r="R169" s="185" t="str">
        <f t="shared" si="26"/>
        <v>-</v>
      </c>
      <c r="S169" s="89" t="str">
        <f t="shared" si="27"/>
        <v>-</v>
      </c>
      <c r="AG169" s="664"/>
      <c r="AH169" s="664"/>
      <c r="AI169" s="664"/>
      <c r="AJ169" s="92"/>
      <c r="AK169" s="92"/>
      <c r="AL169" s="92"/>
      <c r="AM169" s="92"/>
      <c r="AN169" s="92"/>
      <c r="AO169" s="157"/>
      <c r="AP169" s="157"/>
      <c r="AQ169" s="571"/>
      <c r="AS169" s="664">
        <f t="shared" si="29"/>
        <v>167</v>
      </c>
      <c r="AT169" s="664"/>
      <c r="AU169" s="664"/>
      <c r="AV169" s="92" t="str">
        <f>IFERROR(VLOOKUP($AT169,RESOURCES!$C:$L,MATCH('PRODUCTIVITY RAW'!AV$2,RESOURCES!$C$3:$L$3,0),FALSE),"-")</f>
        <v>-</v>
      </c>
      <c r="AW169" s="92" t="str">
        <f>IFERROR(VLOOKUP($AT169,RESOURCES!$C:$L,MATCH('PRODUCTIVITY RAW'!AW$2,RESOURCES!$C$3:$L$3,0),FALSE),"-")</f>
        <v>-</v>
      </c>
      <c r="AX169" s="92" t="str">
        <f>IFERROR(VLOOKUP($AT169,RESOURCES!$C:$L,MATCH('PRODUCTIVITY RAW'!AX$2,RESOURCES!$C$3:$L$3,0),FALSE),"-")</f>
        <v>-</v>
      </c>
      <c r="AY169" s="92" t="str">
        <f>IFERROR(VLOOKUP($AT169,RESOURCES!$C:$L,MATCH('PRODUCTIVITY RAW'!AY$2,RESOURCES!$C$3:$L$3,0),FALSE),"-")</f>
        <v>-</v>
      </c>
      <c r="AZ169" s="92" t="str">
        <f>IFERROR(VLOOKUP($AT169,RESOURCES!$C:$L,MATCH('PRODUCTIVITY RAW'!AZ$2,RESOURCES!$C$3:$L$3,0),FALSE),"-")</f>
        <v>-</v>
      </c>
      <c r="BA169" s="20"/>
    </row>
    <row r="170" spans="1:53">
      <c r="A170" s="664">
        <f t="shared" si="28"/>
        <v>168</v>
      </c>
      <c r="B170" s="466"/>
      <c r="C170" s="92" t="str">
        <f>IFERROR(VLOOKUP($B170,RESOURCES!$C:$L,MATCH('PRODUCTIVITY RAW'!C$2,RESOURCES!$C$3:$L$3,0),FALSE),"-")</f>
        <v>-</v>
      </c>
      <c r="D170" s="92" t="str">
        <f>IFERROR(VLOOKUP($B170,RESOURCES!$C:$L,MATCH('PRODUCTIVITY RAW'!D$2,RESOURCES!$C$3:$L$3,0),FALSE),"-")</f>
        <v>-</v>
      </c>
      <c r="E170" s="92" t="str">
        <f>IFERROR(VLOOKUP($B170,RESOURCES!$C:$L,MATCH('PRODUCTIVITY RAW'!E$2,RESOURCES!$C$3:$L$3,0),FALSE),"-")</f>
        <v>-</v>
      </c>
      <c r="F170" s="92" t="str">
        <f>IFERROR(VLOOKUP($B170,RESOURCES!$C:$L,MATCH('PRODUCTIVITY RAW'!F$2,RESOURCES!$C$3:$L$3,0),FALSE),"-")</f>
        <v>-</v>
      </c>
      <c r="G170" s="92" t="str">
        <f>IFERROR(VLOOKUP($B170,RESOURCES!$C:$L,MATCH('PRODUCTIVITY RAW'!G$2,RESOURCES!$C$3:$L$3,0),FALSE),"-")</f>
        <v>-</v>
      </c>
      <c r="H170" s="92" t="str">
        <f>IFERROR(VLOOKUP($B170,RESOURCES!$C:$L,MATCH('PRODUCTIVITY RAW'!H$2,RESOURCES!$C$3:$L$3,0),FALSE),"-")</f>
        <v>-</v>
      </c>
      <c r="I170" s="8"/>
      <c r="J170" s="8"/>
      <c r="K170" s="9" t="str">
        <f>IFERROR(VLOOKUP($B170,RESOURCES!$C:$L,MATCH('PRODUCTIVITY RAW'!K$2,RESOURCES!$C$3:$L$3,0),FALSE),"-")</f>
        <v>-</v>
      </c>
      <c r="L170" s="21" t="str">
        <f t="shared" si="20"/>
        <v>-</v>
      </c>
      <c r="M170" s="21" t="str">
        <f t="shared" si="21"/>
        <v>-</v>
      </c>
      <c r="N170" s="21" t="str">
        <f t="shared" si="23"/>
        <v>-</v>
      </c>
      <c r="O170" s="86" t="str">
        <f t="shared" si="24"/>
        <v>-</v>
      </c>
      <c r="P170" s="86" t="str">
        <f>IFERROR(VLOOKUP($D170,KPI!$V:$AN,2,FALSE),"-")</f>
        <v>-</v>
      </c>
      <c r="Q170" s="32" t="str">
        <f t="shared" si="25"/>
        <v>-</v>
      </c>
      <c r="R170" s="185" t="str">
        <f t="shared" si="26"/>
        <v>-</v>
      </c>
      <c r="S170" s="89" t="str">
        <f t="shared" si="27"/>
        <v>-</v>
      </c>
      <c r="AG170" s="664"/>
      <c r="AH170" s="664"/>
      <c r="AI170" s="664"/>
      <c r="AJ170" s="92"/>
      <c r="AK170" s="92"/>
      <c r="AL170" s="92"/>
      <c r="AM170" s="92"/>
      <c r="AN170" s="92"/>
      <c r="AO170" s="157"/>
      <c r="AP170" s="157"/>
      <c r="AQ170" s="571"/>
      <c r="AS170" s="664">
        <f t="shared" si="29"/>
        <v>168</v>
      </c>
      <c r="AT170" s="664"/>
      <c r="AU170" s="664"/>
      <c r="AV170" s="92" t="str">
        <f>IFERROR(VLOOKUP($AT170,RESOURCES!$C:$L,MATCH('PRODUCTIVITY RAW'!AV$2,RESOURCES!$C$3:$L$3,0),FALSE),"-")</f>
        <v>-</v>
      </c>
      <c r="AW170" s="92" t="str">
        <f>IFERROR(VLOOKUP($AT170,RESOURCES!$C:$L,MATCH('PRODUCTIVITY RAW'!AW$2,RESOURCES!$C$3:$L$3,0),FALSE),"-")</f>
        <v>-</v>
      </c>
      <c r="AX170" s="92" t="str">
        <f>IFERROR(VLOOKUP($AT170,RESOURCES!$C:$L,MATCH('PRODUCTIVITY RAW'!AX$2,RESOURCES!$C$3:$L$3,0),FALSE),"-")</f>
        <v>-</v>
      </c>
      <c r="AY170" s="92" t="str">
        <f>IFERROR(VLOOKUP($AT170,RESOURCES!$C:$L,MATCH('PRODUCTIVITY RAW'!AY$2,RESOURCES!$C$3:$L$3,0),FALSE),"-")</f>
        <v>-</v>
      </c>
      <c r="AZ170" s="92" t="str">
        <f>IFERROR(VLOOKUP($AT170,RESOURCES!$C:$L,MATCH('PRODUCTIVITY RAW'!AZ$2,RESOURCES!$C$3:$L$3,0),FALSE),"-")</f>
        <v>-</v>
      </c>
      <c r="BA170" s="20"/>
    </row>
    <row r="171" spans="1:53">
      <c r="A171" s="664">
        <f t="shared" si="28"/>
        <v>169</v>
      </c>
      <c r="B171" s="466"/>
      <c r="C171" s="92" t="str">
        <f>IFERROR(VLOOKUP($B171,RESOURCES!$C:$L,MATCH('PRODUCTIVITY RAW'!C$2,RESOURCES!$C$3:$L$3,0),FALSE),"-")</f>
        <v>-</v>
      </c>
      <c r="D171" s="92" t="str">
        <f>IFERROR(VLOOKUP($B171,RESOURCES!$C:$L,MATCH('PRODUCTIVITY RAW'!D$2,RESOURCES!$C$3:$L$3,0),FALSE),"-")</f>
        <v>-</v>
      </c>
      <c r="E171" s="92" t="str">
        <f>IFERROR(VLOOKUP($B171,RESOURCES!$C:$L,MATCH('PRODUCTIVITY RAW'!E$2,RESOURCES!$C$3:$L$3,0),FALSE),"-")</f>
        <v>-</v>
      </c>
      <c r="F171" s="92" t="str">
        <f>IFERROR(VLOOKUP($B171,RESOURCES!$C:$L,MATCH('PRODUCTIVITY RAW'!F$2,RESOURCES!$C$3:$L$3,0),FALSE),"-")</f>
        <v>-</v>
      </c>
      <c r="G171" s="92" t="str">
        <f>IFERROR(VLOOKUP($B171,RESOURCES!$C:$L,MATCH('PRODUCTIVITY RAW'!G$2,RESOURCES!$C$3:$L$3,0),FALSE),"-")</f>
        <v>-</v>
      </c>
      <c r="H171" s="92" t="str">
        <f>IFERROR(VLOOKUP($B171,RESOURCES!$C:$L,MATCH('PRODUCTIVITY RAW'!H$2,RESOURCES!$C$3:$L$3,0),FALSE),"-")</f>
        <v>-</v>
      </c>
      <c r="I171" s="8"/>
      <c r="J171" s="8"/>
      <c r="K171" s="9" t="str">
        <f>IFERROR(VLOOKUP($B171,RESOURCES!$C:$L,MATCH('PRODUCTIVITY RAW'!K$2,RESOURCES!$C$3:$L$3,0),FALSE),"-")</f>
        <v>-</v>
      </c>
      <c r="L171" s="21" t="str">
        <f t="shared" si="20"/>
        <v>-</v>
      </c>
      <c r="M171" s="21" t="str">
        <f t="shared" si="21"/>
        <v>-</v>
      </c>
      <c r="N171" s="21" t="str">
        <f t="shared" si="23"/>
        <v>-</v>
      </c>
      <c r="O171" s="86" t="str">
        <f t="shared" si="24"/>
        <v>-</v>
      </c>
      <c r="P171" s="86" t="str">
        <f>IFERROR(VLOOKUP($D171,KPI!$V:$AN,2,FALSE),"-")</f>
        <v>-</v>
      </c>
      <c r="Q171" s="32" t="str">
        <f t="shared" si="25"/>
        <v>-</v>
      </c>
      <c r="R171" s="185" t="str">
        <f t="shared" si="26"/>
        <v>-</v>
      </c>
      <c r="S171" s="89" t="str">
        <f t="shared" si="27"/>
        <v>-</v>
      </c>
      <c r="AG171" s="664"/>
      <c r="AH171" s="664"/>
      <c r="AI171" s="664"/>
      <c r="AJ171" s="92"/>
      <c r="AK171" s="92"/>
      <c r="AL171" s="92"/>
      <c r="AM171" s="92"/>
      <c r="AN171" s="92"/>
      <c r="AO171" s="157"/>
      <c r="AP171" s="157"/>
      <c r="AQ171" s="571"/>
      <c r="AS171" s="664">
        <f t="shared" si="29"/>
        <v>169</v>
      </c>
      <c r="AT171" s="664"/>
      <c r="AU171" s="664"/>
      <c r="AV171" s="92" t="str">
        <f>IFERROR(VLOOKUP($AT171,RESOURCES!$C:$L,MATCH('PRODUCTIVITY RAW'!AV$2,RESOURCES!$C$3:$L$3,0),FALSE),"-")</f>
        <v>-</v>
      </c>
      <c r="AW171" s="92" t="str">
        <f>IFERROR(VLOOKUP($AT171,RESOURCES!$C:$L,MATCH('PRODUCTIVITY RAW'!AW$2,RESOURCES!$C$3:$L$3,0),FALSE),"-")</f>
        <v>-</v>
      </c>
      <c r="AX171" s="92" t="str">
        <f>IFERROR(VLOOKUP($AT171,RESOURCES!$C:$L,MATCH('PRODUCTIVITY RAW'!AX$2,RESOURCES!$C$3:$L$3,0),FALSE),"-")</f>
        <v>-</v>
      </c>
      <c r="AY171" s="92" t="str">
        <f>IFERROR(VLOOKUP($AT171,RESOURCES!$C:$L,MATCH('PRODUCTIVITY RAW'!AY$2,RESOURCES!$C$3:$L$3,0),FALSE),"-")</f>
        <v>-</v>
      </c>
      <c r="AZ171" s="92" t="str">
        <f>IFERROR(VLOOKUP($AT171,RESOURCES!$C:$L,MATCH('PRODUCTIVITY RAW'!AZ$2,RESOURCES!$C$3:$L$3,0),FALSE),"-")</f>
        <v>-</v>
      </c>
      <c r="BA171" s="20"/>
    </row>
    <row r="172" spans="1:53">
      <c r="A172" s="664">
        <f t="shared" si="28"/>
        <v>170</v>
      </c>
      <c r="B172" s="466"/>
      <c r="C172" s="92" t="str">
        <f>IFERROR(VLOOKUP($B172,RESOURCES!$C:$L,MATCH('PRODUCTIVITY RAW'!C$2,RESOURCES!$C$3:$L$3,0),FALSE),"-")</f>
        <v>-</v>
      </c>
      <c r="D172" s="92" t="str">
        <f>IFERROR(VLOOKUP($B172,RESOURCES!$C:$L,MATCH('PRODUCTIVITY RAW'!D$2,RESOURCES!$C$3:$L$3,0),FALSE),"-")</f>
        <v>-</v>
      </c>
      <c r="E172" s="92" t="str">
        <f>IFERROR(VLOOKUP($B172,RESOURCES!$C:$L,MATCH('PRODUCTIVITY RAW'!E$2,RESOURCES!$C$3:$L$3,0),FALSE),"-")</f>
        <v>-</v>
      </c>
      <c r="F172" s="92" t="str">
        <f>IFERROR(VLOOKUP($B172,RESOURCES!$C:$L,MATCH('PRODUCTIVITY RAW'!F$2,RESOURCES!$C$3:$L$3,0),FALSE),"-")</f>
        <v>-</v>
      </c>
      <c r="G172" s="92" t="str">
        <f>IFERROR(VLOOKUP($B172,RESOURCES!$C:$L,MATCH('PRODUCTIVITY RAW'!G$2,RESOURCES!$C$3:$L$3,0),FALSE),"-")</f>
        <v>-</v>
      </c>
      <c r="H172" s="92" t="str">
        <f>IFERROR(VLOOKUP($B172,RESOURCES!$C:$L,MATCH('PRODUCTIVITY RAW'!H$2,RESOURCES!$C$3:$L$3,0),FALSE),"-")</f>
        <v>-</v>
      </c>
      <c r="I172" s="8"/>
      <c r="J172" s="8"/>
      <c r="K172" s="9" t="str">
        <f>IFERROR(VLOOKUP($B172,RESOURCES!$C:$L,MATCH('PRODUCTIVITY RAW'!K$2,RESOURCES!$C$3:$L$3,0),FALSE),"-")</f>
        <v>-</v>
      </c>
      <c r="L172" s="21" t="str">
        <f t="shared" si="20"/>
        <v>-</v>
      </c>
      <c r="M172" s="21" t="str">
        <f t="shared" si="21"/>
        <v>-</v>
      </c>
      <c r="N172" s="21" t="str">
        <f t="shared" si="23"/>
        <v>-</v>
      </c>
      <c r="O172" s="86" t="str">
        <f t="shared" si="24"/>
        <v>-</v>
      </c>
      <c r="P172" s="86" t="str">
        <f>IFERROR(VLOOKUP($D172,KPI!$V:$AN,2,FALSE),"-")</f>
        <v>-</v>
      </c>
      <c r="Q172" s="32" t="str">
        <f t="shared" si="25"/>
        <v>-</v>
      </c>
      <c r="R172" s="185" t="str">
        <f t="shared" si="26"/>
        <v>-</v>
      </c>
      <c r="S172" s="89" t="str">
        <f t="shared" si="27"/>
        <v>-</v>
      </c>
      <c r="AG172" s="664"/>
      <c r="AH172" s="664"/>
      <c r="AI172" s="664"/>
      <c r="AJ172" s="92"/>
      <c r="AK172" s="92"/>
      <c r="AL172" s="92"/>
      <c r="AM172" s="92"/>
      <c r="AN172" s="92"/>
      <c r="AO172" s="157"/>
      <c r="AP172" s="157"/>
      <c r="AQ172" s="571"/>
      <c r="AS172" s="664">
        <f t="shared" si="29"/>
        <v>170</v>
      </c>
      <c r="AT172" s="664"/>
      <c r="AU172" s="664"/>
      <c r="AV172" s="92" t="str">
        <f>IFERROR(VLOOKUP($AT172,RESOURCES!$C:$L,MATCH('PRODUCTIVITY RAW'!AV$2,RESOURCES!$C$3:$L$3,0),FALSE),"-")</f>
        <v>-</v>
      </c>
      <c r="AW172" s="92" t="str">
        <f>IFERROR(VLOOKUP($AT172,RESOURCES!$C:$L,MATCH('PRODUCTIVITY RAW'!AW$2,RESOURCES!$C$3:$L$3,0),FALSE),"-")</f>
        <v>-</v>
      </c>
      <c r="AX172" s="92" t="str">
        <f>IFERROR(VLOOKUP($AT172,RESOURCES!$C:$L,MATCH('PRODUCTIVITY RAW'!AX$2,RESOURCES!$C$3:$L$3,0),FALSE),"-")</f>
        <v>-</v>
      </c>
      <c r="AY172" s="92" t="str">
        <f>IFERROR(VLOOKUP($AT172,RESOURCES!$C:$L,MATCH('PRODUCTIVITY RAW'!AY$2,RESOURCES!$C$3:$L$3,0),FALSE),"-")</f>
        <v>-</v>
      </c>
      <c r="AZ172" s="92" t="str">
        <f>IFERROR(VLOOKUP($AT172,RESOURCES!$C:$L,MATCH('PRODUCTIVITY RAW'!AZ$2,RESOURCES!$C$3:$L$3,0),FALSE),"-")</f>
        <v>-</v>
      </c>
      <c r="BA172" s="20"/>
    </row>
    <row r="173" spans="1:53">
      <c r="A173" s="664">
        <f t="shared" si="28"/>
        <v>171</v>
      </c>
      <c r="B173" s="466"/>
      <c r="C173" s="92" t="str">
        <f>IFERROR(VLOOKUP($B173,RESOURCES!$C:$L,MATCH('PRODUCTIVITY RAW'!C$2,RESOURCES!$C$3:$L$3,0),FALSE),"-")</f>
        <v>-</v>
      </c>
      <c r="D173" s="92" t="str">
        <f>IFERROR(VLOOKUP($B173,RESOURCES!$C:$L,MATCH('PRODUCTIVITY RAW'!D$2,RESOURCES!$C$3:$L$3,0),FALSE),"-")</f>
        <v>-</v>
      </c>
      <c r="E173" s="92" t="str">
        <f>IFERROR(VLOOKUP($B173,RESOURCES!$C:$L,MATCH('PRODUCTIVITY RAW'!E$2,RESOURCES!$C$3:$L$3,0),FALSE),"-")</f>
        <v>-</v>
      </c>
      <c r="F173" s="92" t="str">
        <f>IFERROR(VLOOKUP($B173,RESOURCES!$C:$L,MATCH('PRODUCTIVITY RAW'!F$2,RESOURCES!$C$3:$L$3,0),FALSE),"-")</f>
        <v>-</v>
      </c>
      <c r="G173" s="92" t="str">
        <f>IFERROR(VLOOKUP($B173,RESOURCES!$C:$L,MATCH('PRODUCTIVITY RAW'!G$2,RESOURCES!$C$3:$L$3,0),FALSE),"-")</f>
        <v>-</v>
      </c>
      <c r="H173" s="92" t="str">
        <f>IFERROR(VLOOKUP($B173,RESOURCES!$C:$L,MATCH('PRODUCTIVITY RAW'!H$2,RESOURCES!$C$3:$L$3,0),FALSE),"-")</f>
        <v>-</v>
      </c>
      <c r="I173" s="8"/>
      <c r="J173" s="8"/>
      <c r="K173" s="9" t="str">
        <f>IFERROR(VLOOKUP($B173,RESOURCES!$C:$L,MATCH('PRODUCTIVITY RAW'!K$2,RESOURCES!$C$3:$L$3,0),FALSE),"-")</f>
        <v>-</v>
      </c>
      <c r="L173" s="21" t="str">
        <f t="shared" si="20"/>
        <v>-</v>
      </c>
      <c r="M173" s="21" t="str">
        <f t="shared" si="21"/>
        <v>-</v>
      </c>
      <c r="N173" s="21" t="str">
        <f t="shared" si="23"/>
        <v>-</v>
      </c>
      <c r="O173" s="86" t="str">
        <f t="shared" si="24"/>
        <v>-</v>
      </c>
      <c r="P173" s="86" t="str">
        <f>IFERROR(VLOOKUP($D173,KPI!$V:$AN,2,FALSE),"-")</f>
        <v>-</v>
      </c>
      <c r="Q173" s="32" t="str">
        <f t="shared" si="25"/>
        <v>-</v>
      </c>
      <c r="R173" s="185" t="str">
        <f t="shared" si="26"/>
        <v>-</v>
      </c>
      <c r="S173" s="89" t="str">
        <f t="shared" si="27"/>
        <v>-</v>
      </c>
      <c r="AG173" s="664"/>
      <c r="AH173" s="664"/>
      <c r="AI173" s="664"/>
      <c r="AJ173" s="92"/>
      <c r="AK173" s="92"/>
      <c r="AL173" s="92"/>
      <c r="AM173" s="92"/>
      <c r="AN173" s="92"/>
      <c r="AO173" s="157"/>
      <c r="AP173" s="157"/>
      <c r="AQ173" s="571"/>
      <c r="AS173" s="664">
        <f t="shared" si="29"/>
        <v>171</v>
      </c>
      <c r="AT173" s="664"/>
      <c r="AU173" s="664"/>
      <c r="AV173" s="92" t="str">
        <f>IFERROR(VLOOKUP($AT173,RESOURCES!$C:$L,MATCH('PRODUCTIVITY RAW'!AV$2,RESOURCES!$C$3:$L$3,0),FALSE),"-")</f>
        <v>-</v>
      </c>
      <c r="AW173" s="92" t="str">
        <f>IFERROR(VLOOKUP($AT173,RESOURCES!$C:$L,MATCH('PRODUCTIVITY RAW'!AW$2,RESOURCES!$C$3:$L$3,0),FALSE),"-")</f>
        <v>-</v>
      </c>
      <c r="AX173" s="92" t="str">
        <f>IFERROR(VLOOKUP($AT173,RESOURCES!$C:$L,MATCH('PRODUCTIVITY RAW'!AX$2,RESOURCES!$C$3:$L$3,0),FALSE),"-")</f>
        <v>-</v>
      </c>
      <c r="AY173" s="92" t="str">
        <f>IFERROR(VLOOKUP($AT173,RESOURCES!$C:$L,MATCH('PRODUCTIVITY RAW'!AY$2,RESOURCES!$C$3:$L$3,0),FALSE),"-")</f>
        <v>-</v>
      </c>
      <c r="AZ173" s="92" t="str">
        <f>IFERROR(VLOOKUP($AT173,RESOURCES!$C:$L,MATCH('PRODUCTIVITY RAW'!AZ$2,RESOURCES!$C$3:$L$3,0),FALSE),"-")</f>
        <v>-</v>
      </c>
      <c r="BA173" s="20"/>
    </row>
    <row r="174" spans="1:53">
      <c r="A174" s="664">
        <f t="shared" si="28"/>
        <v>172</v>
      </c>
      <c r="B174" s="466"/>
      <c r="C174" s="92" t="str">
        <f>IFERROR(VLOOKUP($B174,RESOURCES!$C:$L,MATCH('PRODUCTIVITY RAW'!C$2,RESOURCES!$C$3:$L$3,0),FALSE),"-")</f>
        <v>-</v>
      </c>
      <c r="D174" s="92" t="str">
        <f>IFERROR(VLOOKUP($B174,RESOURCES!$C:$L,MATCH('PRODUCTIVITY RAW'!D$2,RESOURCES!$C$3:$L$3,0),FALSE),"-")</f>
        <v>-</v>
      </c>
      <c r="E174" s="92" t="str">
        <f>IFERROR(VLOOKUP($B174,RESOURCES!$C:$L,MATCH('PRODUCTIVITY RAW'!E$2,RESOURCES!$C$3:$L$3,0),FALSE),"-")</f>
        <v>-</v>
      </c>
      <c r="F174" s="92" t="str">
        <f>IFERROR(VLOOKUP($B174,RESOURCES!$C:$L,MATCH('PRODUCTIVITY RAW'!F$2,RESOURCES!$C$3:$L$3,0),FALSE),"-")</f>
        <v>-</v>
      </c>
      <c r="G174" s="92" t="str">
        <f>IFERROR(VLOOKUP($B174,RESOURCES!$C:$L,MATCH('PRODUCTIVITY RAW'!G$2,RESOURCES!$C$3:$L$3,0),FALSE),"-")</f>
        <v>-</v>
      </c>
      <c r="H174" s="92" t="str">
        <f>IFERROR(VLOOKUP($B174,RESOURCES!$C:$L,MATCH('PRODUCTIVITY RAW'!H$2,RESOURCES!$C$3:$L$3,0),FALSE),"-")</f>
        <v>-</v>
      </c>
      <c r="I174" s="8"/>
      <c r="J174" s="8"/>
      <c r="K174" s="9" t="str">
        <f>IFERROR(VLOOKUP($B174,RESOURCES!$C:$L,MATCH('PRODUCTIVITY RAW'!K$2,RESOURCES!$C$3:$L$3,0),FALSE),"-")</f>
        <v>-</v>
      </c>
      <c r="L174" s="21" t="str">
        <f t="shared" si="20"/>
        <v>-</v>
      </c>
      <c r="M174" s="21" t="str">
        <f t="shared" si="21"/>
        <v>-</v>
      </c>
      <c r="N174" s="21" t="str">
        <f t="shared" si="23"/>
        <v>-</v>
      </c>
      <c r="O174" s="86" t="str">
        <f t="shared" si="24"/>
        <v>-</v>
      </c>
      <c r="P174" s="86" t="str">
        <f>IFERROR(VLOOKUP($D174,KPI!$V:$AN,2,FALSE),"-")</f>
        <v>-</v>
      </c>
      <c r="Q174" s="32" t="str">
        <f t="shared" si="25"/>
        <v>-</v>
      </c>
      <c r="R174" s="185" t="str">
        <f t="shared" si="26"/>
        <v>-</v>
      </c>
      <c r="S174" s="89" t="str">
        <f t="shared" si="27"/>
        <v>-</v>
      </c>
      <c r="AG174" s="664"/>
      <c r="AH174" s="664"/>
      <c r="AI174" s="664"/>
      <c r="AJ174" s="92"/>
      <c r="AK174" s="92"/>
      <c r="AL174" s="92"/>
      <c r="AM174" s="92"/>
      <c r="AN174" s="92"/>
      <c r="AO174" s="157"/>
      <c r="AP174" s="157"/>
      <c r="AQ174" s="571"/>
      <c r="AS174" s="664">
        <f t="shared" si="29"/>
        <v>172</v>
      </c>
      <c r="AT174" s="664"/>
      <c r="AU174" s="664"/>
      <c r="AV174" s="92" t="str">
        <f>IFERROR(VLOOKUP($AT174,RESOURCES!$C:$L,MATCH('PRODUCTIVITY RAW'!AV$2,RESOURCES!$C$3:$L$3,0),FALSE),"-")</f>
        <v>-</v>
      </c>
      <c r="AW174" s="92" t="str">
        <f>IFERROR(VLOOKUP($AT174,RESOURCES!$C:$L,MATCH('PRODUCTIVITY RAW'!AW$2,RESOURCES!$C$3:$L$3,0),FALSE),"-")</f>
        <v>-</v>
      </c>
      <c r="AX174" s="92" t="str">
        <f>IFERROR(VLOOKUP($AT174,RESOURCES!$C:$L,MATCH('PRODUCTIVITY RAW'!AX$2,RESOURCES!$C$3:$L$3,0),FALSE),"-")</f>
        <v>-</v>
      </c>
      <c r="AY174" s="92" t="str">
        <f>IFERROR(VLOOKUP($AT174,RESOURCES!$C:$L,MATCH('PRODUCTIVITY RAW'!AY$2,RESOURCES!$C$3:$L$3,0),FALSE),"-")</f>
        <v>-</v>
      </c>
      <c r="AZ174" s="92" t="str">
        <f>IFERROR(VLOOKUP($AT174,RESOURCES!$C:$L,MATCH('PRODUCTIVITY RAW'!AZ$2,RESOURCES!$C$3:$L$3,0),FALSE),"-")</f>
        <v>-</v>
      </c>
      <c r="BA174" s="20"/>
    </row>
    <row r="175" spans="1:53">
      <c r="A175" s="664">
        <f t="shared" si="28"/>
        <v>173</v>
      </c>
      <c r="B175" s="466"/>
      <c r="C175" s="92" t="str">
        <f>IFERROR(VLOOKUP($B175,RESOURCES!$C:$L,MATCH('PRODUCTIVITY RAW'!C$2,RESOURCES!$C$3:$L$3,0),FALSE),"-")</f>
        <v>-</v>
      </c>
      <c r="D175" s="92" t="str">
        <f>IFERROR(VLOOKUP($B175,RESOURCES!$C:$L,MATCH('PRODUCTIVITY RAW'!D$2,RESOURCES!$C$3:$L$3,0),FALSE),"-")</f>
        <v>-</v>
      </c>
      <c r="E175" s="92" t="str">
        <f>IFERROR(VLOOKUP($B175,RESOURCES!$C:$L,MATCH('PRODUCTIVITY RAW'!E$2,RESOURCES!$C$3:$L$3,0),FALSE),"-")</f>
        <v>-</v>
      </c>
      <c r="F175" s="92" t="str">
        <f>IFERROR(VLOOKUP($B175,RESOURCES!$C:$L,MATCH('PRODUCTIVITY RAW'!F$2,RESOURCES!$C$3:$L$3,0),FALSE),"-")</f>
        <v>-</v>
      </c>
      <c r="G175" s="92" t="str">
        <f>IFERROR(VLOOKUP($B175,RESOURCES!$C:$L,MATCH('PRODUCTIVITY RAW'!G$2,RESOURCES!$C$3:$L$3,0),FALSE),"-")</f>
        <v>-</v>
      </c>
      <c r="H175" s="92" t="str">
        <f>IFERROR(VLOOKUP($B175,RESOURCES!$C:$L,MATCH('PRODUCTIVITY RAW'!H$2,RESOURCES!$C$3:$L$3,0),FALSE),"-")</f>
        <v>-</v>
      </c>
      <c r="I175" s="8"/>
      <c r="J175" s="8"/>
      <c r="K175" s="9" t="str">
        <f>IFERROR(VLOOKUP($B175,RESOURCES!$C:$L,MATCH('PRODUCTIVITY RAW'!K$2,RESOURCES!$C$3:$L$3,0),FALSE),"-")</f>
        <v>-</v>
      </c>
      <c r="L175" s="21" t="str">
        <f t="shared" si="20"/>
        <v>-</v>
      </c>
      <c r="M175" s="21" t="str">
        <f t="shared" si="21"/>
        <v>-</v>
      </c>
      <c r="N175" s="21" t="str">
        <f t="shared" si="23"/>
        <v>-</v>
      </c>
      <c r="O175" s="86" t="str">
        <f t="shared" si="24"/>
        <v>-</v>
      </c>
      <c r="P175" s="86" t="str">
        <f>IFERROR(VLOOKUP($D175,KPI!$V:$AN,2,FALSE),"-")</f>
        <v>-</v>
      </c>
      <c r="Q175" s="32" t="str">
        <f t="shared" si="25"/>
        <v>-</v>
      </c>
      <c r="R175" s="185" t="str">
        <f t="shared" si="26"/>
        <v>-</v>
      </c>
      <c r="S175" s="89" t="str">
        <f t="shared" si="27"/>
        <v>-</v>
      </c>
      <c r="AG175" s="664"/>
      <c r="AH175" s="664"/>
      <c r="AI175" s="664"/>
      <c r="AJ175" s="92"/>
      <c r="AK175" s="92"/>
      <c r="AL175" s="92"/>
      <c r="AM175" s="92"/>
      <c r="AN175" s="92"/>
      <c r="AO175" s="157"/>
      <c r="AP175" s="157"/>
      <c r="AQ175" s="571"/>
      <c r="AS175" s="664">
        <f t="shared" si="29"/>
        <v>173</v>
      </c>
      <c r="AT175" s="664"/>
      <c r="AU175" s="664"/>
      <c r="AV175" s="92" t="str">
        <f>IFERROR(VLOOKUP($AT175,RESOURCES!$C:$L,MATCH('PRODUCTIVITY RAW'!AV$2,RESOURCES!$C$3:$L$3,0),FALSE),"-")</f>
        <v>-</v>
      </c>
      <c r="AW175" s="92" t="str">
        <f>IFERROR(VLOOKUP($AT175,RESOURCES!$C:$L,MATCH('PRODUCTIVITY RAW'!AW$2,RESOURCES!$C$3:$L$3,0),FALSE),"-")</f>
        <v>-</v>
      </c>
      <c r="AX175" s="92" t="str">
        <f>IFERROR(VLOOKUP($AT175,RESOURCES!$C:$L,MATCH('PRODUCTIVITY RAW'!AX$2,RESOURCES!$C$3:$L$3,0),FALSE),"-")</f>
        <v>-</v>
      </c>
      <c r="AY175" s="92" t="str">
        <f>IFERROR(VLOOKUP($AT175,RESOURCES!$C:$L,MATCH('PRODUCTIVITY RAW'!AY$2,RESOURCES!$C$3:$L$3,0),FALSE),"-")</f>
        <v>-</v>
      </c>
      <c r="AZ175" s="92" t="str">
        <f>IFERROR(VLOOKUP($AT175,RESOURCES!$C:$L,MATCH('PRODUCTIVITY RAW'!AZ$2,RESOURCES!$C$3:$L$3,0),FALSE),"-")</f>
        <v>-</v>
      </c>
      <c r="BA175" s="20"/>
    </row>
    <row r="176" spans="1:53">
      <c r="A176" s="664">
        <f t="shared" si="28"/>
        <v>174</v>
      </c>
      <c r="B176" s="466"/>
      <c r="C176" s="92" t="str">
        <f>IFERROR(VLOOKUP($B176,RESOURCES!$C:$L,MATCH('PRODUCTIVITY RAW'!C$2,RESOURCES!$C$3:$L$3,0),FALSE),"-")</f>
        <v>-</v>
      </c>
      <c r="D176" s="92" t="str">
        <f>IFERROR(VLOOKUP($B176,RESOURCES!$C:$L,MATCH('PRODUCTIVITY RAW'!D$2,RESOURCES!$C$3:$L$3,0),FALSE),"-")</f>
        <v>-</v>
      </c>
      <c r="E176" s="92" t="str">
        <f>IFERROR(VLOOKUP($B176,RESOURCES!$C:$L,MATCH('PRODUCTIVITY RAW'!E$2,RESOURCES!$C$3:$L$3,0),FALSE),"-")</f>
        <v>-</v>
      </c>
      <c r="F176" s="92" t="str">
        <f>IFERROR(VLOOKUP($B176,RESOURCES!$C:$L,MATCH('PRODUCTIVITY RAW'!F$2,RESOURCES!$C$3:$L$3,0),FALSE),"-")</f>
        <v>-</v>
      </c>
      <c r="G176" s="92" t="str">
        <f>IFERROR(VLOOKUP($B176,RESOURCES!$C:$L,MATCH('PRODUCTIVITY RAW'!G$2,RESOURCES!$C$3:$L$3,0),FALSE),"-")</f>
        <v>-</v>
      </c>
      <c r="H176" s="92" t="str">
        <f>IFERROR(VLOOKUP($B176,RESOURCES!$C:$L,MATCH('PRODUCTIVITY RAW'!H$2,RESOURCES!$C$3:$L$3,0),FALSE),"-")</f>
        <v>-</v>
      </c>
      <c r="I176" s="8"/>
      <c r="J176" s="8"/>
      <c r="K176" s="9" t="str">
        <f>IFERROR(VLOOKUP($B176,RESOURCES!$C:$L,MATCH('PRODUCTIVITY RAW'!K$2,RESOURCES!$C$3:$L$3,0),FALSE),"-")</f>
        <v>-</v>
      </c>
      <c r="L176" s="21" t="str">
        <f t="shared" si="20"/>
        <v>-</v>
      </c>
      <c r="M176" s="21" t="str">
        <f t="shared" si="21"/>
        <v>-</v>
      </c>
      <c r="N176" s="21" t="str">
        <f t="shared" si="23"/>
        <v>-</v>
      </c>
      <c r="O176" s="86" t="str">
        <f t="shared" si="24"/>
        <v>-</v>
      </c>
      <c r="P176" s="86" t="str">
        <f>IFERROR(VLOOKUP($D176,KPI!$V:$AN,2,FALSE),"-")</f>
        <v>-</v>
      </c>
      <c r="Q176" s="32" t="str">
        <f t="shared" si="25"/>
        <v>-</v>
      </c>
      <c r="R176" s="185" t="str">
        <f t="shared" si="26"/>
        <v>-</v>
      </c>
      <c r="S176" s="89" t="str">
        <f t="shared" si="27"/>
        <v>-</v>
      </c>
      <c r="AG176" s="664"/>
      <c r="AH176" s="664"/>
      <c r="AI176" s="664"/>
      <c r="AJ176" s="92"/>
      <c r="AK176" s="92"/>
      <c r="AL176" s="92"/>
      <c r="AM176" s="92"/>
      <c r="AN176" s="92"/>
      <c r="AO176" s="157"/>
      <c r="AP176" s="157"/>
      <c r="AQ176" s="571"/>
      <c r="AS176" s="664">
        <f t="shared" si="29"/>
        <v>174</v>
      </c>
      <c r="AT176" s="664"/>
      <c r="AU176" s="664"/>
      <c r="AV176" s="92" t="str">
        <f>IFERROR(VLOOKUP($AT176,RESOURCES!$C:$L,MATCH('PRODUCTIVITY RAW'!AV$2,RESOURCES!$C$3:$L$3,0),FALSE),"-")</f>
        <v>-</v>
      </c>
      <c r="AW176" s="92" t="str">
        <f>IFERROR(VLOOKUP($AT176,RESOURCES!$C:$L,MATCH('PRODUCTIVITY RAW'!AW$2,RESOURCES!$C$3:$L$3,0),FALSE),"-")</f>
        <v>-</v>
      </c>
      <c r="AX176" s="92" t="str">
        <f>IFERROR(VLOOKUP($AT176,RESOURCES!$C:$L,MATCH('PRODUCTIVITY RAW'!AX$2,RESOURCES!$C$3:$L$3,0),FALSE),"-")</f>
        <v>-</v>
      </c>
      <c r="AY176" s="92" t="str">
        <f>IFERROR(VLOOKUP($AT176,RESOURCES!$C:$L,MATCH('PRODUCTIVITY RAW'!AY$2,RESOURCES!$C$3:$L$3,0),FALSE),"-")</f>
        <v>-</v>
      </c>
      <c r="AZ176" s="92" t="str">
        <f>IFERROR(VLOOKUP($AT176,RESOURCES!$C:$L,MATCH('PRODUCTIVITY RAW'!AZ$2,RESOURCES!$C$3:$L$3,0),FALSE),"-")</f>
        <v>-</v>
      </c>
      <c r="BA176" s="20"/>
    </row>
    <row r="177" spans="1:53">
      <c r="A177"/>
      <c r="B177"/>
      <c r="C177"/>
      <c r="D177"/>
      <c r="E177"/>
      <c r="F177"/>
      <c r="G177"/>
      <c r="H177"/>
      <c r="I177"/>
      <c r="J177"/>
      <c r="K177"/>
      <c r="L177"/>
      <c r="M177"/>
      <c r="O177"/>
      <c r="AS177" s="664">
        <f t="shared" si="29"/>
        <v>175</v>
      </c>
      <c r="AT177" s="664"/>
      <c r="AU177" s="664"/>
      <c r="AV177" s="92" t="str">
        <f>IFERROR(VLOOKUP($AT177,RESOURCES!$C:$L,MATCH('PRODUCTIVITY RAW'!AV$2,RESOURCES!$C$3:$L$3,0),FALSE),"-")</f>
        <v>-</v>
      </c>
      <c r="AW177" s="92" t="str">
        <f>IFERROR(VLOOKUP($AT177,RESOURCES!$C:$L,MATCH('PRODUCTIVITY RAW'!AW$2,RESOURCES!$C$3:$L$3,0),FALSE),"-")</f>
        <v>-</v>
      </c>
      <c r="AX177" s="92" t="str">
        <f>IFERROR(VLOOKUP($AT177,RESOURCES!$C:$L,MATCH('PRODUCTIVITY RAW'!AX$2,RESOURCES!$C$3:$L$3,0),FALSE),"-")</f>
        <v>-</v>
      </c>
      <c r="AY177" s="92" t="str">
        <f>IFERROR(VLOOKUP($AT177,RESOURCES!$C:$L,MATCH('PRODUCTIVITY RAW'!AY$2,RESOURCES!$C$3:$L$3,0),FALSE),"-")</f>
        <v>-</v>
      </c>
      <c r="AZ177" s="92" t="str">
        <f>IFERROR(VLOOKUP($AT177,RESOURCES!$C:$L,MATCH('PRODUCTIVITY RAW'!AZ$2,RESOURCES!$C$3:$L$3,0),FALSE),"-")</f>
        <v>-</v>
      </c>
      <c r="BA177" s="20"/>
    </row>
    <row r="178" spans="1:53">
      <c r="A178"/>
      <c r="B178"/>
      <c r="C178"/>
      <c r="D178"/>
      <c r="E178"/>
      <c r="F178"/>
      <c r="G178"/>
      <c r="H178"/>
      <c r="I178"/>
      <c r="J178"/>
      <c r="K178"/>
      <c r="L178"/>
      <c r="M178"/>
      <c r="O178"/>
      <c r="AS178" s="664">
        <f t="shared" si="29"/>
        <v>176</v>
      </c>
      <c r="AT178" s="664"/>
      <c r="AU178" s="664"/>
      <c r="AV178" s="92" t="str">
        <f>IFERROR(VLOOKUP($AT178,RESOURCES!$C:$L,MATCH('PRODUCTIVITY RAW'!AV$2,RESOURCES!$C$3:$L$3,0),FALSE),"-")</f>
        <v>-</v>
      </c>
      <c r="AW178" s="92" t="str">
        <f>IFERROR(VLOOKUP($AT178,RESOURCES!$C:$L,MATCH('PRODUCTIVITY RAW'!AW$2,RESOURCES!$C$3:$L$3,0),FALSE),"-")</f>
        <v>-</v>
      </c>
      <c r="AX178" s="92" t="str">
        <f>IFERROR(VLOOKUP($AT178,RESOURCES!$C:$L,MATCH('PRODUCTIVITY RAW'!AX$2,RESOURCES!$C$3:$L$3,0),FALSE),"-")</f>
        <v>-</v>
      </c>
      <c r="AY178" s="92" t="str">
        <f>IFERROR(VLOOKUP($AT178,RESOURCES!$C:$L,MATCH('PRODUCTIVITY RAW'!AY$2,RESOURCES!$C$3:$L$3,0),FALSE),"-")</f>
        <v>-</v>
      </c>
      <c r="AZ178" s="92" t="str">
        <f>IFERROR(VLOOKUP($AT178,RESOURCES!$C:$L,MATCH('PRODUCTIVITY RAW'!AZ$2,RESOURCES!$C$3:$L$3,0),FALSE),"-")</f>
        <v>-</v>
      </c>
      <c r="BA178" s="20"/>
    </row>
    <row r="179" spans="1:53">
      <c r="A179"/>
      <c r="B179"/>
      <c r="C179"/>
      <c r="D179"/>
      <c r="E179"/>
      <c r="F179"/>
      <c r="G179"/>
      <c r="H179"/>
      <c r="I179"/>
      <c r="J179"/>
      <c r="K179"/>
      <c r="L179"/>
      <c r="M179"/>
      <c r="O179"/>
      <c r="AS179" s="664">
        <f t="shared" si="29"/>
        <v>177</v>
      </c>
      <c r="AT179" s="664"/>
      <c r="AU179" s="664"/>
      <c r="AV179" s="92" t="str">
        <f>IFERROR(VLOOKUP($AT179,RESOURCES!$C:$L,MATCH('PRODUCTIVITY RAW'!AV$2,RESOURCES!$C$3:$L$3,0),FALSE),"-")</f>
        <v>-</v>
      </c>
      <c r="AW179" s="92" t="str">
        <f>IFERROR(VLOOKUP($AT179,RESOURCES!$C:$L,MATCH('PRODUCTIVITY RAW'!AW$2,RESOURCES!$C$3:$L$3,0),FALSE),"-")</f>
        <v>-</v>
      </c>
      <c r="AX179" s="92" t="str">
        <f>IFERROR(VLOOKUP($AT179,RESOURCES!$C:$L,MATCH('PRODUCTIVITY RAW'!AX$2,RESOURCES!$C$3:$L$3,0),FALSE),"-")</f>
        <v>-</v>
      </c>
      <c r="AY179" s="92" t="str">
        <f>IFERROR(VLOOKUP($AT179,RESOURCES!$C:$L,MATCH('PRODUCTIVITY RAW'!AY$2,RESOURCES!$C$3:$L$3,0),FALSE),"-")</f>
        <v>-</v>
      </c>
      <c r="AZ179" s="92" t="str">
        <f>IFERROR(VLOOKUP($AT179,RESOURCES!$C:$L,MATCH('PRODUCTIVITY RAW'!AZ$2,RESOURCES!$C$3:$L$3,0),FALSE),"-")</f>
        <v>-</v>
      </c>
      <c r="BA179" s="20"/>
    </row>
    <row r="180" spans="1:53">
      <c r="A180"/>
      <c r="B180"/>
      <c r="C180"/>
      <c r="D180"/>
      <c r="E180"/>
      <c r="F180"/>
      <c r="G180"/>
      <c r="H180"/>
      <c r="I180"/>
      <c r="J180"/>
      <c r="K180"/>
      <c r="L180"/>
      <c r="M180"/>
      <c r="O180"/>
      <c r="AS180" s="664">
        <f t="shared" si="29"/>
        <v>178</v>
      </c>
      <c r="AT180" s="664"/>
      <c r="AU180" s="664"/>
      <c r="AV180" s="92" t="str">
        <f>IFERROR(VLOOKUP($AT180,RESOURCES!$C:$L,MATCH('PRODUCTIVITY RAW'!AV$2,RESOURCES!$C$3:$L$3,0),FALSE),"-")</f>
        <v>-</v>
      </c>
      <c r="AW180" s="92" t="str">
        <f>IFERROR(VLOOKUP($AT180,RESOURCES!$C:$L,MATCH('PRODUCTIVITY RAW'!AW$2,RESOURCES!$C$3:$L$3,0),FALSE),"-")</f>
        <v>-</v>
      </c>
      <c r="AX180" s="92" t="str">
        <f>IFERROR(VLOOKUP($AT180,RESOURCES!$C:$L,MATCH('PRODUCTIVITY RAW'!AX$2,RESOURCES!$C$3:$L$3,0),FALSE),"-")</f>
        <v>-</v>
      </c>
      <c r="AY180" s="92" t="str">
        <f>IFERROR(VLOOKUP($AT180,RESOURCES!$C:$L,MATCH('PRODUCTIVITY RAW'!AY$2,RESOURCES!$C$3:$L$3,0),FALSE),"-")</f>
        <v>-</v>
      </c>
      <c r="AZ180" s="92" t="str">
        <f>IFERROR(VLOOKUP($AT180,RESOURCES!$C:$L,MATCH('PRODUCTIVITY RAW'!AZ$2,RESOURCES!$C$3:$L$3,0),FALSE),"-")</f>
        <v>-</v>
      </c>
      <c r="BA180" s="20"/>
    </row>
    <row r="181" spans="1:53">
      <c r="A181"/>
      <c r="B181"/>
      <c r="C181"/>
      <c r="D181"/>
      <c r="E181"/>
      <c r="F181"/>
      <c r="G181"/>
      <c r="H181"/>
      <c r="I181"/>
      <c r="J181"/>
      <c r="K181"/>
      <c r="L181"/>
      <c r="M181"/>
      <c r="O181"/>
      <c r="AS181" s="664">
        <f t="shared" si="29"/>
        <v>179</v>
      </c>
      <c r="AT181" s="664"/>
      <c r="AU181" s="664"/>
      <c r="AV181" s="92" t="str">
        <f>IFERROR(VLOOKUP($AT181,RESOURCES!$C:$L,MATCH('PRODUCTIVITY RAW'!AV$2,RESOURCES!$C$3:$L$3,0),FALSE),"-")</f>
        <v>-</v>
      </c>
      <c r="AW181" s="92" t="str">
        <f>IFERROR(VLOOKUP($AT181,RESOURCES!$C:$L,MATCH('PRODUCTIVITY RAW'!AW$2,RESOURCES!$C$3:$L$3,0),FALSE),"-")</f>
        <v>-</v>
      </c>
      <c r="AX181" s="92" t="str">
        <f>IFERROR(VLOOKUP($AT181,RESOURCES!$C:$L,MATCH('PRODUCTIVITY RAW'!AX$2,RESOURCES!$C$3:$L$3,0),FALSE),"-")</f>
        <v>-</v>
      </c>
      <c r="AY181" s="92" t="str">
        <f>IFERROR(VLOOKUP($AT181,RESOURCES!$C:$L,MATCH('PRODUCTIVITY RAW'!AY$2,RESOURCES!$C$3:$L$3,0),FALSE),"-")</f>
        <v>-</v>
      </c>
      <c r="AZ181" s="92" t="str">
        <f>IFERROR(VLOOKUP($AT181,RESOURCES!$C:$L,MATCH('PRODUCTIVITY RAW'!AZ$2,RESOURCES!$C$3:$L$3,0),FALSE),"-")</f>
        <v>-</v>
      </c>
      <c r="BA181" s="20"/>
    </row>
    <row r="182" spans="1:53">
      <c r="A182"/>
      <c r="B182"/>
      <c r="C182"/>
      <c r="D182"/>
      <c r="E182"/>
      <c r="F182"/>
      <c r="G182"/>
      <c r="H182"/>
      <c r="I182"/>
      <c r="J182"/>
      <c r="K182"/>
      <c r="L182"/>
      <c r="M182"/>
      <c r="O182"/>
      <c r="AS182" s="664">
        <f t="shared" si="29"/>
        <v>180</v>
      </c>
      <c r="AT182" s="664"/>
      <c r="AU182" s="664"/>
      <c r="AV182" s="92" t="str">
        <f>IFERROR(VLOOKUP($AT182,RESOURCES!$C:$L,MATCH('PRODUCTIVITY RAW'!AV$2,RESOURCES!$C$3:$L$3,0),FALSE),"-")</f>
        <v>-</v>
      </c>
      <c r="AW182" s="92" t="str">
        <f>IFERROR(VLOOKUP($AT182,RESOURCES!$C:$L,MATCH('PRODUCTIVITY RAW'!AW$2,RESOURCES!$C$3:$L$3,0),FALSE),"-")</f>
        <v>-</v>
      </c>
      <c r="AX182" s="92" t="str">
        <f>IFERROR(VLOOKUP($AT182,RESOURCES!$C:$L,MATCH('PRODUCTIVITY RAW'!AX$2,RESOURCES!$C$3:$L$3,0),FALSE),"-")</f>
        <v>-</v>
      </c>
      <c r="AY182" s="92" t="str">
        <f>IFERROR(VLOOKUP($AT182,RESOURCES!$C:$L,MATCH('PRODUCTIVITY RAW'!AY$2,RESOURCES!$C$3:$L$3,0),FALSE),"-")</f>
        <v>-</v>
      </c>
      <c r="AZ182" s="92" t="str">
        <f>IFERROR(VLOOKUP($AT182,RESOURCES!$C:$L,MATCH('PRODUCTIVITY RAW'!AZ$2,RESOURCES!$C$3:$L$3,0),FALSE),"-")</f>
        <v>-</v>
      </c>
      <c r="BA182" s="20"/>
    </row>
    <row r="183" spans="1:53">
      <c r="A183"/>
      <c r="B183"/>
      <c r="C183"/>
      <c r="D183"/>
      <c r="E183"/>
      <c r="F183"/>
      <c r="G183"/>
      <c r="H183"/>
      <c r="I183"/>
      <c r="J183"/>
      <c r="K183"/>
      <c r="L183"/>
      <c r="M183"/>
      <c r="O183"/>
      <c r="AS183" s="664">
        <f t="shared" si="29"/>
        <v>181</v>
      </c>
      <c r="AT183" s="664"/>
      <c r="AU183" s="664"/>
      <c r="AV183" s="92" t="str">
        <f>IFERROR(VLOOKUP($AT183,RESOURCES!$C:$L,MATCH('PRODUCTIVITY RAW'!AV$2,RESOURCES!$C$3:$L$3,0),FALSE),"-")</f>
        <v>-</v>
      </c>
      <c r="AW183" s="92" t="str">
        <f>IFERROR(VLOOKUP($AT183,RESOURCES!$C:$L,MATCH('PRODUCTIVITY RAW'!AW$2,RESOURCES!$C$3:$L$3,0),FALSE),"-")</f>
        <v>-</v>
      </c>
      <c r="AX183" s="92" t="str">
        <f>IFERROR(VLOOKUP($AT183,RESOURCES!$C:$L,MATCH('PRODUCTIVITY RAW'!AX$2,RESOURCES!$C$3:$L$3,0),FALSE),"-")</f>
        <v>-</v>
      </c>
      <c r="AY183" s="92" t="str">
        <f>IFERROR(VLOOKUP($AT183,RESOURCES!$C:$L,MATCH('PRODUCTIVITY RAW'!AY$2,RESOURCES!$C$3:$L$3,0),FALSE),"-")</f>
        <v>-</v>
      </c>
      <c r="AZ183" s="92" t="str">
        <f>IFERROR(VLOOKUP($AT183,RESOURCES!$C:$L,MATCH('PRODUCTIVITY RAW'!AZ$2,RESOURCES!$C$3:$L$3,0),FALSE),"-")</f>
        <v>-</v>
      </c>
      <c r="BA183" s="20"/>
    </row>
    <row r="184" spans="1:53">
      <c r="A184"/>
      <c r="B184"/>
      <c r="C184"/>
      <c r="D184"/>
      <c r="E184"/>
      <c r="F184"/>
      <c r="G184"/>
      <c r="H184"/>
      <c r="I184"/>
      <c r="J184"/>
      <c r="K184"/>
      <c r="L184"/>
      <c r="M184"/>
      <c r="O184"/>
      <c r="AS184" s="664">
        <f t="shared" si="29"/>
        <v>182</v>
      </c>
      <c r="AT184" s="664"/>
      <c r="AU184" s="664"/>
      <c r="AV184" s="92" t="str">
        <f>IFERROR(VLOOKUP($AT184,RESOURCES!$C:$L,MATCH('PRODUCTIVITY RAW'!AV$2,RESOURCES!$C$3:$L$3,0),FALSE),"-")</f>
        <v>-</v>
      </c>
      <c r="AW184" s="92" t="str">
        <f>IFERROR(VLOOKUP($AT184,RESOURCES!$C:$L,MATCH('PRODUCTIVITY RAW'!AW$2,RESOURCES!$C$3:$L$3,0),FALSE),"-")</f>
        <v>-</v>
      </c>
      <c r="AX184" s="92" t="str">
        <f>IFERROR(VLOOKUP($AT184,RESOURCES!$C:$L,MATCH('PRODUCTIVITY RAW'!AX$2,RESOURCES!$C$3:$L$3,0),FALSE),"-")</f>
        <v>-</v>
      </c>
      <c r="AY184" s="92" t="str">
        <f>IFERROR(VLOOKUP($AT184,RESOURCES!$C:$L,MATCH('PRODUCTIVITY RAW'!AY$2,RESOURCES!$C$3:$L$3,0),FALSE),"-")</f>
        <v>-</v>
      </c>
      <c r="AZ184" s="92" t="str">
        <f>IFERROR(VLOOKUP($AT184,RESOURCES!$C:$L,MATCH('PRODUCTIVITY RAW'!AZ$2,RESOURCES!$C$3:$L$3,0),FALSE),"-")</f>
        <v>-</v>
      </c>
      <c r="BA184" s="20"/>
    </row>
    <row r="185" spans="1:53">
      <c r="J185" s="4"/>
      <c r="AS185" s="664">
        <f t="shared" si="29"/>
        <v>183</v>
      </c>
      <c r="AT185" s="19"/>
      <c r="AU185" s="19"/>
      <c r="AV185" s="92" t="str">
        <f>IFERROR(VLOOKUP($AT185,RESOURCES!$C:$L,MATCH('PRODUCTIVITY RAW'!AV$2,RESOURCES!$C$3:$L$3,0),FALSE),"-")</f>
        <v>-</v>
      </c>
      <c r="AW185" s="92" t="str">
        <f>IFERROR(VLOOKUP($AT185,RESOURCES!$C:$L,MATCH('PRODUCTIVITY RAW'!AW$2,RESOURCES!$C$3:$L$3,0),FALSE),"-")</f>
        <v>-</v>
      </c>
      <c r="AX185" s="92" t="str">
        <f>IFERROR(VLOOKUP($AT185,RESOURCES!$C:$L,MATCH('PRODUCTIVITY RAW'!AX$2,RESOURCES!$C$3:$L$3,0),FALSE),"-")</f>
        <v>-</v>
      </c>
      <c r="AY185" s="92" t="str">
        <f>IFERROR(VLOOKUP($AT185,RESOURCES!$C:$L,MATCH('PRODUCTIVITY RAW'!AY$2,RESOURCES!$C$3:$L$3,0),FALSE),"-")</f>
        <v>-</v>
      </c>
      <c r="AZ185" s="92" t="str">
        <f>IFERROR(VLOOKUP($AT185,RESOURCES!$C:$L,MATCH('PRODUCTIVITY RAW'!AZ$2,RESOURCES!$C$3:$L$3,0),FALSE),"-")</f>
        <v>-</v>
      </c>
      <c r="BA185" s="20"/>
    </row>
    <row r="186" spans="1:53">
      <c r="J186" s="4"/>
      <c r="AS186" s="664">
        <f t="shared" si="29"/>
        <v>184</v>
      </c>
      <c r="AT186" s="19"/>
      <c r="AU186" s="19"/>
      <c r="AV186" s="92" t="str">
        <f>IFERROR(VLOOKUP($AT186,RESOURCES!$C:$L,MATCH('PRODUCTIVITY RAW'!AV$2,RESOURCES!$C$3:$L$3,0),FALSE),"-")</f>
        <v>-</v>
      </c>
      <c r="AW186" s="92" t="str">
        <f>IFERROR(VLOOKUP($AT186,RESOURCES!$C:$L,MATCH('PRODUCTIVITY RAW'!AW$2,RESOURCES!$C$3:$L$3,0),FALSE),"-")</f>
        <v>-</v>
      </c>
      <c r="AX186" s="92" t="str">
        <f>IFERROR(VLOOKUP($AT186,RESOURCES!$C:$L,MATCH('PRODUCTIVITY RAW'!AX$2,RESOURCES!$C$3:$L$3,0),FALSE),"-")</f>
        <v>-</v>
      </c>
      <c r="AY186" s="92" t="str">
        <f>IFERROR(VLOOKUP($AT186,RESOURCES!$C:$L,MATCH('PRODUCTIVITY RAW'!AY$2,RESOURCES!$C$3:$L$3,0),FALSE),"-")</f>
        <v>-</v>
      </c>
      <c r="AZ186" s="92" t="str">
        <f>IFERROR(VLOOKUP($AT186,RESOURCES!$C:$L,MATCH('PRODUCTIVITY RAW'!AZ$2,RESOURCES!$C$3:$L$3,0),FALSE),"-")</f>
        <v>-</v>
      </c>
      <c r="BA186" s="20"/>
    </row>
    <row r="187" spans="1:53">
      <c r="J187" s="4"/>
      <c r="AS187" s="664">
        <f t="shared" si="29"/>
        <v>185</v>
      </c>
      <c r="AT187" s="19"/>
      <c r="AU187" s="19"/>
      <c r="AV187" s="92" t="str">
        <f>IFERROR(VLOOKUP($AT187,RESOURCES!$C:$L,MATCH('PRODUCTIVITY RAW'!AV$2,RESOURCES!$C$3:$L$3,0),FALSE),"-")</f>
        <v>-</v>
      </c>
      <c r="AW187" s="92" t="str">
        <f>IFERROR(VLOOKUP($AT187,RESOURCES!$C:$L,MATCH('PRODUCTIVITY RAW'!AW$2,RESOURCES!$C$3:$L$3,0),FALSE),"-")</f>
        <v>-</v>
      </c>
      <c r="AX187" s="92" t="str">
        <f>IFERROR(VLOOKUP($AT187,RESOURCES!$C:$L,MATCH('PRODUCTIVITY RAW'!AX$2,RESOURCES!$C$3:$L$3,0),FALSE),"-")</f>
        <v>-</v>
      </c>
      <c r="AY187" s="92" t="str">
        <f>IFERROR(VLOOKUP($AT187,RESOURCES!$C:$L,MATCH('PRODUCTIVITY RAW'!AY$2,RESOURCES!$C$3:$L$3,0),FALSE),"-")</f>
        <v>-</v>
      </c>
      <c r="AZ187" s="92" t="str">
        <f>IFERROR(VLOOKUP($AT187,RESOURCES!$C:$L,MATCH('PRODUCTIVITY RAW'!AZ$2,RESOURCES!$C$3:$L$3,0),FALSE),"-")</f>
        <v>-</v>
      </c>
      <c r="BA187" s="20"/>
    </row>
    <row r="188" spans="1:53">
      <c r="J188" s="4"/>
      <c r="AS188" s="664">
        <f t="shared" si="29"/>
        <v>186</v>
      </c>
      <c r="AT188" s="19"/>
      <c r="AU188" s="19"/>
      <c r="AV188" s="92" t="str">
        <f>IFERROR(VLOOKUP($AT188,RESOURCES!$C:$L,MATCH('PRODUCTIVITY RAW'!AV$2,RESOURCES!$C$3:$L$3,0),FALSE),"-")</f>
        <v>-</v>
      </c>
      <c r="AW188" s="92" t="str">
        <f>IFERROR(VLOOKUP($AT188,RESOURCES!$C:$L,MATCH('PRODUCTIVITY RAW'!AW$2,RESOURCES!$C$3:$L$3,0),FALSE),"-")</f>
        <v>-</v>
      </c>
      <c r="AX188" s="92" t="str">
        <f>IFERROR(VLOOKUP($AT188,RESOURCES!$C:$L,MATCH('PRODUCTIVITY RAW'!AX$2,RESOURCES!$C$3:$L$3,0),FALSE),"-")</f>
        <v>-</v>
      </c>
      <c r="AY188" s="92" t="str">
        <f>IFERROR(VLOOKUP($AT188,RESOURCES!$C:$L,MATCH('PRODUCTIVITY RAW'!AY$2,RESOURCES!$C$3:$L$3,0),FALSE),"-")</f>
        <v>-</v>
      </c>
      <c r="AZ188" s="92" t="str">
        <f>IFERROR(VLOOKUP($AT188,RESOURCES!$C:$L,MATCH('PRODUCTIVITY RAW'!AZ$2,RESOURCES!$C$3:$L$3,0),FALSE),"-")</f>
        <v>-</v>
      </c>
      <c r="BA188" s="20"/>
    </row>
    <row r="189" spans="1:53">
      <c r="J189" s="4"/>
      <c r="AS189" s="664">
        <f t="shared" si="29"/>
        <v>187</v>
      </c>
      <c r="AT189" s="19"/>
      <c r="AU189" s="19"/>
      <c r="AV189" s="92" t="str">
        <f>IFERROR(VLOOKUP($AT189,RESOURCES!$C:$L,MATCH('PRODUCTIVITY RAW'!AV$2,RESOURCES!$C$3:$L$3,0),FALSE),"-")</f>
        <v>-</v>
      </c>
      <c r="AW189" s="92" t="str">
        <f>IFERROR(VLOOKUP($AT189,RESOURCES!$C:$L,MATCH('PRODUCTIVITY RAW'!AW$2,RESOURCES!$C$3:$L$3,0),FALSE),"-")</f>
        <v>-</v>
      </c>
      <c r="AX189" s="92" t="str">
        <f>IFERROR(VLOOKUP($AT189,RESOURCES!$C:$L,MATCH('PRODUCTIVITY RAW'!AX$2,RESOURCES!$C$3:$L$3,0),FALSE),"-")</f>
        <v>-</v>
      </c>
      <c r="AY189" s="92" t="str">
        <f>IFERROR(VLOOKUP($AT189,RESOURCES!$C:$L,MATCH('PRODUCTIVITY RAW'!AY$2,RESOURCES!$C$3:$L$3,0),FALSE),"-")</f>
        <v>-</v>
      </c>
      <c r="AZ189" s="92" t="str">
        <f>IFERROR(VLOOKUP($AT189,RESOURCES!$C:$L,MATCH('PRODUCTIVITY RAW'!AZ$2,RESOURCES!$C$3:$L$3,0),FALSE),"-")</f>
        <v>-</v>
      </c>
      <c r="BA189" s="20"/>
    </row>
    <row r="190" spans="1:53">
      <c r="J190" s="4"/>
      <c r="AS190" s="664">
        <f t="shared" si="29"/>
        <v>188</v>
      </c>
      <c r="AT190" s="19"/>
      <c r="AU190" s="19"/>
      <c r="AV190" s="92" t="str">
        <f>IFERROR(VLOOKUP($AT190,RESOURCES!$C:$L,MATCH('PRODUCTIVITY RAW'!AV$2,RESOURCES!$C$3:$L$3,0),FALSE),"-")</f>
        <v>-</v>
      </c>
      <c r="AW190" s="92" t="str">
        <f>IFERROR(VLOOKUP($AT190,RESOURCES!$C:$L,MATCH('PRODUCTIVITY RAW'!AW$2,RESOURCES!$C$3:$L$3,0),FALSE),"-")</f>
        <v>-</v>
      </c>
      <c r="AX190" s="92" t="str">
        <f>IFERROR(VLOOKUP($AT190,RESOURCES!$C:$L,MATCH('PRODUCTIVITY RAW'!AX$2,RESOURCES!$C$3:$L$3,0),FALSE),"-")</f>
        <v>-</v>
      </c>
      <c r="AY190" s="92" t="str">
        <f>IFERROR(VLOOKUP($AT190,RESOURCES!$C:$L,MATCH('PRODUCTIVITY RAW'!AY$2,RESOURCES!$C$3:$L$3,0),FALSE),"-")</f>
        <v>-</v>
      </c>
      <c r="AZ190" s="92" t="str">
        <f>IFERROR(VLOOKUP($AT190,RESOURCES!$C:$L,MATCH('PRODUCTIVITY RAW'!AZ$2,RESOURCES!$C$3:$L$3,0),FALSE),"-")</f>
        <v>-</v>
      </c>
      <c r="BA190" s="20"/>
    </row>
    <row r="191" spans="1:53">
      <c r="J191" s="4"/>
      <c r="N191" s="2"/>
      <c r="O191" s="2"/>
      <c r="P191" s="5"/>
      <c r="Q191" s="32"/>
      <c r="AS191" s="664">
        <f t="shared" si="29"/>
        <v>189</v>
      </c>
      <c r="AT191" s="19"/>
      <c r="AU191" s="19"/>
      <c r="AV191" s="92" t="str">
        <f>IFERROR(VLOOKUP($AT191,RESOURCES!$C:$L,MATCH('PRODUCTIVITY RAW'!AV$2,RESOURCES!$C$3:$L$3,0),FALSE),"-")</f>
        <v>-</v>
      </c>
      <c r="AW191" s="92" t="str">
        <f>IFERROR(VLOOKUP($AT191,RESOURCES!$C:$L,MATCH('PRODUCTIVITY RAW'!AW$2,RESOURCES!$C$3:$L$3,0),FALSE),"-")</f>
        <v>-</v>
      </c>
      <c r="AX191" s="92" t="str">
        <f>IFERROR(VLOOKUP($AT191,RESOURCES!$C:$L,MATCH('PRODUCTIVITY RAW'!AX$2,RESOURCES!$C$3:$L$3,0),FALSE),"-")</f>
        <v>-</v>
      </c>
      <c r="AY191" s="92" t="str">
        <f>IFERROR(VLOOKUP($AT191,RESOURCES!$C:$L,MATCH('PRODUCTIVITY RAW'!AY$2,RESOURCES!$C$3:$L$3,0),FALSE),"-")</f>
        <v>-</v>
      </c>
      <c r="AZ191" s="92" t="str">
        <f>IFERROR(VLOOKUP($AT191,RESOURCES!$C:$L,MATCH('PRODUCTIVITY RAW'!AZ$2,RESOURCES!$C$3:$L$3,0),FALSE),"-")</f>
        <v>-</v>
      </c>
      <c r="BA191" s="20"/>
    </row>
    <row r="192" spans="1:53">
      <c r="D192" s="290" t="s">
        <v>635</v>
      </c>
      <c r="J192" s="4"/>
      <c r="L192" s="665" t="s">
        <v>626</v>
      </c>
      <c r="M192" s="665" t="s">
        <v>627</v>
      </c>
      <c r="N192" s="665" t="s">
        <v>628</v>
      </c>
      <c r="O192" s="85" t="s">
        <v>629</v>
      </c>
      <c r="P192" s="85" t="s">
        <v>360</v>
      </c>
      <c r="Q192" s="14" t="s">
        <v>630</v>
      </c>
      <c r="R192" s="72" t="s">
        <v>631</v>
      </c>
      <c r="AS192" s="664">
        <f t="shared" si="29"/>
        <v>190</v>
      </c>
      <c r="AT192" s="19"/>
      <c r="AU192" s="19"/>
      <c r="AV192" s="92" t="str">
        <f>IFERROR(VLOOKUP($AT192,RESOURCES!$C:$L,MATCH('PRODUCTIVITY RAW'!AV$2,RESOURCES!$C$3:$L$3,0),FALSE),"-")</f>
        <v>-</v>
      </c>
      <c r="AW192" s="92" t="str">
        <f>IFERROR(VLOOKUP($AT192,RESOURCES!$C:$L,MATCH('PRODUCTIVITY RAW'!AW$2,RESOURCES!$C$3:$L$3,0),FALSE),"-")</f>
        <v>-</v>
      </c>
      <c r="AX192" s="92" t="str">
        <f>IFERROR(VLOOKUP($AT192,RESOURCES!$C:$L,MATCH('PRODUCTIVITY RAW'!AX$2,RESOURCES!$C$3:$L$3,0),FALSE),"-")</f>
        <v>-</v>
      </c>
      <c r="AY192" s="92" t="str">
        <f>IFERROR(VLOOKUP($AT192,RESOURCES!$C:$L,MATCH('PRODUCTIVITY RAW'!AY$2,RESOURCES!$C$3:$L$3,0),FALSE),"-")</f>
        <v>-</v>
      </c>
      <c r="AZ192" s="92" t="str">
        <f>IFERROR(VLOOKUP($AT192,RESOURCES!$C:$L,MATCH('PRODUCTIVITY RAW'!AZ$2,RESOURCES!$C$3:$L$3,0),FALSE),"-")</f>
        <v>-</v>
      </c>
      <c r="BA192" s="20"/>
    </row>
    <row r="193" spans="1:53">
      <c r="A193" s="19">
        <f>A184+1</f>
        <v>1</v>
      </c>
      <c r="B193" s="19">
        <v>10071047</v>
      </c>
      <c r="C193" s="19" t="s">
        <v>240</v>
      </c>
      <c r="D193" s="92" t="str">
        <f>IFERROR(VLOOKUP($B193,RESOURCES!$C:$L,MATCH('PRODUCTIVITY RAW'!D$2,RESOURCES!$C$3:$L$3,0),FALSE),"-")</f>
        <v>Voice QA</v>
      </c>
      <c r="E193" s="92" t="str">
        <f>IFERROR(VLOOKUP($B193,RESOURCES!$C:$L,MATCH('PRODUCTIVITY RAW'!E$2,RESOURCES!$C$3:$L$3,0),FALSE),"-")</f>
        <v>ARPON, Katherine</v>
      </c>
      <c r="F193" s="92" t="str">
        <f>IFERROR(VLOOKUP($B193,RESOURCES!$C:$L,MATCH('PRODUCTIVITY RAW'!F$2,RESOURCES!$C$3:$L$3,0),FALSE),"-")</f>
        <v>PASQUIN, Ryan</v>
      </c>
      <c r="G193" s="92" t="str">
        <f>IFERROR(VLOOKUP($B193,RESOURCES!$C:$L,MATCH('PRODUCTIVITY RAW'!G$2,RESOURCES!$C$3:$L$3,0),FALSE),"-")</f>
        <v>MENDOZA, Carlo</v>
      </c>
      <c r="H193" s="92" t="str">
        <f>IFERROR(VLOOKUP($B193,RESOURCES!$C:$L,MATCH('PRODUCTIVITY RAW'!H$2,RESOURCES!$C$3:$L$3,0),FALSE),"-")</f>
        <v>Ventanilla, Mike</v>
      </c>
      <c r="I193" s="8"/>
      <c r="J193" s="8"/>
      <c r="K193" s="9" t="str">
        <f>IFERROR(VLOOKUP($B193,RESOURCES!$C:$L,MATCH('PRODUCTIVITY RAW'!K$2,RESOURCES!$C$3:$L$3,0),FALSE),"-")</f>
        <v>Expert</v>
      </c>
      <c r="L193" s="21">
        <f t="shared" ref="L193:L205" si="30">SUMIFS($CO:$CO,$CH:$CH,$B193)</f>
        <v>61</v>
      </c>
      <c r="M193" s="87"/>
      <c r="N193" s="87"/>
      <c r="O193" s="192"/>
      <c r="P193" s="86">
        <f t="shared" ref="P193:P205" si="31">SUMIFS($CP:$CP,$CH:$CH,$B193)</f>
        <v>63</v>
      </c>
      <c r="Q193" s="32">
        <f t="shared" ref="Q193:Q202" si="32">IFERROR(IF((L193/R193)&gt;1,1,L193/R193),"-")</f>
        <v>0.96825396825396826</v>
      </c>
      <c r="R193" s="185">
        <f>P193</f>
        <v>63</v>
      </c>
      <c r="S193" s="89" t="str">
        <f t="shared" ref="S193:S202" si="33">D193</f>
        <v>Voice QA</v>
      </c>
      <c r="AS193" s="664">
        <f t="shared" si="29"/>
        <v>191</v>
      </c>
      <c r="AT193" s="19"/>
      <c r="AU193" s="19"/>
      <c r="AV193" s="92" t="str">
        <f>IFERROR(VLOOKUP($AT193,RESOURCES!$C:$L,MATCH('PRODUCTIVITY RAW'!AV$2,RESOURCES!$C$3:$L$3,0),FALSE),"-")</f>
        <v>-</v>
      </c>
      <c r="AW193" s="92" t="str">
        <f>IFERROR(VLOOKUP($AT193,RESOURCES!$C:$L,MATCH('PRODUCTIVITY RAW'!AW$2,RESOURCES!$C$3:$L$3,0),FALSE),"-")</f>
        <v>-</v>
      </c>
      <c r="AX193" s="92" t="str">
        <f>IFERROR(VLOOKUP($AT193,RESOURCES!$C:$L,MATCH('PRODUCTIVITY RAW'!AX$2,RESOURCES!$C$3:$L$3,0),FALSE),"-")</f>
        <v>-</v>
      </c>
      <c r="AY193" s="92" t="str">
        <f>IFERROR(VLOOKUP($AT193,RESOURCES!$C:$L,MATCH('PRODUCTIVITY RAW'!AY$2,RESOURCES!$C$3:$L$3,0),FALSE),"-")</f>
        <v>-</v>
      </c>
      <c r="AZ193" s="92" t="str">
        <f>IFERROR(VLOOKUP($AT193,RESOURCES!$C:$L,MATCH('PRODUCTIVITY RAW'!AZ$2,RESOURCES!$C$3:$L$3,0),FALSE),"-")</f>
        <v>-</v>
      </c>
      <c r="BA193" s="20"/>
    </row>
    <row r="194" spans="1:53">
      <c r="A194" s="19">
        <f t="shared" si="28"/>
        <v>2</v>
      </c>
      <c r="B194" s="19">
        <v>10072023</v>
      </c>
      <c r="C194" s="19" t="s">
        <v>246</v>
      </c>
      <c r="D194" s="92" t="str">
        <f>IFERROR(VLOOKUP($B194,RESOURCES!$C:$L,MATCH('PRODUCTIVITY RAW'!D$2,RESOURCES!$C$3:$L$3,0),FALSE),"-")</f>
        <v>Voice QA</v>
      </c>
      <c r="E194" s="92" t="str">
        <f>IFERROR(VLOOKUP($B194,RESOURCES!$C:$L,MATCH('PRODUCTIVITY RAW'!E$2,RESOURCES!$C$3:$L$3,0),FALSE),"-")</f>
        <v>ARPON, Katherine</v>
      </c>
      <c r="F194" s="92" t="str">
        <f>IFERROR(VLOOKUP($B194,RESOURCES!$C:$L,MATCH('PRODUCTIVITY RAW'!F$2,RESOURCES!$C$3:$L$3,0),FALSE),"-")</f>
        <v>PASQUIN, Ryan</v>
      </c>
      <c r="G194" s="92">
        <f>IFERROR(VLOOKUP($B194,RESOURCES!$C:$L,MATCH('PRODUCTIVITY RAW'!G$2,RESOURCES!$C$3:$L$3,0),FALSE),"-")</f>
        <v>0</v>
      </c>
      <c r="H194" s="92">
        <f>IFERROR(VLOOKUP($B194,RESOURCES!$C:$L,MATCH('PRODUCTIVITY RAW'!H$2,RESOURCES!$C$3:$L$3,0),FALSE),"-")</f>
        <v>0</v>
      </c>
      <c r="I194" s="8"/>
      <c r="J194" s="8"/>
      <c r="K194" s="9" t="str">
        <f>IFERROR(VLOOKUP($B194,RESOURCES!$C:$L,MATCH('PRODUCTIVITY RAW'!K$2,RESOURCES!$C$3:$L$3,0),FALSE),"-")</f>
        <v>Expert</v>
      </c>
      <c r="L194" s="21">
        <f t="shared" si="30"/>
        <v>56</v>
      </c>
      <c r="M194" s="87"/>
      <c r="N194" s="87"/>
      <c r="O194" s="192"/>
      <c r="P194" s="86">
        <f t="shared" si="31"/>
        <v>63</v>
      </c>
      <c r="Q194" s="32">
        <f t="shared" si="32"/>
        <v>0.88888888888888884</v>
      </c>
      <c r="R194" s="185">
        <f t="shared" ref="R194:R202" si="34">P194</f>
        <v>63</v>
      </c>
      <c r="S194" s="89" t="str">
        <f t="shared" si="33"/>
        <v>Voice QA</v>
      </c>
      <c r="AS194" s="664">
        <f t="shared" si="29"/>
        <v>192</v>
      </c>
      <c r="AT194" s="19"/>
      <c r="AU194" s="19"/>
      <c r="AV194" s="92" t="str">
        <f>IFERROR(VLOOKUP($AT194,RESOURCES!$C:$L,MATCH('PRODUCTIVITY RAW'!AV$2,RESOURCES!$C$3:$L$3,0),FALSE),"-")</f>
        <v>-</v>
      </c>
      <c r="AW194" s="92" t="str">
        <f>IFERROR(VLOOKUP($AT194,RESOURCES!$C:$L,MATCH('PRODUCTIVITY RAW'!AW$2,RESOURCES!$C$3:$L$3,0),FALSE),"-")</f>
        <v>-</v>
      </c>
      <c r="AX194" s="92" t="str">
        <f>IFERROR(VLOOKUP($AT194,RESOURCES!$C:$L,MATCH('PRODUCTIVITY RAW'!AX$2,RESOURCES!$C$3:$L$3,0),FALSE),"-")</f>
        <v>-</v>
      </c>
      <c r="AY194" s="92" t="str">
        <f>IFERROR(VLOOKUP($AT194,RESOURCES!$C:$L,MATCH('PRODUCTIVITY RAW'!AY$2,RESOURCES!$C$3:$L$3,0),FALSE),"-")</f>
        <v>-</v>
      </c>
      <c r="AZ194" s="92" t="str">
        <f>IFERROR(VLOOKUP($AT194,RESOURCES!$C:$L,MATCH('PRODUCTIVITY RAW'!AZ$2,RESOURCES!$C$3:$L$3,0),FALSE),"-")</f>
        <v>-</v>
      </c>
      <c r="BA194" s="20"/>
    </row>
    <row r="195" spans="1:53">
      <c r="A195" s="19">
        <f t="shared" si="28"/>
        <v>3</v>
      </c>
      <c r="B195" s="19">
        <v>10072592</v>
      </c>
      <c r="C195" s="19" t="s">
        <v>247</v>
      </c>
      <c r="D195" s="92" t="str">
        <f>IFERROR(VLOOKUP($B195,RESOURCES!$C:$L,MATCH('PRODUCTIVITY RAW'!D$2,RESOURCES!$C$3:$L$3,0),FALSE),"-")</f>
        <v>Voice QA</v>
      </c>
      <c r="E195" s="92" t="str">
        <f>IFERROR(VLOOKUP($B195,RESOURCES!$C:$L,MATCH('PRODUCTIVITY RAW'!E$2,RESOURCES!$C$3:$L$3,0),FALSE),"-")</f>
        <v>ARPON, Katherine</v>
      </c>
      <c r="F195" s="92" t="str">
        <f>IFERROR(VLOOKUP($B195,RESOURCES!$C:$L,MATCH('PRODUCTIVITY RAW'!F$2,RESOURCES!$C$3:$L$3,0),FALSE),"-")</f>
        <v>PASQUIN, Ryan</v>
      </c>
      <c r="G195" s="92">
        <f>IFERROR(VLOOKUP($B195,RESOURCES!$C:$L,MATCH('PRODUCTIVITY RAW'!G$2,RESOURCES!$C$3:$L$3,0),FALSE),"-")</f>
        <v>0</v>
      </c>
      <c r="H195" s="92">
        <f>IFERROR(VLOOKUP($B195,RESOURCES!$C:$L,MATCH('PRODUCTIVITY RAW'!H$2,RESOURCES!$C$3:$L$3,0),FALSE),"-")</f>
        <v>0</v>
      </c>
      <c r="I195" s="8"/>
      <c r="J195" s="8"/>
      <c r="K195" s="9" t="str">
        <f>IFERROR(VLOOKUP($B195,RESOURCES!$C:$L,MATCH('PRODUCTIVITY RAW'!K$2,RESOURCES!$C$3:$L$3,0),FALSE),"-")</f>
        <v>Expert</v>
      </c>
      <c r="L195" s="21">
        <f t="shared" si="30"/>
        <v>63</v>
      </c>
      <c r="M195" s="87"/>
      <c r="N195" s="87"/>
      <c r="O195" s="192"/>
      <c r="P195" s="86">
        <f t="shared" si="31"/>
        <v>63</v>
      </c>
      <c r="Q195" s="32">
        <f t="shared" si="32"/>
        <v>1</v>
      </c>
      <c r="R195" s="185">
        <f t="shared" si="34"/>
        <v>63</v>
      </c>
      <c r="S195" s="89" t="str">
        <f t="shared" si="33"/>
        <v>Voice QA</v>
      </c>
      <c r="AS195" s="664">
        <f t="shared" si="29"/>
        <v>193</v>
      </c>
      <c r="AT195" s="19"/>
      <c r="AU195" s="19"/>
      <c r="AV195" s="92" t="str">
        <f>IFERROR(VLOOKUP($AT195,RESOURCES!$C:$L,MATCH('PRODUCTIVITY RAW'!AV$2,RESOURCES!$C$3:$L$3,0),FALSE),"-")</f>
        <v>-</v>
      </c>
      <c r="AW195" s="92" t="str">
        <f>IFERROR(VLOOKUP($AT195,RESOURCES!$C:$L,MATCH('PRODUCTIVITY RAW'!AW$2,RESOURCES!$C$3:$L$3,0),FALSE),"-")</f>
        <v>-</v>
      </c>
      <c r="AX195" s="92" t="str">
        <f>IFERROR(VLOOKUP($AT195,RESOURCES!$C:$L,MATCH('PRODUCTIVITY RAW'!AX$2,RESOURCES!$C$3:$L$3,0),FALSE),"-")</f>
        <v>-</v>
      </c>
      <c r="AY195" s="92" t="str">
        <f>IFERROR(VLOOKUP($AT195,RESOURCES!$C:$L,MATCH('PRODUCTIVITY RAW'!AY$2,RESOURCES!$C$3:$L$3,0),FALSE),"-")</f>
        <v>-</v>
      </c>
      <c r="AZ195" s="92" t="str">
        <f>IFERROR(VLOOKUP($AT195,RESOURCES!$C:$L,MATCH('PRODUCTIVITY RAW'!AZ$2,RESOURCES!$C$3:$L$3,0),FALSE),"-")</f>
        <v>-</v>
      </c>
      <c r="BA195" s="20"/>
    </row>
    <row r="196" spans="1:53">
      <c r="A196" s="19">
        <f t="shared" si="28"/>
        <v>4</v>
      </c>
      <c r="B196" s="19">
        <v>10071902</v>
      </c>
      <c r="C196" s="19" t="s">
        <v>243</v>
      </c>
      <c r="D196" s="92" t="str">
        <f>IFERROR(VLOOKUP($B196,RESOURCES!$C:$L,MATCH('PRODUCTIVITY RAW'!D$2,RESOURCES!$C$3:$L$3,0),FALSE),"-")</f>
        <v>Voice QA</v>
      </c>
      <c r="E196" s="92" t="str">
        <f>IFERROR(VLOOKUP($B196,RESOURCES!$C:$L,MATCH('PRODUCTIVITY RAW'!E$2,RESOURCES!$C$3:$L$3,0),FALSE),"-")</f>
        <v>ARPON, Katherine</v>
      </c>
      <c r="F196" s="92" t="str">
        <f>IFERROR(VLOOKUP($B196,RESOURCES!$C:$L,MATCH('PRODUCTIVITY RAW'!F$2,RESOURCES!$C$3:$L$3,0),FALSE),"-")</f>
        <v>PASQUIN, Ryan</v>
      </c>
      <c r="G196" s="92">
        <f>IFERROR(VLOOKUP($B196,RESOURCES!$C:$L,MATCH('PRODUCTIVITY RAW'!G$2,RESOURCES!$C$3:$L$3,0),FALSE),"-")</f>
        <v>0</v>
      </c>
      <c r="H196" s="92">
        <f>IFERROR(VLOOKUP($B196,RESOURCES!$C:$L,MATCH('PRODUCTIVITY RAW'!H$2,RESOURCES!$C$3:$L$3,0),FALSE),"-")</f>
        <v>0</v>
      </c>
      <c r="I196" s="8"/>
      <c r="J196" s="8"/>
      <c r="K196" s="9" t="str">
        <f>IFERROR(VLOOKUP($B196,RESOURCES!$C:$L,MATCH('PRODUCTIVITY RAW'!K$2,RESOURCES!$C$3:$L$3,0),FALSE),"-")</f>
        <v>Expert</v>
      </c>
      <c r="L196" s="21">
        <f t="shared" si="30"/>
        <v>65</v>
      </c>
      <c r="M196" s="87"/>
      <c r="N196" s="87"/>
      <c r="O196" s="192"/>
      <c r="P196" s="86">
        <f t="shared" si="31"/>
        <v>63</v>
      </c>
      <c r="Q196" s="32">
        <f t="shared" si="32"/>
        <v>1</v>
      </c>
      <c r="R196" s="185">
        <f t="shared" si="34"/>
        <v>63</v>
      </c>
      <c r="S196" s="89" t="str">
        <f t="shared" si="33"/>
        <v>Voice QA</v>
      </c>
      <c r="AS196" s="664">
        <f t="shared" si="29"/>
        <v>194</v>
      </c>
      <c r="AT196" s="19"/>
      <c r="AU196" s="19"/>
      <c r="AV196" s="92" t="str">
        <f>IFERROR(VLOOKUP($AT196,RESOURCES!$C:$L,MATCH('PRODUCTIVITY RAW'!AV$2,RESOURCES!$C$3:$L$3,0),FALSE),"-")</f>
        <v>-</v>
      </c>
      <c r="AW196" s="92" t="str">
        <f>IFERROR(VLOOKUP($AT196,RESOURCES!$C:$L,MATCH('PRODUCTIVITY RAW'!AW$2,RESOURCES!$C$3:$L$3,0),FALSE),"-")</f>
        <v>-</v>
      </c>
      <c r="AX196" s="92" t="str">
        <f>IFERROR(VLOOKUP($AT196,RESOURCES!$C:$L,MATCH('PRODUCTIVITY RAW'!AX$2,RESOURCES!$C$3:$L$3,0),FALSE),"-")</f>
        <v>-</v>
      </c>
      <c r="AY196" s="92" t="str">
        <f>IFERROR(VLOOKUP($AT196,RESOURCES!$C:$L,MATCH('PRODUCTIVITY RAW'!AY$2,RESOURCES!$C$3:$L$3,0),FALSE),"-")</f>
        <v>-</v>
      </c>
      <c r="AZ196" s="92" t="str">
        <f>IFERROR(VLOOKUP($AT196,RESOURCES!$C:$L,MATCH('PRODUCTIVITY RAW'!AZ$2,RESOURCES!$C$3:$L$3,0),FALSE),"-")</f>
        <v>-</v>
      </c>
      <c r="BA196" s="20"/>
    </row>
    <row r="197" spans="1:53">
      <c r="A197" s="19">
        <f t="shared" ref="A197:A229" si="35">A196+1</f>
        <v>5</v>
      </c>
      <c r="B197" s="19">
        <v>10071190</v>
      </c>
      <c r="C197" s="19" t="s">
        <v>242</v>
      </c>
      <c r="D197" s="92" t="str">
        <f>IFERROR(VLOOKUP($B197,RESOURCES!$C:$L,MATCH('PRODUCTIVITY RAW'!D$2,RESOURCES!$C$3:$L$3,0),FALSE),"-")</f>
        <v>Voice QA</v>
      </c>
      <c r="E197" s="92" t="str">
        <f>IFERROR(VLOOKUP($B197,RESOURCES!$C:$L,MATCH('PRODUCTIVITY RAW'!E$2,RESOURCES!$C$3:$L$3,0),FALSE),"-")</f>
        <v>ARPON, Katherine</v>
      </c>
      <c r="F197" s="92" t="str">
        <f>IFERROR(VLOOKUP($B197,RESOURCES!$C:$L,MATCH('PRODUCTIVITY RAW'!F$2,RESOURCES!$C$3:$L$3,0),FALSE),"-")</f>
        <v>PASQUIN, Ryan</v>
      </c>
      <c r="G197" s="92">
        <f>IFERROR(VLOOKUP($B197,RESOURCES!$C:$L,MATCH('PRODUCTIVITY RAW'!G$2,RESOURCES!$C$3:$L$3,0),FALSE),"-")</f>
        <v>0</v>
      </c>
      <c r="H197" s="92">
        <f>IFERROR(VLOOKUP($B197,RESOURCES!$C:$L,MATCH('PRODUCTIVITY RAW'!H$2,RESOURCES!$C$3:$L$3,0),FALSE),"-")</f>
        <v>0</v>
      </c>
      <c r="I197" s="8"/>
      <c r="J197" s="8"/>
      <c r="K197" s="9" t="str">
        <f>IFERROR(VLOOKUP($B197,RESOURCES!$C:$L,MATCH('PRODUCTIVITY RAW'!K$2,RESOURCES!$C$3:$L$3,0),FALSE),"-")</f>
        <v>Expert</v>
      </c>
      <c r="L197" s="21">
        <f t="shared" si="30"/>
        <v>38</v>
      </c>
      <c r="M197" s="87"/>
      <c r="N197" s="87"/>
      <c r="O197" s="192"/>
      <c r="P197" s="86">
        <f t="shared" si="31"/>
        <v>45</v>
      </c>
      <c r="Q197" s="32">
        <f t="shared" si="32"/>
        <v>0.84444444444444444</v>
      </c>
      <c r="R197" s="185">
        <f t="shared" si="34"/>
        <v>45</v>
      </c>
      <c r="S197" s="89" t="str">
        <f t="shared" si="33"/>
        <v>Voice QA</v>
      </c>
      <c r="AS197" s="664">
        <f>AS196+1</f>
        <v>195</v>
      </c>
      <c r="AT197" s="19"/>
      <c r="AU197" s="19"/>
      <c r="AV197" s="92" t="str">
        <f>IFERROR(VLOOKUP($AT197,RESOURCES!$C:$L,MATCH('PRODUCTIVITY RAW'!AV$2,RESOURCES!$C$3:$L$3,0),FALSE),"-")</f>
        <v>-</v>
      </c>
      <c r="AW197" s="92" t="str">
        <f>IFERROR(VLOOKUP($AT197,RESOURCES!$C:$L,MATCH('PRODUCTIVITY RAW'!AW$2,RESOURCES!$C$3:$L$3,0),FALSE),"-")</f>
        <v>-</v>
      </c>
      <c r="AX197" s="92" t="str">
        <f>IFERROR(VLOOKUP($AT197,RESOURCES!$C:$L,MATCH('PRODUCTIVITY RAW'!AX$2,RESOURCES!$C$3:$L$3,0),FALSE),"-")</f>
        <v>-</v>
      </c>
      <c r="AY197" s="92" t="str">
        <f>IFERROR(VLOOKUP($AT197,RESOURCES!$C:$L,MATCH('PRODUCTIVITY RAW'!AY$2,RESOURCES!$C$3:$L$3,0),FALSE),"-")</f>
        <v>-</v>
      </c>
      <c r="AZ197" s="92" t="str">
        <f>IFERROR(VLOOKUP($AT197,RESOURCES!$C:$L,MATCH('PRODUCTIVITY RAW'!AZ$2,RESOURCES!$C$3:$L$3,0),FALSE),"-")</f>
        <v>-</v>
      </c>
      <c r="BA197" s="20"/>
    </row>
    <row r="198" spans="1:53">
      <c r="A198" s="19">
        <f t="shared" si="35"/>
        <v>6</v>
      </c>
      <c r="B198" s="19">
        <v>10071691</v>
      </c>
      <c r="C198" s="19" t="s">
        <v>574</v>
      </c>
      <c r="D198" s="92" t="str">
        <f>IFERROR(VLOOKUP($B198,RESOURCES!$C:$L,MATCH('PRODUCTIVITY RAW'!D$2,RESOURCES!$C$3:$L$3,0),FALSE),"-")</f>
        <v>-</v>
      </c>
      <c r="E198" s="92" t="str">
        <f>IFERROR(VLOOKUP($B198,RESOURCES!$C:$L,MATCH('PRODUCTIVITY RAW'!E$2,RESOURCES!$C$3:$L$3,0),FALSE),"-")</f>
        <v>-</v>
      </c>
      <c r="F198" s="92" t="str">
        <f>IFERROR(VLOOKUP($B198,RESOURCES!$C:$L,MATCH('PRODUCTIVITY RAW'!F$2,RESOURCES!$C$3:$L$3,0),FALSE),"-")</f>
        <v>-</v>
      </c>
      <c r="G198" s="92" t="str">
        <f>IFERROR(VLOOKUP($B198,RESOURCES!$C:$L,MATCH('PRODUCTIVITY RAW'!G$2,RESOURCES!$C$3:$L$3,0),FALSE),"-")</f>
        <v>-</v>
      </c>
      <c r="H198" s="92" t="str">
        <f>IFERROR(VLOOKUP($B198,RESOURCES!$C:$L,MATCH('PRODUCTIVITY RAW'!H$2,RESOURCES!$C$3:$L$3,0),FALSE),"-")</f>
        <v>-</v>
      </c>
      <c r="I198" s="8"/>
      <c r="J198" s="8"/>
      <c r="K198" s="9" t="str">
        <f>IFERROR(VLOOKUP($B198,RESOURCES!$C:$L,MATCH('PRODUCTIVITY RAW'!K$2,RESOURCES!$C$3:$L$3,0),FALSE),"-")</f>
        <v>-</v>
      </c>
      <c r="L198" s="21">
        <f t="shared" si="30"/>
        <v>0</v>
      </c>
      <c r="M198" s="87"/>
      <c r="N198" s="87"/>
      <c r="O198" s="192"/>
      <c r="P198" s="86">
        <f t="shared" si="31"/>
        <v>0</v>
      </c>
      <c r="Q198" s="32" t="str">
        <f t="shared" si="32"/>
        <v>-</v>
      </c>
      <c r="R198" s="185">
        <f t="shared" si="34"/>
        <v>0</v>
      </c>
      <c r="S198" s="89" t="str">
        <f t="shared" si="33"/>
        <v>-</v>
      </c>
      <c r="AS198" s="664">
        <f>AS197+1</f>
        <v>196</v>
      </c>
      <c r="AT198" s="19"/>
      <c r="AU198" s="19"/>
      <c r="AV198" s="92" t="str">
        <f>IFERROR(VLOOKUP($AT198,RESOURCES!$C:$L,MATCH('PRODUCTIVITY RAW'!AV$2,RESOURCES!$C$3:$L$3,0),FALSE),"-")</f>
        <v>-</v>
      </c>
      <c r="AW198" s="92" t="str">
        <f>IFERROR(VLOOKUP($AT198,RESOURCES!$C:$L,MATCH('PRODUCTIVITY RAW'!AW$2,RESOURCES!$C$3:$L$3,0),FALSE),"-")</f>
        <v>-</v>
      </c>
      <c r="AX198" s="92" t="str">
        <f>IFERROR(VLOOKUP($AT198,RESOURCES!$C:$L,MATCH('PRODUCTIVITY RAW'!AX$2,RESOURCES!$C$3:$L$3,0),FALSE),"-")</f>
        <v>-</v>
      </c>
      <c r="AY198" s="92" t="str">
        <f>IFERROR(VLOOKUP($AT198,RESOURCES!$C:$L,MATCH('PRODUCTIVITY RAW'!AY$2,RESOURCES!$C$3:$L$3,0),FALSE),"-")</f>
        <v>-</v>
      </c>
      <c r="AZ198" s="92" t="str">
        <f>IFERROR(VLOOKUP($AT198,RESOURCES!$C:$L,MATCH('PRODUCTIVITY RAW'!AZ$2,RESOURCES!$C$3:$L$3,0),FALSE),"-")</f>
        <v>-</v>
      </c>
      <c r="BA198" s="20"/>
    </row>
    <row r="199" spans="1:53">
      <c r="A199" s="19">
        <f t="shared" si="35"/>
        <v>7</v>
      </c>
      <c r="B199" s="19">
        <v>10072604</v>
      </c>
      <c r="C199" s="19" t="s">
        <v>248</v>
      </c>
      <c r="D199" s="92" t="str">
        <f>IFERROR(VLOOKUP($B199,RESOURCES!$C:$L,MATCH('PRODUCTIVITY RAW'!D$2,RESOURCES!$C$3:$L$3,0),FALSE),"-")</f>
        <v>Voice QA</v>
      </c>
      <c r="E199" s="92" t="str">
        <f>IFERROR(VLOOKUP($B199,RESOURCES!$C:$L,MATCH('PRODUCTIVITY RAW'!E$2,RESOURCES!$C$3:$L$3,0),FALSE),"-")</f>
        <v>ARPON, Katherine</v>
      </c>
      <c r="F199" s="92" t="str">
        <f>IFERROR(VLOOKUP($B199,RESOURCES!$C:$L,MATCH('PRODUCTIVITY RAW'!F$2,RESOURCES!$C$3:$L$3,0),FALSE),"-")</f>
        <v>PASQUIN, Ryan</v>
      </c>
      <c r="G199" s="92">
        <f>IFERROR(VLOOKUP($B199,RESOURCES!$C:$L,MATCH('PRODUCTIVITY RAW'!G$2,RESOURCES!$C$3:$L$3,0),FALSE),"-")</f>
        <v>0</v>
      </c>
      <c r="H199" s="92">
        <f>IFERROR(VLOOKUP($B199,RESOURCES!$C:$L,MATCH('PRODUCTIVITY RAW'!H$2,RESOURCES!$C$3:$L$3,0),FALSE),"-")</f>
        <v>0</v>
      </c>
      <c r="I199" s="8"/>
      <c r="J199" s="8"/>
      <c r="K199" s="9" t="str">
        <f>IFERROR(VLOOKUP($B199,RESOURCES!$C:$L,MATCH('PRODUCTIVITY RAW'!K$2,RESOURCES!$C$3:$L$3,0),FALSE),"-")</f>
        <v>Expert</v>
      </c>
      <c r="L199" s="21">
        <f t="shared" si="30"/>
        <v>42</v>
      </c>
      <c r="M199" s="87"/>
      <c r="N199" s="87"/>
      <c r="O199" s="192"/>
      <c r="P199" s="86">
        <f t="shared" si="31"/>
        <v>45</v>
      </c>
      <c r="Q199" s="32">
        <f t="shared" si="32"/>
        <v>0.93333333333333335</v>
      </c>
      <c r="R199" s="185">
        <f t="shared" si="34"/>
        <v>45</v>
      </c>
      <c r="S199" s="89" t="str">
        <f t="shared" si="33"/>
        <v>Voice QA</v>
      </c>
      <c r="AS199" s="664">
        <f>AS198+1</f>
        <v>197</v>
      </c>
      <c r="AT199" s="19"/>
      <c r="AU199" s="19"/>
      <c r="AV199" s="92" t="str">
        <f>IFERROR(VLOOKUP($AT199,RESOURCES!$C:$L,MATCH('PRODUCTIVITY RAW'!AV$2,RESOURCES!$C$3:$L$3,0),FALSE),"-")</f>
        <v>-</v>
      </c>
      <c r="AW199" s="92" t="str">
        <f>IFERROR(VLOOKUP($AT199,RESOURCES!$C:$L,MATCH('PRODUCTIVITY RAW'!AW$2,RESOURCES!$C$3:$L$3,0),FALSE),"-")</f>
        <v>-</v>
      </c>
      <c r="AX199" s="92" t="str">
        <f>IFERROR(VLOOKUP($AT199,RESOURCES!$C:$L,MATCH('PRODUCTIVITY RAW'!AX$2,RESOURCES!$C$3:$L$3,0),FALSE),"-")</f>
        <v>-</v>
      </c>
      <c r="AY199" s="92" t="str">
        <f>IFERROR(VLOOKUP($AT199,RESOURCES!$C:$L,MATCH('PRODUCTIVITY RAW'!AY$2,RESOURCES!$C$3:$L$3,0),FALSE),"-")</f>
        <v>-</v>
      </c>
      <c r="AZ199" s="92" t="str">
        <f>IFERROR(VLOOKUP($AT199,RESOURCES!$C:$L,MATCH('PRODUCTIVITY RAW'!AZ$2,RESOURCES!$C$3:$L$3,0),FALSE),"-")</f>
        <v>-</v>
      </c>
      <c r="BA199" s="20"/>
    </row>
    <row r="200" spans="1:53">
      <c r="A200" s="19">
        <f t="shared" si="35"/>
        <v>8</v>
      </c>
      <c r="B200" s="19">
        <v>10072613</v>
      </c>
      <c r="C200" s="19" t="s">
        <v>249</v>
      </c>
      <c r="D200" s="92" t="str">
        <f>IFERROR(VLOOKUP($B200,RESOURCES!$C:$L,MATCH('PRODUCTIVITY RAW'!D$2,RESOURCES!$C$3:$L$3,0),FALSE),"-")</f>
        <v>Voice QA</v>
      </c>
      <c r="E200" s="92" t="str">
        <f>IFERROR(VLOOKUP($B200,RESOURCES!$C:$L,MATCH('PRODUCTIVITY RAW'!E$2,RESOURCES!$C$3:$L$3,0),FALSE),"-")</f>
        <v>ARPON, Katherine</v>
      </c>
      <c r="F200" s="92" t="str">
        <f>IFERROR(VLOOKUP($B200,RESOURCES!$C:$L,MATCH('PRODUCTIVITY RAW'!F$2,RESOURCES!$C$3:$L$3,0),FALSE),"-")</f>
        <v>PASQUIN, Ryan</v>
      </c>
      <c r="G200" s="92">
        <f>IFERROR(VLOOKUP($B200,RESOURCES!$C:$L,MATCH('PRODUCTIVITY RAW'!G$2,RESOURCES!$C$3:$L$3,0),FALSE),"-")</f>
        <v>0</v>
      </c>
      <c r="H200" s="92">
        <f>IFERROR(VLOOKUP($B200,RESOURCES!$C:$L,MATCH('PRODUCTIVITY RAW'!H$2,RESOURCES!$C$3:$L$3,0),FALSE),"-")</f>
        <v>0</v>
      </c>
      <c r="I200" s="8"/>
      <c r="J200" s="8"/>
      <c r="K200" s="9" t="str">
        <f>IFERROR(VLOOKUP($B200,RESOURCES!$C:$L,MATCH('PRODUCTIVITY RAW'!K$2,RESOURCES!$C$3:$L$3,0),FALSE),"-")</f>
        <v>Expert</v>
      </c>
      <c r="L200" s="21">
        <f t="shared" si="30"/>
        <v>59</v>
      </c>
      <c r="M200" s="87"/>
      <c r="N200" s="87"/>
      <c r="O200" s="192"/>
      <c r="P200" s="86">
        <f t="shared" si="31"/>
        <v>63</v>
      </c>
      <c r="Q200" s="32">
        <f t="shared" si="32"/>
        <v>0.93650793650793651</v>
      </c>
      <c r="R200" s="185">
        <f t="shared" si="34"/>
        <v>63</v>
      </c>
      <c r="S200" s="89" t="str">
        <f t="shared" si="33"/>
        <v>Voice QA</v>
      </c>
      <c r="AS200" s="664">
        <f>AS199+1</f>
        <v>198</v>
      </c>
      <c r="AT200" s="19"/>
      <c r="AU200" s="19"/>
      <c r="AV200" s="92" t="str">
        <f>IFERROR(VLOOKUP($AT200,RESOURCES!$C:$L,MATCH('PRODUCTIVITY RAW'!AV$2,RESOURCES!$C$3:$L$3,0),FALSE),"-")</f>
        <v>-</v>
      </c>
      <c r="AW200" s="92" t="str">
        <f>IFERROR(VLOOKUP($AT200,RESOURCES!$C:$L,MATCH('PRODUCTIVITY RAW'!AW$2,RESOURCES!$C$3:$L$3,0),FALSE),"-")</f>
        <v>-</v>
      </c>
      <c r="AX200" s="92" t="str">
        <f>IFERROR(VLOOKUP($AT200,RESOURCES!$C:$L,MATCH('PRODUCTIVITY RAW'!AX$2,RESOURCES!$C$3:$L$3,0),FALSE),"-")</f>
        <v>-</v>
      </c>
      <c r="AY200" s="92" t="str">
        <f>IFERROR(VLOOKUP($AT200,RESOURCES!$C:$L,MATCH('PRODUCTIVITY RAW'!AY$2,RESOURCES!$C$3:$L$3,0),FALSE),"-")</f>
        <v>-</v>
      </c>
      <c r="AZ200" s="92" t="str">
        <f>IFERROR(VLOOKUP($AT200,RESOURCES!$C:$L,MATCH('PRODUCTIVITY RAW'!AZ$2,RESOURCES!$C$3:$L$3,0),FALSE),"-")</f>
        <v>-</v>
      </c>
      <c r="BA200" s="20"/>
    </row>
    <row r="201" spans="1:53">
      <c r="A201" s="19">
        <f t="shared" si="35"/>
        <v>9</v>
      </c>
      <c r="B201" s="19">
        <v>10072011</v>
      </c>
      <c r="C201" s="19" t="s">
        <v>245</v>
      </c>
      <c r="D201" s="92" t="str">
        <f>IFERROR(VLOOKUP($B201,RESOURCES!$C:$L,MATCH('PRODUCTIVITY RAW'!D$2,RESOURCES!$C$3:$L$3,0),FALSE),"-")</f>
        <v>Voice QA</v>
      </c>
      <c r="E201" s="92" t="str">
        <f>IFERROR(VLOOKUP($B201,RESOURCES!$C:$L,MATCH('PRODUCTIVITY RAW'!E$2,RESOURCES!$C$3:$L$3,0),FALSE),"-")</f>
        <v>ARPON, Katherine</v>
      </c>
      <c r="F201" s="92" t="str">
        <f>IFERROR(VLOOKUP($B201,RESOURCES!$C:$L,MATCH('PRODUCTIVITY RAW'!F$2,RESOURCES!$C$3:$L$3,0),FALSE),"-")</f>
        <v>PASQUIN, Ryan</v>
      </c>
      <c r="G201" s="92">
        <f>IFERROR(VLOOKUP($B201,RESOURCES!$C:$L,MATCH('PRODUCTIVITY RAW'!G$2,RESOURCES!$C$3:$L$3,0),FALSE),"-")</f>
        <v>0</v>
      </c>
      <c r="H201" s="92">
        <f>IFERROR(VLOOKUP($B201,RESOURCES!$C:$L,MATCH('PRODUCTIVITY RAW'!H$2,RESOURCES!$C$3:$L$3,0),FALSE),"-")</f>
        <v>0</v>
      </c>
      <c r="I201" s="8"/>
      <c r="J201" s="8"/>
      <c r="K201" s="9" t="str">
        <f>IFERROR(VLOOKUP($B201,RESOURCES!$C:$L,MATCH('PRODUCTIVITY RAW'!K$2,RESOURCES!$C$3:$L$3,0),FALSE),"-")</f>
        <v>Expert</v>
      </c>
      <c r="L201" s="21">
        <f t="shared" si="30"/>
        <v>64</v>
      </c>
      <c r="M201" s="87"/>
      <c r="N201" s="87"/>
      <c r="O201" s="192"/>
      <c r="P201" s="86">
        <f t="shared" si="31"/>
        <v>63</v>
      </c>
      <c r="Q201" s="32">
        <f t="shared" si="32"/>
        <v>1</v>
      </c>
      <c r="R201" s="185">
        <f t="shared" si="34"/>
        <v>63</v>
      </c>
      <c r="S201" s="89" t="str">
        <f t="shared" si="33"/>
        <v>Voice QA</v>
      </c>
    </row>
    <row r="202" spans="1:53">
      <c r="A202" s="19">
        <f t="shared" si="35"/>
        <v>10</v>
      </c>
      <c r="B202" s="19">
        <v>10072010</v>
      </c>
      <c r="C202" s="19" t="s">
        <v>244</v>
      </c>
      <c r="D202" s="92" t="str">
        <f>IFERROR(VLOOKUP($B202,RESOURCES!$C:$L,MATCH('PRODUCTIVITY RAW'!D$2,RESOURCES!$C$3:$L$3,0),FALSE),"-")</f>
        <v>Voice QA</v>
      </c>
      <c r="E202" s="92" t="str">
        <f>IFERROR(VLOOKUP($B202,RESOURCES!$C:$L,MATCH('PRODUCTIVITY RAW'!E$2,RESOURCES!$C$3:$L$3,0),FALSE),"-")</f>
        <v>ARPON, Katherine</v>
      </c>
      <c r="F202" s="92" t="str">
        <f>IFERROR(VLOOKUP($B202,RESOURCES!$C:$L,MATCH('PRODUCTIVITY RAW'!F$2,RESOURCES!$C$3:$L$3,0),FALSE),"-")</f>
        <v>PASQUIN, Ryan</v>
      </c>
      <c r="G202" s="92">
        <f>IFERROR(VLOOKUP($B202,RESOURCES!$C:$L,MATCH('PRODUCTIVITY RAW'!G$2,RESOURCES!$C$3:$L$3,0),FALSE),"-")</f>
        <v>0</v>
      </c>
      <c r="H202" s="92">
        <f>IFERROR(VLOOKUP($B202,RESOURCES!$C:$L,MATCH('PRODUCTIVITY RAW'!H$2,RESOURCES!$C$3:$L$3,0),FALSE),"-")</f>
        <v>0</v>
      </c>
      <c r="I202" s="8"/>
      <c r="J202" s="8"/>
      <c r="K202" s="9" t="str">
        <f>IFERROR(VLOOKUP($B202,RESOURCES!$C:$L,MATCH('PRODUCTIVITY RAW'!K$2,RESOURCES!$C$3:$L$3,0),FALSE),"-")</f>
        <v>Expert</v>
      </c>
      <c r="L202" s="21">
        <f t="shared" si="30"/>
        <v>65</v>
      </c>
      <c r="M202" s="87"/>
      <c r="N202" s="87"/>
      <c r="O202" s="192"/>
      <c r="P202" s="86">
        <f t="shared" si="31"/>
        <v>65</v>
      </c>
      <c r="Q202" s="32">
        <f t="shared" si="32"/>
        <v>1</v>
      </c>
      <c r="R202" s="185">
        <f t="shared" si="34"/>
        <v>65</v>
      </c>
      <c r="S202" s="89" t="str">
        <f t="shared" si="33"/>
        <v>Voice QA</v>
      </c>
    </row>
    <row r="203" spans="1:53">
      <c r="A203" s="19">
        <f t="shared" si="35"/>
        <v>11</v>
      </c>
      <c r="B203" s="19">
        <v>10071428</v>
      </c>
      <c r="C203" s="19" t="s">
        <v>539</v>
      </c>
      <c r="D203" s="92" t="s">
        <v>90</v>
      </c>
      <c r="E203" s="92" t="s">
        <v>241</v>
      </c>
      <c r="F203" s="92" t="s">
        <v>106</v>
      </c>
      <c r="G203" s="92" t="s">
        <v>85</v>
      </c>
      <c r="H203" s="92"/>
      <c r="I203" s="8"/>
      <c r="J203" s="8"/>
      <c r="K203" s="9"/>
      <c r="L203" s="21">
        <f t="shared" si="30"/>
        <v>38</v>
      </c>
      <c r="M203" s="87"/>
      <c r="N203" s="87"/>
      <c r="O203" s="192"/>
      <c r="P203" s="86">
        <f t="shared" si="31"/>
        <v>63</v>
      </c>
      <c r="Q203" s="32">
        <f>IFERROR(IF((L203/R203)&gt;1,1,L203/R203),"-")</f>
        <v>0.60317460317460314</v>
      </c>
      <c r="R203" s="185">
        <f>P203</f>
        <v>63</v>
      </c>
      <c r="S203" s="89" t="str">
        <f>D203</f>
        <v>Voice QA</v>
      </c>
    </row>
    <row r="204" spans="1:53">
      <c r="A204" s="19">
        <f t="shared" si="35"/>
        <v>12</v>
      </c>
      <c r="B204" s="19">
        <v>10072441</v>
      </c>
      <c r="C204" s="19" t="s">
        <v>505</v>
      </c>
      <c r="D204" s="92" t="s">
        <v>90</v>
      </c>
      <c r="E204" s="92" t="s">
        <v>241</v>
      </c>
      <c r="F204" s="92" t="s">
        <v>106</v>
      </c>
      <c r="G204" s="92" t="s">
        <v>85</v>
      </c>
      <c r="H204" s="92"/>
      <c r="I204" s="8"/>
      <c r="J204" s="8"/>
      <c r="K204" s="9"/>
      <c r="L204" s="21">
        <f t="shared" si="30"/>
        <v>28</v>
      </c>
      <c r="M204" s="87"/>
      <c r="N204" s="87"/>
      <c r="O204" s="192"/>
      <c r="P204" s="86">
        <f t="shared" si="31"/>
        <v>45</v>
      </c>
      <c r="Q204" s="32">
        <f>IFERROR(IF((L204/R204)&gt;1,1,L204/R204),"-")</f>
        <v>0.62222222222222223</v>
      </c>
      <c r="R204" s="185">
        <f>P204</f>
        <v>45</v>
      </c>
      <c r="S204" s="89" t="str">
        <f>D204</f>
        <v>Voice QA</v>
      </c>
    </row>
    <row r="205" spans="1:53">
      <c r="A205" s="19">
        <f t="shared" si="35"/>
        <v>13</v>
      </c>
      <c r="B205" s="19">
        <v>10072203</v>
      </c>
      <c r="C205" s="19" t="s">
        <v>526</v>
      </c>
      <c r="D205" s="92" t="s">
        <v>90</v>
      </c>
      <c r="E205" s="92" t="s">
        <v>241</v>
      </c>
      <c r="F205" s="92" t="s">
        <v>106</v>
      </c>
      <c r="G205" s="92" t="s">
        <v>85</v>
      </c>
      <c r="H205" s="92"/>
      <c r="I205" s="8"/>
      <c r="J205" s="8"/>
      <c r="K205" s="9"/>
      <c r="L205" s="21">
        <f t="shared" si="30"/>
        <v>51</v>
      </c>
      <c r="M205" s="87"/>
      <c r="N205" s="87"/>
      <c r="O205" s="192"/>
      <c r="P205" s="86">
        <f t="shared" si="31"/>
        <v>63</v>
      </c>
      <c r="Q205" s="32">
        <f>IFERROR(IF((L205/R205)&gt;1,1,L205/R205),"-")</f>
        <v>0.80952380952380953</v>
      </c>
      <c r="R205" s="185">
        <f>P205</f>
        <v>63</v>
      </c>
      <c r="S205" s="89" t="str">
        <f>D205</f>
        <v>Voice QA</v>
      </c>
    </row>
    <row r="206" spans="1:53">
      <c r="A206"/>
      <c r="B206"/>
      <c r="C206"/>
      <c r="D206"/>
      <c r="E206"/>
      <c r="F206"/>
      <c r="G206"/>
      <c r="H206"/>
      <c r="I206"/>
      <c r="J206"/>
      <c r="K206"/>
      <c r="L206"/>
      <c r="M206"/>
      <c r="O206"/>
    </row>
    <row r="207" spans="1:53">
      <c r="A207"/>
      <c r="B207"/>
      <c r="C207"/>
      <c r="D207"/>
      <c r="E207"/>
      <c r="F207"/>
      <c r="G207"/>
      <c r="H207"/>
      <c r="I207"/>
      <c r="J207"/>
      <c r="K207"/>
      <c r="L207"/>
      <c r="M207"/>
      <c r="O207"/>
    </row>
    <row r="208" spans="1:53">
      <c r="A208"/>
      <c r="B208"/>
      <c r="C208"/>
      <c r="D208"/>
      <c r="E208"/>
      <c r="F208"/>
      <c r="G208"/>
      <c r="H208"/>
      <c r="I208"/>
      <c r="J208"/>
      <c r="K208"/>
      <c r="L208"/>
      <c r="M208"/>
      <c r="O208"/>
    </row>
    <row r="209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O209"/>
    </row>
    <row r="210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O210"/>
    </row>
    <row r="211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O211"/>
    </row>
    <row r="212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O212"/>
    </row>
    <row r="2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O213"/>
    </row>
    <row r="214" spans="1:37">
      <c r="J214" s="4"/>
    </row>
    <row r="215" spans="1:37">
      <c r="J215" s="4"/>
    </row>
    <row r="216" spans="1:37">
      <c r="D216" s="48" t="s">
        <v>418</v>
      </c>
      <c r="J216" s="4"/>
      <c r="L216" s="202" t="s">
        <v>626</v>
      </c>
      <c r="M216" s="202" t="s">
        <v>627</v>
      </c>
      <c r="N216" s="202" t="s">
        <v>628</v>
      </c>
      <c r="O216" s="203" t="s">
        <v>629</v>
      </c>
      <c r="P216" s="203" t="s">
        <v>360</v>
      </c>
      <c r="Q216" s="204" t="s">
        <v>630</v>
      </c>
    </row>
    <row r="217" spans="1:37">
      <c r="A217" s="3">
        <f>A212+1</f>
        <v>1</v>
      </c>
      <c r="B217" s="3">
        <v>10070715</v>
      </c>
      <c r="C217" s="3" t="s">
        <v>152</v>
      </c>
      <c r="D217" s="3" t="s">
        <v>262</v>
      </c>
      <c r="E217" s="3" t="s">
        <v>85</v>
      </c>
      <c r="F217" s="3" t="s">
        <v>14</v>
      </c>
      <c r="G217" s="3" t="s">
        <v>14</v>
      </c>
      <c r="H217" s="3" t="s">
        <v>263</v>
      </c>
      <c r="I217" s="8"/>
      <c r="J217" s="8"/>
      <c r="K217" s="9" t="str">
        <f>IF(((J217-I217)/(365))*12&lt;=2.99,"Beginner",IF(((J217-I217)/(365))*12&lt;=5.99,"Intermediate","Expert"))</f>
        <v>Beginner</v>
      </c>
      <c r="L217" s="91">
        <f t="shared" ref="L217:L227" si="36">SUMIFS(L:L,$E:$E,$C217)</f>
        <v>1825.8500000000001</v>
      </c>
      <c r="M217" s="196"/>
      <c r="N217" s="196"/>
      <c r="O217" s="196"/>
      <c r="P217" s="91">
        <f>SUMIFS($R:$R,$E:$E,$C217)</f>
        <v>1833.2</v>
      </c>
      <c r="Q217" s="32">
        <f>IF((L217/P217)&gt;1,1,L217/P217)</f>
        <v>0.9959906174994545</v>
      </c>
    </row>
    <row r="218" spans="1:37">
      <c r="A218" s="3">
        <f t="shared" si="35"/>
        <v>2</v>
      </c>
      <c r="B218" s="3">
        <v>10072502</v>
      </c>
      <c r="C218" s="3" t="s">
        <v>137</v>
      </c>
      <c r="D218" s="3" t="s">
        <v>262</v>
      </c>
      <c r="E218" s="3" t="s">
        <v>85</v>
      </c>
      <c r="F218" s="3" t="s">
        <v>14</v>
      </c>
      <c r="G218" s="3" t="s">
        <v>14</v>
      </c>
      <c r="H218" s="3" t="s">
        <v>263</v>
      </c>
      <c r="I218" s="8"/>
      <c r="J218" s="8"/>
      <c r="K218" s="9" t="str">
        <f>IF(((J218-I218)/(365))*12&lt;=2.99,"Beginner",IF(((J218-I218)/(365))*12&lt;=5.99,"Intermediate","Expert"))</f>
        <v>Beginner</v>
      </c>
      <c r="L218" s="91">
        <f t="shared" si="36"/>
        <v>1828.7900000000002</v>
      </c>
      <c r="M218" s="196"/>
      <c r="N218" s="196"/>
      <c r="O218" s="196"/>
      <c r="P218" s="91">
        <f t="shared" ref="P218:P227" si="37">SUMIFS($R:$R,$E:$E,$C218)</f>
        <v>1659.2</v>
      </c>
      <c r="Q218" s="32">
        <f t="shared" ref="Q218:Q228" si="38">IF((L218/P218)&gt;1,1,L218/P218)</f>
        <v>1</v>
      </c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7"/>
      <c r="AJ218" s="187"/>
      <c r="AK218" s="187"/>
    </row>
    <row r="219" spans="1:37">
      <c r="A219" s="3">
        <f t="shared" si="35"/>
        <v>3</v>
      </c>
      <c r="B219" s="3">
        <v>10070655</v>
      </c>
      <c r="C219" s="3" t="s">
        <v>84</v>
      </c>
      <c r="D219" s="3" t="s">
        <v>262</v>
      </c>
      <c r="E219" s="3" t="s">
        <v>85</v>
      </c>
      <c r="F219" s="3" t="s">
        <v>14</v>
      </c>
      <c r="G219" s="3" t="s">
        <v>14</v>
      </c>
      <c r="H219" s="3" t="s">
        <v>263</v>
      </c>
      <c r="I219" s="8"/>
      <c r="J219" s="8"/>
      <c r="K219" s="9" t="str">
        <f>IF(((J219-I219)/(365))*12&lt;=2.99,"Beginner",IF(((J219-I219)/(365))*12&lt;=5.99,"Intermediate","Expert"))</f>
        <v>Beginner</v>
      </c>
      <c r="L219" s="91">
        <f t="shared" si="36"/>
        <v>1688.0400000000004</v>
      </c>
      <c r="M219" s="196"/>
      <c r="N219" s="196"/>
      <c r="O219" s="196"/>
      <c r="P219" s="91">
        <f t="shared" si="37"/>
        <v>1576.36</v>
      </c>
      <c r="Q219" s="32">
        <f t="shared" si="38"/>
        <v>1</v>
      </c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7"/>
      <c r="AJ219" s="187"/>
      <c r="AK219" s="187"/>
    </row>
    <row r="220" spans="1:37">
      <c r="A220" s="3">
        <f t="shared" si="35"/>
        <v>4</v>
      </c>
      <c r="B220" s="3">
        <v>10070702</v>
      </c>
      <c r="C220" s="3" t="s">
        <v>264</v>
      </c>
      <c r="D220" s="3" t="s">
        <v>262</v>
      </c>
      <c r="E220" s="3" t="s">
        <v>85</v>
      </c>
      <c r="F220" s="3" t="s">
        <v>14</v>
      </c>
      <c r="G220" s="3" t="s">
        <v>14</v>
      </c>
      <c r="H220" s="3" t="s">
        <v>263</v>
      </c>
      <c r="I220" s="8"/>
      <c r="J220" s="8"/>
      <c r="K220" s="9" t="str">
        <f>IF(((J220-I220)/(365))*12&lt;=2.99,"Beginner",IF(((J220-I220)/(365))*12&lt;=5.99,"Intermediate","Expert"))</f>
        <v>Beginner</v>
      </c>
      <c r="L220" s="91">
        <f t="shared" si="36"/>
        <v>0</v>
      </c>
      <c r="M220" s="196"/>
      <c r="N220" s="196"/>
      <c r="O220" s="196"/>
      <c r="P220" s="91">
        <f t="shared" si="37"/>
        <v>0</v>
      </c>
      <c r="Q220" s="32" t="e">
        <f t="shared" si="38"/>
        <v>#DIV/0!</v>
      </c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7"/>
      <c r="AJ220" s="187"/>
      <c r="AK220" s="187"/>
    </row>
    <row r="221" spans="1:37">
      <c r="A221" s="3">
        <f t="shared" si="35"/>
        <v>5</v>
      </c>
      <c r="B221" s="3">
        <v>10072072</v>
      </c>
      <c r="C221" s="3" t="s">
        <v>169</v>
      </c>
      <c r="D221" s="3" t="s">
        <v>262</v>
      </c>
      <c r="E221" s="3" t="s">
        <v>170</v>
      </c>
      <c r="F221" s="3" t="s">
        <v>14</v>
      </c>
      <c r="G221" s="3" t="s">
        <v>14</v>
      </c>
      <c r="H221" s="3" t="s">
        <v>263</v>
      </c>
      <c r="I221" s="8"/>
      <c r="J221" s="8"/>
      <c r="K221" s="9" t="str">
        <f>IF(((J221-I221)/(365))*12&lt;=2.99,"Beginner",IF(((J221-I221)/(365))*12&lt;=5.99,"Intermediate","Expert"))</f>
        <v>Beginner</v>
      </c>
      <c r="L221" s="91">
        <f t="shared" si="36"/>
        <v>1767.3300000000006</v>
      </c>
      <c r="M221" s="196"/>
      <c r="N221" s="196"/>
      <c r="O221" s="196"/>
      <c r="P221" s="91">
        <f t="shared" si="37"/>
        <v>1638.8133333333335</v>
      </c>
      <c r="Q221" s="32">
        <f t="shared" si="38"/>
        <v>1</v>
      </c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7"/>
      <c r="AJ221" s="187"/>
      <c r="AK221" s="187"/>
    </row>
    <row r="222" spans="1:37">
      <c r="A222" s="3">
        <f t="shared" si="35"/>
        <v>6</v>
      </c>
      <c r="B222" s="3">
        <v>10071099</v>
      </c>
      <c r="C222" s="3" t="s">
        <v>214</v>
      </c>
      <c r="D222" s="3" t="s">
        <v>262</v>
      </c>
      <c r="E222" s="3" t="s">
        <v>170</v>
      </c>
      <c r="F222" s="3" t="s">
        <v>14</v>
      </c>
      <c r="G222" s="3" t="s">
        <v>14</v>
      </c>
      <c r="H222" s="3" t="s">
        <v>263</v>
      </c>
      <c r="I222" s="8"/>
      <c r="J222" s="8"/>
      <c r="K222" s="9" t="s">
        <v>81</v>
      </c>
      <c r="L222" s="91">
        <f t="shared" si="36"/>
        <v>1628.7000000000003</v>
      </c>
      <c r="M222" s="196"/>
      <c r="N222" s="196"/>
      <c r="O222" s="196"/>
      <c r="P222" s="91">
        <f t="shared" si="37"/>
        <v>1575</v>
      </c>
      <c r="Q222" s="32">
        <f t="shared" si="38"/>
        <v>1</v>
      </c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7"/>
      <c r="AJ222" s="187"/>
      <c r="AK222" s="187"/>
    </row>
    <row r="223" spans="1:37">
      <c r="A223" s="3">
        <f t="shared" si="35"/>
        <v>7</v>
      </c>
      <c r="B223" s="3">
        <v>10071309</v>
      </c>
      <c r="C223" s="3" t="s">
        <v>200</v>
      </c>
      <c r="D223" s="3" t="s">
        <v>262</v>
      </c>
      <c r="E223" s="3" t="s">
        <v>170</v>
      </c>
      <c r="F223" s="3" t="s">
        <v>14</v>
      </c>
      <c r="G223" s="3" t="s">
        <v>14</v>
      </c>
      <c r="H223" s="3" t="s">
        <v>263</v>
      </c>
      <c r="I223" s="8"/>
      <c r="J223" s="8"/>
      <c r="K223" s="9" t="s">
        <v>81</v>
      </c>
      <c r="L223" s="91">
        <f t="shared" si="36"/>
        <v>1516.8400000000004</v>
      </c>
      <c r="M223" s="196"/>
      <c r="N223" s="196"/>
      <c r="O223" s="196"/>
      <c r="P223" s="91">
        <f t="shared" si="37"/>
        <v>1759.8</v>
      </c>
      <c r="Q223" s="32">
        <f t="shared" si="38"/>
        <v>0.86193885668826031</v>
      </c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7"/>
      <c r="AJ223" s="187"/>
      <c r="AK223" s="187"/>
    </row>
    <row r="224" spans="1:37">
      <c r="A224" s="3">
        <f>A222+1</f>
        <v>7</v>
      </c>
      <c r="B224" s="3">
        <v>10072501</v>
      </c>
      <c r="C224" s="3" t="s">
        <v>186</v>
      </c>
      <c r="D224" s="3" t="s">
        <v>262</v>
      </c>
      <c r="E224" s="3" t="s">
        <v>170</v>
      </c>
      <c r="F224" s="3" t="s">
        <v>14</v>
      </c>
      <c r="G224" s="3" t="s">
        <v>14</v>
      </c>
      <c r="H224" s="3" t="s">
        <v>263</v>
      </c>
      <c r="I224" s="8"/>
      <c r="J224" s="8"/>
      <c r="K224" s="9" t="s">
        <v>81</v>
      </c>
      <c r="L224" s="91">
        <f t="shared" si="36"/>
        <v>1775.4100000000005</v>
      </c>
      <c r="M224" s="196"/>
      <c r="N224" s="196"/>
      <c r="O224" s="196"/>
      <c r="P224" s="91">
        <f t="shared" si="37"/>
        <v>1693.4666666666667</v>
      </c>
      <c r="Q224" s="32">
        <f t="shared" si="38"/>
        <v>1</v>
      </c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7"/>
      <c r="AJ224" s="187"/>
      <c r="AK224" s="187"/>
    </row>
    <row r="225" spans="1:57 16348:16366">
      <c r="A225" s="3">
        <f t="shared" si="35"/>
        <v>8</v>
      </c>
      <c r="B225" s="3">
        <v>10071256</v>
      </c>
      <c r="C225" s="3" t="s">
        <v>227</v>
      </c>
      <c r="D225" s="3" t="s">
        <v>265</v>
      </c>
      <c r="E225" s="3" t="s">
        <v>106</v>
      </c>
      <c r="F225" s="3" t="s">
        <v>14</v>
      </c>
      <c r="G225" s="3" t="s">
        <v>14</v>
      </c>
      <c r="H225" s="3" t="s">
        <v>263</v>
      </c>
      <c r="I225" s="8"/>
      <c r="J225" s="8"/>
      <c r="K225" s="9" t="s">
        <v>81</v>
      </c>
      <c r="L225" s="91">
        <f t="shared" si="36"/>
        <v>2360.3300000000017</v>
      </c>
      <c r="M225" s="196"/>
      <c r="N225" s="196"/>
      <c r="O225" s="196"/>
      <c r="P225" s="91">
        <f t="shared" si="37"/>
        <v>2239.0666666666666</v>
      </c>
      <c r="Q225" s="32">
        <f t="shared" si="38"/>
        <v>1</v>
      </c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7"/>
      <c r="AJ225" s="187"/>
      <c r="AK225" s="187"/>
    </row>
    <row r="226" spans="1:57 16348:16366">
      <c r="A226" s="3">
        <f t="shared" si="35"/>
        <v>9</v>
      </c>
      <c r="B226" s="3">
        <v>10071245</v>
      </c>
      <c r="C226" s="3" t="s">
        <v>124</v>
      </c>
      <c r="D226" s="3" t="s">
        <v>265</v>
      </c>
      <c r="E226" s="3" t="s">
        <v>106</v>
      </c>
      <c r="F226" s="3" t="s">
        <v>14</v>
      </c>
      <c r="G226" s="3" t="s">
        <v>14</v>
      </c>
      <c r="H226" s="3" t="s">
        <v>263</v>
      </c>
      <c r="I226" s="8"/>
      <c r="J226" s="8"/>
      <c r="K226" s="9" t="s">
        <v>81</v>
      </c>
      <c r="L226" s="91">
        <f t="shared" si="36"/>
        <v>2251.0900000000011</v>
      </c>
      <c r="M226" s="196"/>
      <c r="N226" s="196"/>
      <c r="O226" s="196"/>
      <c r="P226" s="91">
        <f t="shared" si="37"/>
        <v>2089.5333333333333</v>
      </c>
      <c r="Q226" s="32">
        <f t="shared" si="38"/>
        <v>1</v>
      </c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7"/>
      <c r="AJ226" s="187"/>
      <c r="AK226" s="187"/>
    </row>
    <row r="227" spans="1:57 16348:16366">
      <c r="A227" s="3">
        <f t="shared" si="35"/>
        <v>10</v>
      </c>
      <c r="B227" s="3">
        <v>10070828</v>
      </c>
      <c r="C227" s="3" t="s">
        <v>105</v>
      </c>
      <c r="D227" s="3" t="s">
        <v>266</v>
      </c>
      <c r="E227" s="3" t="s">
        <v>106</v>
      </c>
      <c r="F227" s="3" t="s">
        <v>14</v>
      </c>
      <c r="G227" s="3" t="s">
        <v>14</v>
      </c>
      <c r="H227" s="3" t="s">
        <v>263</v>
      </c>
      <c r="I227" s="8"/>
      <c r="J227" s="8"/>
      <c r="K227" s="9" t="s">
        <v>81</v>
      </c>
      <c r="L227" s="91">
        <f t="shared" si="36"/>
        <v>857.29999999999916</v>
      </c>
      <c r="M227" s="196"/>
      <c r="N227" s="196"/>
      <c r="O227" s="196"/>
      <c r="P227" s="91">
        <f t="shared" si="37"/>
        <v>791.9000000000002</v>
      </c>
      <c r="Q227" s="32">
        <f t="shared" si="38"/>
        <v>1</v>
      </c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7"/>
      <c r="AJ227" s="187"/>
      <c r="AK227" s="187"/>
    </row>
    <row r="228" spans="1:57 16348:16366">
      <c r="A228" s="193">
        <f t="shared" si="35"/>
        <v>11</v>
      </c>
      <c r="B228" s="193">
        <v>10071492</v>
      </c>
      <c r="C228" s="193" t="s">
        <v>241</v>
      </c>
      <c r="D228" s="193" t="s">
        <v>83</v>
      </c>
      <c r="E228" s="193" t="s">
        <v>106</v>
      </c>
      <c r="F228" s="193" t="s">
        <v>14</v>
      </c>
      <c r="G228" s="193" t="s">
        <v>14</v>
      </c>
      <c r="H228" s="193" t="s">
        <v>263</v>
      </c>
      <c r="I228" s="194"/>
      <c r="J228" s="194"/>
      <c r="K228" s="195" t="s">
        <v>81</v>
      </c>
      <c r="L228" s="200">
        <f>SUMIFS(L:L,$E:$E,$C228,$S:$S,$D228)</f>
        <v>0</v>
      </c>
      <c r="M228" s="196"/>
      <c r="N228" s="196"/>
      <c r="O228" s="196"/>
      <c r="P228" s="200">
        <f>SUMIFS($R:$R,$E:$E,$C228,$S:$S,$D228)</f>
        <v>0</v>
      </c>
      <c r="Q228" s="201" t="e">
        <f t="shared" si="38"/>
        <v>#DIV/0!</v>
      </c>
      <c r="R228" s="71" t="s">
        <v>83</v>
      </c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7"/>
      <c r="AJ228" s="187"/>
      <c r="AK228" s="187"/>
    </row>
    <row r="229" spans="1:57 16348:16366">
      <c r="A229" s="193">
        <f t="shared" si="35"/>
        <v>12</v>
      </c>
      <c r="B229" s="193">
        <v>10071492</v>
      </c>
      <c r="C229" s="193" t="s">
        <v>241</v>
      </c>
      <c r="D229" s="193" t="s">
        <v>90</v>
      </c>
      <c r="E229" s="193" t="s">
        <v>106</v>
      </c>
      <c r="F229" s="193" t="s">
        <v>14</v>
      </c>
      <c r="G229" s="193" t="s">
        <v>14</v>
      </c>
      <c r="H229" s="193" t="s">
        <v>263</v>
      </c>
      <c r="I229" s="194"/>
      <c r="J229" s="194"/>
      <c r="K229" s="195" t="s">
        <v>81</v>
      </c>
      <c r="L229" s="200">
        <f>SUMIFS(L:L,$E:$E,$C229,$S:$S,$D229)</f>
        <v>630</v>
      </c>
      <c r="M229" s="196"/>
      <c r="N229" s="196"/>
      <c r="O229" s="196"/>
      <c r="P229" s="200">
        <f>SUMIFS($R:$R,$E:$E,$C229,$S:$S,$D229)</f>
        <v>704</v>
      </c>
      <c r="Q229" s="201">
        <f>IFERROR(IF((L229/P229)&gt;1,1,L229/P229),"-")</f>
        <v>0.89488636363636365</v>
      </c>
      <c r="R229" s="71" t="s">
        <v>253</v>
      </c>
      <c r="BE229" s="33"/>
      <c r="XDT229" s="3"/>
      <c r="XDU229" s="3"/>
      <c r="XDV229" s="3"/>
      <c r="XDW229" s="3"/>
      <c r="XDX229" s="3"/>
      <c r="XDY229" s="3"/>
      <c r="XDZ229" s="3"/>
      <c r="XEA229" s="3"/>
      <c r="XEB229" s="8"/>
      <c r="XEC229" s="8"/>
      <c r="XED229" s="9"/>
      <c r="XEE229" s="90"/>
      <c r="XEF229" s="90"/>
      <c r="XEG229" s="90"/>
      <c r="XEH229" s="91"/>
      <c r="XEI229" s="90"/>
      <c r="XEJ229" s="32"/>
      <c r="XEK229" s="89"/>
      <c r="XEL229" s="15"/>
    </row>
    <row r="230" spans="1:57 16348:16366">
      <c r="A230"/>
      <c r="B230"/>
      <c r="C230"/>
      <c r="D230"/>
      <c r="E230"/>
      <c r="F230"/>
      <c r="G230"/>
      <c r="H230"/>
      <c r="I230"/>
      <c r="J230"/>
      <c r="K230"/>
      <c r="L230"/>
      <c r="M230"/>
      <c r="O230"/>
    </row>
    <row r="231" spans="1:57 16348:16366">
      <c r="A231"/>
      <c r="B231"/>
      <c r="C231"/>
      <c r="D231"/>
      <c r="E231"/>
      <c r="F231"/>
      <c r="G231"/>
      <c r="H231"/>
      <c r="I231"/>
      <c r="J231"/>
      <c r="K231"/>
      <c r="L231" s="202" t="s">
        <v>626</v>
      </c>
      <c r="M231" s="202" t="s">
        <v>627</v>
      </c>
      <c r="N231" s="202" t="s">
        <v>628</v>
      </c>
      <c r="O231" s="203" t="s">
        <v>629</v>
      </c>
      <c r="P231" s="203" t="s">
        <v>360</v>
      </c>
      <c r="Q231" s="204" t="s">
        <v>630</v>
      </c>
    </row>
    <row r="232" spans="1:57 16348:16366">
      <c r="A232"/>
      <c r="B232"/>
      <c r="C232"/>
      <c r="D232"/>
      <c r="E232"/>
      <c r="F232"/>
      <c r="G232" s="98" t="s">
        <v>85</v>
      </c>
      <c r="H232"/>
      <c r="I232"/>
      <c r="J232"/>
      <c r="K232"/>
      <c r="L232" s="90">
        <f>SUMIFS($L:$L,$F:$F,$G232)</f>
        <v>5342.6800000000012</v>
      </c>
      <c r="M232" s="197"/>
      <c r="N232" s="197"/>
      <c r="O232" s="196"/>
      <c r="P232" s="91">
        <f>SUMIFS($R:$R,$F:$F,$G232)</f>
        <v>5068.7599999999993</v>
      </c>
      <c r="Q232" s="32">
        <f>IF((L232/P232)&gt;1,1,L232/P232)</f>
        <v>1</v>
      </c>
    </row>
    <row r="233" spans="1:57 16348:16366">
      <c r="G233" s="98" t="s">
        <v>106</v>
      </c>
      <c r="L233" s="90">
        <f>SUMIFS($L:$L,$F:$F,$G233)</f>
        <v>6098.7200000000021</v>
      </c>
      <c r="M233" s="197"/>
      <c r="N233" s="197"/>
      <c r="O233" s="196"/>
      <c r="P233" s="91">
        <f>SUMIFS($R:$R,$F:$F,$G233)</f>
        <v>5824.5000000000009</v>
      </c>
      <c r="Q233" s="32">
        <f>IF((L233/P233)&gt;1,1,L233/P233)</f>
        <v>1</v>
      </c>
    </row>
    <row r="234" spans="1:57 16348:16366">
      <c r="G234" s="98" t="s">
        <v>170</v>
      </c>
      <c r="L234" s="90">
        <f>SUMIFS($L:$L,$F:$F,$G234)</f>
        <v>6688.2800000000016</v>
      </c>
      <c r="M234" s="197"/>
      <c r="N234" s="197"/>
      <c r="O234" s="196"/>
      <c r="P234" s="91">
        <f>SUMIFS($R:$R,$F:$F,$G234)</f>
        <v>6667.0800000000017</v>
      </c>
      <c r="Q234" s="32">
        <f>IF((L234/P234)&gt;1,1,L234/P234)</f>
        <v>1</v>
      </c>
    </row>
    <row r="236" spans="1:57 16348:16366">
      <c r="L236" s="202" t="s">
        <v>626</v>
      </c>
      <c r="M236" s="202" t="s">
        <v>627</v>
      </c>
      <c r="N236" s="202" t="s">
        <v>628</v>
      </c>
      <c r="O236" s="203" t="s">
        <v>629</v>
      </c>
      <c r="P236" s="203" t="s">
        <v>360</v>
      </c>
      <c r="Q236" s="204" t="s">
        <v>630</v>
      </c>
    </row>
    <row r="237" spans="1:57 16348:16366">
      <c r="G237" s="99" t="s">
        <v>274</v>
      </c>
      <c r="H237" s="94"/>
      <c r="I237" s="95"/>
      <c r="J237" s="94"/>
      <c r="K237" s="96"/>
      <c r="L237" s="94">
        <f>SUM(L232:L234)</f>
        <v>18129.680000000004</v>
      </c>
      <c r="M237" s="198"/>
      <c r="N237" s="198"/>
      <c r="O237" s="199"/>
      <c r="P237" s="96">
        <f>SUM(P232:P234)</f>
        <v>17560.340000000004</v>
      </c>
      <c r="Q237" s="97">
        <f>IF((L237/P237)&gt;1,1,L237/P237)</f>
        <v>1</v>
      </c>
    </row>
    <row r="241" spans="6:15">
      <c r="G241"/>
      <c r="H241"/>
      <c r="I241"/>
      <c r="J241"/>
      <c r="K241"/>
      <c r="L241"/>
      <c r="M241"/>
      <c r="O241"/>
    </row>
    <row r="242" spans="6:15">
      <c r="G242"/>
      <c r="H242"/>
      <c r="I242"/>
      <c r="J242"/>
      <c r="K242"/>
      <c r="L242"/>
      <c r="M242"/>
      <c r="O242"/>
    </row>
    <row r="243" spans="6:15">
      <c r="G243"/>
      <c r="H243"/>
      <c r="I243"/>
      <c r="J243"/>
      <c r="K243"/>
      <c r="L243"/>
      <c r="M243"/>
      <c r="O243"/>
    </row>
    <row r="244" spans="6:15">
      <c r="G244"/>
      <c r="H244"/>
      <c r="I244"/>
      <c r="J244"/>
      <c r="K244"/>
      <c r="L244"/>
      <c r="M244"/>
      <c r="O244"/>
    </row>
    <row r="245" spans="6:15">
      <c r="F245"/>
      <c r="G245"/>
      <c r="H245"/>
      <c r="I245"/>
      <c r="J245"/>
      <c r="K245"/>
      <c r="L245"/>
      <c r="M245"/>
      <c r="O245"/>
    </row>
    <row r="246" spans="6:15">
      <c r="F246"/>
      <c r="G246"/>
      <c r="H246"/>
      <c r="I246"/>
      <c r="J246"/>
      <c r="K246"/>
      <c r="L246"/>
      <c r="M246"/>
      <c r="O246"/>
    </row>
    <row r="247" spans="6:15">
      <c r="F247"/>
      <c r="G247"/>
      <c r="H247"/>
      <c r="I247"/>
      <c r="J247"/>
      <c r="K247"/>
      <c r="L247"/>
      <c r="M247"/>
      <c r="O247"/>
    </row>
    <row r="248" spans="6:15">
      <c r="F248"/>
      <c r="G248"/>
      <c r="H248"/>
      <c r="I248"/>
      <c r="J248"/>
      <c r="K248"/>
      <c r="L248"/>
      <c r="M248"/>
      <c r="O248"/>
    </row>
    <row r="249" spans="6:15">
      <c r="F249"/>
      <c r="G249"/>
      <c r="H249"/>
      <c r="I249"/>
      <c r="J249"/>
      <c r="K249"/>
      <c r="L249"/>
      <c r="M249"/>
      <c r="O249"/>
    </row>
    <row r="250" spans="6:15">
      <c r="F250"/>
      <c r="G250"/>
      <c r="H250"/>
      <c r="I250"/>
      <c r="J250"/>
      <c r="K250"/>
      <c r="L250"/>
      <c r="M250"/>
      <c r="O250"/>
    </row>
    <row r="251" spans="6:15">
      <c r="F251"/>
      <c r="G251"/>
      <c r="H251"/>
      <c r="I251"/>
      <c r="J251"/>
      <c r="K251"/>
      <c r="L251"/>
      <c r="M251"/>
      <c r="O251"/>
    </row>
    <row r="252" spans="6:15">
      <c r="F252"/>
      <c r="G252"/>
      <c r="H252"/>
      <c r="I252"/>
      <c r="J252"/>
      <c r="K252"/>
      <c r="L252"/>
      <c r="M252"/>
      <c r="O252"/>
    </row>
    <row r="253" spans="6:15">
      <c r="F253"/>
      <c r="G253"/>
      <c r="H253"/>
      <c r="I253"/>
      <c r="J253"/>
      <c r="K253"/>
      <c r="L253"/>
      <c r="M253"/>
      <c r="O253"/>
    </row>
    <row r="254" spans="6:15">
      <c r="F254"/>
      <c r="G254"/>
      <c r="H254"/>
      <c r="I254"/>
      <c r="J254"/>
      <c r="K254"/>
      <c r="L254"/>
      <c r="M254"/>
      <c r="O254"/>
    </row>
    <row r="255" spans="6:15">
      <c r="F255"/>
      <c r="G255"/>
      <c r="H255"/>
      <c r="I255"/>
      <c r="J255"/>
      <c r="K255"/>
      <c r="L255"/>
      <c r="M255"/>
      <c r="O255"/>
    </row>
    <row r="256" spans="6:15">
      <c r="F256"/>
      <c r="G256"/>
      <c r="H256"/>
      <c r="I256"/>
      <c r="J256"/>
      <c r="K256"/>
      <c r="L256"/>
      <c r="M256"/>
      <c r="O256"/>
    </row>
    <row r="257" spans="6:15">
      <c r="F257"/>
      <c r="G257"/>
      <c r="H257"/>
      <c r="I257"/>
      <c r="J257"/>
      <c r="K257"/>
      <c r="L257"/>
      <c r="M257"/>
      <c r="O257"/>
    </row>
    <row r="258" spans="6:15">
      <c r="F258"/>
      <c r="G258"/>
      <c r="H258"/>
      <c r="I258"/>
      <c r="J258"/>
      <c r="K258"/>
      <c r="L258"/>
      <c r="M258"/>
      <c r="O258"/>
    </row>
    <row r="259" spans="6:15">
      <c r="F259"/>
      <c r="G259"/>
      <c r="H259"/>
      <c r="I259"/>
      <c r="J259"/>
      <c r="K259"/>
      <c r="L259"/>
      <c r="M259"/>
      <c r="O259"/>
    </row>
    <row r="260" spans="6:15">
      <c r="F260"/>
      <c r="G260"/>
      <c r="H260"/>
      <c r="I260"/>
      <c r="J260"/>
      <c r="K260"/>
      <c r="L260"/>
      <c r="M260"/>
      <c r="O260"/>
    </row>
  </sheetData>
  <autoFilter ref="A2:S176"/>
  <mergeCells count="4">
    <mergeCell ref="AS1:BA1"/>
    <mergeCell ref="AG1:AP1"/>
    <mergeCell ref="CH14:CI14"/>
    <mergeCell ref="CH1:CI1"/>
  </mergeCells>
  <conditionalFormatting sqref="B1:B1048576">
    <cfRule type="duplicateValues" dxfId="28" priority="4"/>
  </conditionalFormatting>
  <conditionalFormatting sqref="B114">
    <cfRule type="duplicateValues" dxfId="27" priority="3"/>
  </conditionalFormatting>
  <conditionalFormatting sqref="B145:B146">
    <cfRule type="duplicateValues" dxfId="26" priority="2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BA764"/>
  <sheetViews>
    <sheetView zoomScale="85" zoomScaleNormal="85" workbookViewId="0">
      <pane ySplit="3" topLeftCell="A4" activePane="bottomLeft" state="frozen"/>
      <selection pane="bottomLeft" sqref="A1:D1"/>
    </sheetView>
  </sheetViews>
  <sheetFormatPr defaultRowHeight="15"/>
  <cols>
    <col min="1" max="1" width="11.7109375" style="460" customWidth="1"/>
    <col min="2" max="2" width="34.5703125" style="460" bestFit="1" customWidth="1"/>
    <col min="3" max="3" width="24" style="460" bestFit="1" customWidth="1"/>
    <col min="4" max="4" width="37.7109375" style="460" bestFit="1" customWidth="1"/>
    <col min="5" max="5" width="12.42578125" style="460" bestFit="1" customWidth="1"/>
    <col min="6" max="6" width="11.42578125" style="460" bestFit="1" customWidth="1"/>
    <col min="7" max="7" width="22.42578125" style="460" bestFit="1" customWidth="1"/>
    <col min="8" max="8" width="16" style="460" bestFit="1" customWidth="1"/>
    <col min="9" max="9" width="8.5703125" style="460" bestFit="1" customWidth="1"/>
    <col min="10" max="10" width="6.42578125" style="460" bestFit="1" customWidth="1"/>
    <col min="11" max="11" width="8.42578125" style="460" bestFit="1" customWidth="1"/>
    <col min="12" max="12" width="7.7109375" style="460" bestFit="1" customWidth="1"/>
    <col min="13" max="13" width="16.5703125" style="460" bestFit="1" customWidth="1"/>
    <col min="14" max="14" width="16.140625" style="460" bestFit="1" customWidth="1"/>
    <col min="15" max="15" width="15" style="460" bestFit="1" customWidth="1"/>
    <col min="16" max="16" width="18.5703125" style="460" bestFit="1" customWidth="1"/>
    <col min="17" max="17" width="16.42578125" style="460" bestFit="1" customWidth="1"/>
    <col min="18" max="18" width="19.5703125" style="460" bestFit="1" customWidth="1"/>
    <col min="19" max="19" width="9.140625" style="173"/>
    <col min="20" max="20" width="9.140625" style="40"/>
    <col min="22" max="22" width="32.85546875" bestFit="1" customWidth="1"/>
    <col min="23" max="23" width="9.28515625" bestFit="1" customWidth="1"/>
    <col min="24" max="24" width="11.140625" bestFit="1" customWidth="1"/>
    <col min="25" max="25" width="11.7109375" style="133" bestFit="1" customWidth="1"/>
    <col min="26" max="26" width="11.140625" bestFit="1" customWidth="1"/>
    <col min="27" max="27" width="9.140625" style="133"/>
    <col min="30" max="30" width="22" bestFit="1" customWidth="1"/>
    <col min="31" max="31" width="31.5703125" bestFit="1" customWidth="1"/>
    <col min="32" max="32" width="26.28515625" bestFit="1" customWidth="1"/>
    <col min="33" max="33" width="28.140625" bestFit="1" customWidth="1"/>
    <col min="34" max="34" width="23.140625" bestFit="1" customWidth="1"/>
    <col min="35" max="35" width="21.140625" style="133" bestFit="1" customWidth="1"/>
    <col min="36" max="36" width="9.140625" style="159"/>
    <col min="37" max="37" width="11.140625" style="42" bestFit="1" customWidth="1"/>
    <col min="38" max="38" width="19.140625" style="15" bestFit="1" customWidth="1"/>
    <col min="40" max="40" width="11.140625" style="2" customWidth="1"/>
    <col min="41" max="41" width="28.5703125" style="2" bestFit="1" customWidth="1"/>
    <col min="42" max="42" width="33.5703125" style="2" bestFit="1" customWidth="1"/>
    <col min="46" max="47" width="30" style="2" bestFit="1" customWidth="1"/>
  </cols>
  <sheetData>
    <row r="1" spans="1:47" ht="17.100000000000001" customHeight="1">
      <c r="A1" s="760" t="s">
        <v>636</v>
      </c>
      <c r="B1" s="760"/>
      <c r="C1" s="760"/>
      <c r="D1" s="760"/>
      <c r="E1"/>
      <c r="F1"/>
      <c r="G1"/>
      <c r="H1"/>
      <c r="I1"/>
      <c r="J1"/>
      <c r="K1"/>
      <c r="L1"/>
      <c r="M1"/>
      <c r="N1"/>
      <c r="O1"/>
      <c r="P1"/>
      <c r="Q1"/>
      <c r="R1"/>
      <c r="S1" s="172"/>
      <c r="T1" s="761" t="s">
        <v>637</v>
      </c>
      <c r="U1" s="762"/>
      <c r="V1" s="762"/>
      <c r="W1" s="162"/>
      <c r="X1" s="162"/>
      <c r="Y1" s="161"/>
      <c r="Z1" s="162"/>
      <c r="AA1" s="161"/>
      <c r="AB1" s="162"/>
      <c r="AC1" s="162"/>
      <c r="AD1" s="162"/>
      <c r="AE1" s="162"/>
      <c r="AF1" s="162"/>
      <c r="AG1" s="162"/>
      <c r="AH1" s="162"/>
      <c r="AI1" s="161"/>
      <c r="AJ1" s="160"/>
    </row>
    <row r="2" spans="1:47">
      <c r="A2" s="759" t="s">
        <v>638</v>
      </c>
      <c r="B2" s="759" t="s">
        <v>639</v>
      </c>
      <c r="C2" s="759" t="s">
        <v>640</v>
      </c>
      <c r="D2" s="759" t="s">
        <v>641</v>
      </c>
      <c r="E2" s="759" t="s">
        <v>642</v>
      </c>
      <c r="F2" s="759" t="s">
        <v>643</v>
      </c>
      <c r="G2" s="759" t="s">
        <v>644</v>
      </c>
      <c r="H2" s="763" t="s">
        <v>645</v>
      </c>
      <c r="I2" s="34" t="s">
        <v>646</v>
      </c>
      <c r="J2" s="34"/>
      <c r="K2" s="34"/>
      <c r="L2" s="34"/>
      <c r="M2" s="759" t="s">
        <v>647</v>
      </c>
      <c r="N2" s="764" t="s">
        <v>648</v>
      </c>
      <c r="O2" s="764" t="s">
        <v>649</v>
      </c>
      <c r="P2" s="758" t="s">
        <v>650</v>
      </c>
      <c r="Q2" s="758" t="s">
        <v>651</v>
      </c>
      <c r="R2" s="759" t="s">
        <v>652</v>
      </c>
    </row>
    <row r="3" spans="1:47" ht="51">
      <c r="A3" s="759"/>
      <c r="B3" s="759"/>
      <c r="C3" s="759"/>
      <c r="D3" s="759"/>
      <c r="E3" s="759"/>
      <c r="F3" s="759"/>
      <c r="G3" s="759"/>
      <c r="H3" s="763"/>
      <c r="I3" s="667" t="s">
        <v>653</v>
      </c>
      <c r="J3" s="667" t="s">
        <v>654</v>
      </c>
      <c r="K3" s="667" t="s">
        <v>655</v>
      </c>
      <c r="L3" s="667" t="s">
        <v>656</v>
      </c>
      <c r="M3" s="759"/>
      <c r="N3" s="764"/>
      <c r="O3" s="764"/>
      <c r="P3" s="758"/>
      <c r="Q3" s="758"/>
      <c r="R3" s="759"/>
      <c r="S3" s="174"/>
      <c r="T3" s="35" t="s">
        <v>638</v>
      </c>
      <c r="U3" s="36" t="s">
        <v>657</v>
      </c>
      <c r="V3" s="36" t="s">
        <v>639</v>
      </c>
      <c r="W3" s="36" t="s">
        <v>658</v>
      </c>
      <c r="X3" s="36" t="s">
        <v>659</v>
      </c>
      <c r="Y3" s="411" t="s">
        <v>644</v>
      </c>
      <c r="Z3" s="412" t="s">
        <v>645</v>
      </c>
      <c r="AA3" s="413" t="s">
        <v>653</v>
      </c>
      <c r="AB3" s="414" t="s">
        <v>654</v>
      </c>
      <c r="AC3" s="414" t="s">
        <v>655</v>
      </c>
      <c r="AD3" s="414" t="s">
        <v>656</v>
      </c>
      <c r="AE3" s="412" t="s">
        <v>647</v>
      </c>
      <c r="AF3" s="37" t="s">
        <v>660</v>
      </c>
      <c r="AG3" s="37" t="s">
        <v>649</v>
      </c>
      <c r="AH3" s="38" t="s">
        <v>650</v>
      </c>
      <c r="AI3" s="136" t="s">
        <v>651</v>
      </c>
      <c r="AJ3" s="39" t="s">
        <v>661</v>
      </c>
      <c r="AT3" s="176" t="s">
        <v>662</v>
      </c>
      <c r="AU3" s="176" t="s">
        <v>640</v>
      </c>
    </row>
    <row r="4" spans="1:47">
      <c r="A4" s="624" t="s">
        <v>663</v>
      </c>
      <c r="B4" s="624" t="s">
        <v>664</v>
      </c>
      <c r="C4" s="2" t="s">
        <v>665</v>
      </c>
      <c r="D4" s="460" t="s">
        <v>666</v>
      </c>
      <c r="E4" s="461">
        <v>7010056</v>
      </c>
      <c r="F4" s="461">
        <v>22</v>
      </c>
      <c r="G4" s="461">
        <v>165</v>
      </c>
      <c r="H4" s="461">
        <v>41.25</v>
      </c>
      <c r="I4" s="462">
        <v>0</v>
      </c>
      <c r="J4" s="462">
        <v>0</v>
      </c>
      <c r="K4" s="462">
        <v>4</v>
      </c>
      <c r="L4" s="462">
        <v>0.3</v>
      </c>
      <c r="M4" s="462">
        <v>4.3</v>
      </c>
      <c r="N4" s="463">
        <v>2.6060606060606058E-2</v>
      </c>
      <c r="O4" s="464">
        <v>0.97393939393939388</v>
      </c>
      <c r="P4" s="463">
        <v>0</v>
      </c>
      <c r="Q4" s="464">
        <v>1</v>
      </c>
      <c r="R4" s="465">
        <v>0</v>
      </c>
      <c r="S4" s="173">
        <f t="shared" ref="S4:S11" si="0">F4-(H4/7.5)</f>
        <v>16.5</v>
      </c>
      <c r="T4" s="40" t="s">
        <v>663</v>
      </c>
      <c r="U4" t="s">
        <v>667</v>
      </c>
      <c r="V4" t="s">
        <v>668</v>
      </c>
      <c r="W4" s="184">
        <v>14</v>
      </c>
      <c r="X4" s="184">
        <v>308</v>
      </c>
      <c r="Y4" s="86">
        <v>2310</v>
      </c>
      <c r="Z4" s="415">
        <v>547.5</v>
      </c>
      <c r="AA4" s="86">
        <v>75</v>
      </c>
      <c r="AB4" s="415">
        <v>5.2833333333333332</v>
      </c>
      <c r="AC4" s="415">
        <v>0</v>
      </c>
      <c r="AD4" s="415">
        <v>6.6666666666666666E-2</v>
      </c>
      <c r="AE4" s="415">
        <v>80.349999999999994</v>
      </c>
      <c r="AF4" s="188">
        <v>3.4783549783549784E-2</v>
      </c>
      <c r="AG4" s="189">
        <v>0.96521645021645031</v>
      </c>
      <c r="AH4" s="190">
        <v>3.2467532467532464E-2</v>
      </c>
      <c r="AI4" s="135">
        <v>0.96753246753246758</v>
      </c>
      <c r="AJ4" s="184">
        <v>0</v>
      </c>
      <c r="AK4" s="42">
        <f>IFERROR(INDEX($AN:$AN,MATCH($V4,$AP:$AP,0)),"-")</f>
        <v>10070715</v>
      </c>
      <c r="AL4" s="15" t="str">
        <f>VLOOKUP($AK4,SUPERVISORS!$C:$F,4,FALSE)</f>
        <v>MENDOZA, Carlo</v>
      </c>
      <c r="AN4" s="2">
        <v>10071256</v>
      </c>
      <c r="AO4" s="2" t="s">
        <v>227</v>
      </c>
      <c r="AP4" s="2" t="s">
        <v>669</v>
      </c>
      <c r="AT4" s="176" t="e">
        <f>VLOOKUP($E4,RESOURCES!$C:$E,3,FALSE)</f>
        <v>#N/A</v>
      </c>
      <c r="AU4" s="176" t="str">
        <f>C4</f>
        <v>TAGUILASO, DARYL B.</v>
      </c>
    </row>
    <row r="5" spans="1:47">
      <c r="A5" s="624" t="s">
        <v>663</v>
      </c>
      <c r="B5" s="624" t="s">
        <v>670</v>
      </c>
      <c r="C5" s="2" t="s">
        <v>665</v>
      </c>
      <c r="D5" s="460" t="s">
        <v>204</v>
      </c>
      <c r="E5" s="461">
        <v>10072198</v>
      </c>
      <c r="F5" s="461">
        <v>22</v>
      </c>
      <c r="G5" s="461">
        <v>165</v>
      </c>
      <c r="H5" s="461">
        <v>37.5</v>
      </c>
      <c r="I5" s="462">
        <v>7.5</v>
      </c>
      <c r="J5" s="462">
        <v>0</v>
      </c>
      <c r="K5" s="462">
        <v>0</v>
      </c>
      <c r="L5" s="462">
        <v>0</v>
      </c>
      <c r="M5" s="462">
        <v>7.5</v>
      </c>
      <c r="N5" s="463">
        <v>4.5454545454545456E-2</v>
      </c>
      <c r="O5" s="464">
        <v>0.95454545454545459</v>
      </c>
      <c r="P5" s="463">
        <v>4.5454545454545456E-2</v>
      </c>
      <c r="Q5" s="464">
        <v>0.95454545454545459</v>
      </c>
      <c r="R5" s="465">
        <v>0</v>
      </c>
      <c r="S5" s="173">
        <f t="shared" si="0"/>
        <v>17</v>
      </c>
      <c r="T5" s="40" t="s">
        <v>663</v>
      </c>
      <c r="U5" t="s">
        <v>667</v>
      </c>
      <c r="V5" t="s">
        <v>671</v>
      </c>
      <c r="W5" s="184">
        <v>14</v>
      </c>
      <c r="X5" s="184">
        <v>308</v>
      </c>
      <c r="Y5" s="86">
        <v>2310</v>
      </c>
      <c r="Z5" s="415">
        <v>592.5</v>
      </c>
      <c r="AA5" s="86">
        <v>22.5</v>
      </c>
      <c r="AB5" s="415">
        <v>2.5999999999999996</v>
      </c>
      <c r="AC5" s="415">
        <v>0</v>
      </c>
      <c r="AD5" s="415">
        <v>0</v>
      </c>
      <c r="AE5" s="415">
        <v>25.1</v>
      </c>
      <c r="AF5" s="188">
        <v>1.0865800865800867E-2</v>
      </c>
      <c r="AG5" s="189">
        <v>0.9891341991341992</v>
      </c>
      <c r="AH5" s="190">
        <v>9.74025974025974E-3</v>
      </c>
      <c r="AI5" s="135">
        <v>0.99025974025974028</v>
      </c>
      <c r="AJ5" s="184">
        <v>0</v>
      </c>
      <c r="AK5" s="42">
        <f t="shared" ref="AK5:AK14" si="1">IFERROR(INDEX($AN:$AN,MATCH($V5,$AP:$AP,0)),"-")</f>
        <v>10072502</v>
      </c>
      <c r="AL5" s="15" t="str">
        <f>VLOOKUP($AK5,SUPERVISORS!$C:$F,4,FALSE)</f>
        <v>MENDOZA, Carlo</v>
      </c>
      <c r="AN5" s="2">
        <v>10070715</v>
      </c>
      <c r="AO5" s="2" t="s">
        <v>152</v>
      </c>
      <c r="AP5" s="2" t="s">
        <v>668</v>
      </c>
      <c r="AT5" s="176" t="str">
        <f>VLOOKUP($E5,RESOURCES!$C:$E,3,FALSE)</f>
        <v>Web Designer</v>
      </c>
      <c r="AU5" s="176" t="str">
        <f t="shared" ref="AU5:AU68" si="2">C5</f>
        <v>TAGUILASO, DARYL B.</v>
      </c>
    </row>
    <row r="6" spans="1:47">
      <c r="A6" s="624" t="s">
        <v>663</v>
      </c>
      <c r="B6" s="624" t="s">
        <v>672</v>
      </c>
      <c r="C6" s="2" t="s">
        <v>673</v>
      </c>
      <c r="D6" s="460" t="s">
        <v>104</v>
      </c>
      <c r="E6" s="461">
        <v>10071071</v>
      </c>
      <c r="F6" s="461">
        <v>22</v>
      </c>
      <c r="G6" s="461">
        <v>165</v>
      </c>
      <c r="H6" s="461">
        <v>45</v>
      </c>
      <c r="I6" s="462">
        <v>7.5</v>
      </c>
      <c r="J6" s="462">
        <v>0</v>
      </c>
      <c r="K6" s="462">
        <v>0</v>
      </c>
      <c r="L6" s="462">
        <v>0</v>
      </c>
      <c r="M6" s="462">
        <v>7.5</v>
      </c>
      <c r="N6" s="463">
        <v>4.5454545454545456E-2</v>
      </c>
      <c r="O6" s="464">
        <v>0.95454545454545459</v>
      </c>
      <c r="P6" s="463">
        <v>4.5454545454545456E-2</v>
      </c>
      <c r="Q6" s="464">
        <v>0.95454545454545459</v>
      </c>
      <c r="R6" s="465">
        <v>0</v>
      </c>
      <c r="S6" s="173">
        <f t="shared" si="0"/>
        <v>16</v>
      </c>
      <c r="T6" s="40" t="s">
        <v>663</v>
      </c>
      <c r="U6" t="s">
        <v>667</v>
      </c>
      <c r="V6" t="s">
        <v>674</v>
      </c>
      <c r="W6" s="184">
        <v>14</v>
      </c>
      <c r="X6" s="184">
        <v>308</v>
      </c>
      <c r="Y6" s="86">
        <v>2310</v>
      </c>
      <c r="Z6" s="415">
        <v>690</v>
      </c>
      <c r="AA6" s="86">
        <v>60</v>
      </c>
      <c r="AB6" s="415">
        <v>1.9666666666666666</v>
      </c>
      <c r="AC6" s="415">
        <v>0</v>
      </c>
      <c r="AD6" s="415">
        <v>6.6666666666666666E-2</v>
      </c>
      <c r="AE6" s="415">
        <v>62.033333333333339</v>
      </c>
      <c r="AF6" s="188">
        <v>2.6854256854256856E-2</v>
      </c>
      <c r="AG6" s="189">
        <v>0.9731457431457432</v>
      </c>
      <c r="AH6" s="190">
        <v>2.5974025974025976E-2</v>
      </c>
      <c r="AI6" s="135">
        <v>0.97402597402597402</v>
      </c>
      <c r="AJ6" s="184">
        <v>0</v>
      </c>
      <c r="AK6" s="42">
        <f t="shared" si="1"/>
        <v>10070655</v>
      </c>
      <c r="AL6" s="15" t="str">
        <f>VLOOKUP($AK6,SUPERVISORS!$C:$F,4,FALSE)</f>
        <v>MENDOZA, Carlo</v>
      </c>
      <c r="AN6" s="2">
        <v>10072502</v>
      </c>
      <c r="AO6" s="2" t="s">
        <v>137</v>
      </c>
      <c r="AP6" s="2" t="s">
        <v>671</v>
      </c>
      <c r="AT6" s="176" t="str">
        <f>VLOOKUP($E6,RESOURCES!$C:$E,3,FALSE)</f>
        <v>Proofreader</v>
      </c>
      <c r="AU6" s="176" t="str">
        <f t="shared" si="2"/>
        <v>PASQUIN, RYAN E.</v>
      </c>
    </row>
    <row r="7" spans="1:47">
      <c r="A7" s="624" t="s">
        <v>663</v>
      </c>
      <c r="B7" s="624" t="s">
        <v>675</v>
      </c>
      <c r="C7" s="2" t="s">
        <v>673</v>
      </c>
      <c r="D7" s="460" t="s">
        <v>122</v>
      </c>
      <c r="E7" s="461">
        <v>10072156</v>
      </c>
      <c r="F7" s="461">
        <v>22</v>
      </c>
      <c r="G7" s="461">
        <v>165</v>
      </c>
      <c r="H7" s="461">
        <v>52.5</v>
      </c>
      <c r="I7" s="462">
        <v>15</v>
      </c>
      <c r="J7" s="462">
        <v>0</v>
      </c>
      <c r="K7" s="462">
        <v>0</v>
      </c>
      <c r="L7" s="462">
        <v>0</v>
      </c>
      <c r="M7" s="462">
        <v>15</v>
      </c>
      <c r="N7" s="463">
        <v>9.0909090909090912E-2</v>
      </c>
      <c r="O7" s="464">
        <v>0.90909090909090906</v>
      </c>
      <c r="P7" s="463">
        <v>9.0909090909090912E-2</v>
      </c>
      <c r="Q7" s="464">
        <v>0.90909090909090906</v>
      </c>
      <c r="R7" s="465">
        <v>0</v>
      </c>
      <c r="S7" s="173">
        <f t="shared" si="0"/>
        <v>15</v>
      </c>
      <c r="T7" s="40" t="s">
        <v>663</v>
      </c>
      <c r="U7" t="s">
        <v>667</v>
      </c>
      <c r="V7" t="s">
        <v>676</v>
      </c>
      <c r="W7" s="184">
        <v>13</v>
      </c>
      <c r="X7" s="184">
        <v>286</v>
      </c>
      <c r="Y7" s="86">
        <v>2145</v>
      </c>
      <c r="Z7" s="415">
        <v>547.5</v>
      </c>
      <c r="AA7" s="86">
        <v>127.5</v>
      </c>
      <c r="AB7" s="415">
        <v>3.8499999999999996</v>
      </c>
      <c r="AC7" s="415">
        <v>0</v>
      </c>
      <c r="AD7" s="415">
        <v>0.5</v>
      </c>
      <c r="AE7" s="415">
        <v>131.85</v>
      </c>
      <c r="AF7" s="188">
        <v>6.1468531468531463E-2</v>
      </c>
      <c r="AG7" s="189">
        <v>0.93853146853146863</v>
      </c>
      <c r="AH7" s="190">
        <v>5.944055944055944E-2</v>
      </c>
      <c r="AI7" s="135">
        <v>0.94055944055944052</v>
      </c>
      <c r="AJ7" s="184">
        <v>0</v>
      </c>
      <c r="AK7" s="42">
        <f t="shared" si="1"/>
        <v>10071492</v>
      </c>
      <c r="AL7" s="15" t="str">
        <f>VLOOKUP($AK7,SUPERVISORS!$C:$F,4,FALSE)</f>
        <v>PASQUIN, Ryan</v>
      </c>
      <c r="AN7" s="2">
        <v>10070655</v>
      </c>
      <c r="AO7" s="2" t="s">
        <v>84</v>
      </c>
      <c r="AP7" s="2" t="s">
        <v>674</v>
      </c>
      <c r="AT7" s="176" t="str">
        <f>VLOOKUP($E7,RESOURCES!$C:$E,3,FALSE)</f>
        <v>Internal Mods (PSI)</v>
      </c>
      <c r="AU7" s="176" t="str">
        <f t="shared" si="2"/>
        <v>PASQUIN, RYAN E.</v>
      </c>
    </row>
    <row r="8" spans="1:47">
      <c r="A8" s="624" t="s">
        <v>663</v>
      </c>
      <c r="B8" s="624" t="s">
        <v>676</v>
      </c>
      <c r="C8" s="2" t="s">
        <v>673</v>
      </c>
      <c r="D8" s="460" t="s">
        <v>677</v>
      </c>
      <c r="E8" s="461">
        <v>10071047</v>
      </c>
      <c r="F8" s="461">
        <v>22</v>
      </c>
      <c r="G8" s="461">
        <v>165</v>
      </c>
      <c r="H8" s="461">
        <v>37.5</v>
      </c>
      <c r="I8" s="462">
        <v>0</v>
      </c>
      <c r="J8" s="462">
        <v>0.35</v>
      </c>
      <c r="K8" s="462">
        <v>0</v>
      </c>
      <c r="L8" s="462">
        <v>0.48333333333333334</v>
      </c>
      <c r="M8" s="462">
        <v>0.83333333333333326</v>
      </c>
      <c r="N8" s="463">
        <v>5.0505050505050501E-3</v>
      </c>
      <c r="O8" s="464">
        <v>0.99494949494949492</v>
      </c>
      <c r="P8" s="463">
        <v>0</v>
      </c>
      <c r="Q8" s="464">
        <v>1</v>
      </c>
      <c r="R8" s="465">
        <v>0</v>
      </c>
      <c r="S8" s="173">
        <f t="shared" si="0"/>
        <v>17</v>
      </c>
      <c r="T8" s="40" t="s">
        <v>663</v>
      </c>
      <c r="U8" t="s">
        <v>667</v>
      </c>
      <c r="V8" t="s">
        <v>669</v>
      </c>
      <c r="W8" s="184">
        <v>13</v>
      </c>
      <c r="X8" s="184">
        <v>275</v>
      </c>
      <c r="Y8" s="86">
        <v>2062.5</v>
      </c>
      <c r="Z8" s="415">
        <v>352.5</v>
      </c>
      <c r="AA8" s="86">
        <v>187.5</v>
      </c>
      <c r="AB8" s="415">
        <v>7.2666666666666666</v>
      </c>
      <c r="AC8" s="415">
        <v>6.05</v>
      </c>
      <c r="AD8" s="415">
        <v>0</v>
      </c>
      <c r="AE8" s="415">
        <v>200.81666666666669</v>
      </c>
      <c r="AF8" s="188">
        <v>9.7365656565656572E-2</v>
      </c>
      <c r="AG8" s="189">
        <v>0.90263434343434346</v>
      </c>
      <c r="AH8" s="190">
        <v>9.0909090909090912E-2</v>
      </c>
      <c r="AI8" s="135">
        <v>0.90909090909090906</v>
      </c>
      <c r="AJ8" s="184">
        <v>15.5</v>
      </c>
      <c r="AK8" s="42">
        <f t="shared" si="1"/>
        <v>10071256</v>
      </c>
      <c r="AL8" s="15" t="str">
        <f>VLOOKUP($AK8,SUPERVISORS!$C:$F,4,FALSE)</f>
        <v>PASQUIN, Ryan</v>
      </c>
      <c r="AN8" s="2">
        <v>10071492</v>
      </c>
      <c r="AO8" s="2" t="s">
        <v>241</v>
      </c>
      <c r="AP8" s="2" t="s">
        <v>676</v>
      </c>
      <c r="AT8" s="176" t="str">
        <f>VLOOKUP($E8,RESOURCES!$C:$E,3,FALSE)</f>
        <v>Voice QA</v>
      </c>
      <c r="AU8" s="176" t="str">
        <f t="shared" si="2"/>
        <v>PASQUIN, RYAN E.</v>
      </c>
    </row>
    <row r="9" spans="1:47">
      <c r="A9" s="624" t="s">
        <v>663</v>
      </c>
      <c r="B9" s="624" t="s">
        <v>669</v>
      </c>
      <c r="C9" s="2" t="s">
        <v>673</v>
      </c>
      <c r="D9" s="460" t="s">
        <v>232</v>
      </c>
      <c r="E9" s="461">
        <v>10071356</v>
      </c>
      <c r="F9" s="461">
        <v>21</v>
      </c>
      <c r="G9" s="461">
        <v>157.5</v>
      </c>
      <c r="H9" s="461">
        <v>22.5</v>
      </c>
      <c r="I9" s="462">
        <v>0</v>
      </c>
      <c r="J9" s="462">
        <v>0</v>
      </c>
      <c r="K9" s="462">
        <v>0</v>
      </c>
      <c r="L9" s="462">
        <v>0</v>
      </c>
      <c r="M9" s="462">
        <v>0</v>
      </c>
      <c r="N9" s="463">
        <v>0</v>
      </c>
      <c r="O9" s="464">
        <v>1</v>
      </c>
      <c r="P9" s="463">
        <v>0</v>
      </c>
      <c r="Q9" s="464">
        <v>1</v>
      </c>
      <c r="R9" s="465">
        <v>0.5</v>
      </c>
      <c r="S9" s="173">
        <f t="shared" si="0"/>
        <v>18</v>
      </c>
      <c r="T9" s="40" t="s">
        <v>663</v>
      </c>
      <c r="U9" t="s">
        <v>667</v>
      </c>
      <c r="V9" t="s">
        <v>675</v>
      </c>
      <c r="W9" s="184">
        <v>12</v>
      </c>
      <c r="X9" s="184">
        <v>263</v>
      </c>
      <c r="Y9" s="86">
        <v>1972.5</v>
      </c>
      <c r="Z9" s="415">
        <v>405</v>
      </c>
      <c r="AA9" s="86">
        <v>90</v>
      </c>
      <c r="AB9" s="415">
        <v>6.3500000000000005</v>
      </c>
      <c r="AC9" s="415">
        <v>0</v>
      </c>
      <c r="AD9" s="415">
        <v>0</v>
      </c>
      <c r="AE9" s="415">
        <v>96.35</v>
      </c>
      <c r="AF9" s="188">
        <v>4.8846641318124204E-2</v>
      </c>
      <c r="AG9" s="189">
        <v>0.95115335868187589</v>
      </c>
      <c r="AH9" s="190">
        <v>4.5627376425855515E-2</v>
      </c>
      <c r="AI9" s="135">
        <v>0.95437262357414454</v>
      </c>
      <c r="AJ9" s="184">
        <v>10.25</v>
      </c>
      <c r="AK9" s="42">
        <f t="shared" si="1"/>
        <v>10071245</v>
      </c>
      <c r="AL9" s="15" t="str">
        <f>VLOOKUP($AK9,SUPERVISORS!$C:$F,4,FALSE)</f>
        <v>PASQUIN, Ryan</v>
      </c>
      <c r="AN9" s="2">
        <v>10070702</v>
      </c>
      <c r="AO9" s="2" t="s">
        <v>264</v>
      </c>
      <c r="AP9" s="2" t="s">
        <v>678</v>
      </c>
      <c r="AT9" s="176" t="str">
        <f>VLOOKUP($E9,RESOURCES!$C:$E,3,FALSE)</f>
        <v>Internal Mods (PSI)</v>
      </c>
      <c r="AU9" s="176" t="str">
        <f t="shared" si="2"/>
        <v>PASQUIN, RYAN E.</v>
      </c>
    </row>
    <row r="10" spans="1:47">
      <c r="A10" s="624" t="s">
        <v>663</v>
      </c>
      <c r="B10" s="624" t="s">
        <v>670</v>
      </c>
      <c r="C10" s="2" t="s">
        <v>665</v>
      </c>
      <c r="D10" s="460" t="s">
        <v>211</v>
      </c>
      <c r="E10" s="461">
        <v>10072438</v>
      </c>
      <c r="F10" s="461">
        <v>22</v>
      </c>
      <c r="G10" s="461">
        <v>165</v>
      </c>
      <c r="H10" s="461">
        <v>45</v>
      </c>
      <c r="I10" s="462">
        <v>0</v>
      </c>
      <c r="J10" s="462">
        <v>0</v>
      </c>
      <c r="K10" s="462">
        <v>0</v>
      </c>
      <c r="L10" s="462">
        <v>0</v>
      </c>
      <c r="M10" s="462">
        <v>0</v>
      </c>
      <c r="N10" s="463">
        <v>0</v>
      </c>
      <c r="O10" s="464">
        <v>1</v>
      </c>
      <c r="P10" s="463">
        <v>0</v>
      </c>
      <c r="Q10" s="464">
        <v>1</v>
      </c>
      <c r="R10" s="465">
        <v>0</v>
      </c>
      <c r="S10" s="173">
        <f t="shared" si="0"/>
        <v>16</v>
      </c>
      <c r="T10" s="40" t="s">
        <v>663</v>
      </c>
      <c r="U10" t="s">
        <v>667</v>
      </c>
      <c r="V10" t="s">
        <v>672</v>
      </c>
      <c r="W10" s="184">
        <v>16</v>
      </c>
      <c r="X10" s="184">
        <v>352</v>
      </c>
      <c r="Y10" s="86">
        <v>2640</v>
      </c>
      <c r="Z10" s="415">
        <v>611.25</v>
      </c>
      <c r="AA10" s="86">
        <v>142.5</v>
      </c>
      <c r="AB10" s="415">
        <v>3.5000000000000004</v>
      </c>
      <c r="AC10" s="415">
        <v>0</v>
      </c>
      <c r="AD10" s="415">
        <v>0.18333333333333332</v>
      </c>
      <c r="AE10" s="415">
        <v>146.18333333333334</v>
      </c>
      <c r="AF10" s="188">
        <v>5.5372474747474747E-2</v>
      </c>
      <c r="AG10" s="189">
        <v>0.94462752525252525</v>
      </c>
      <c r="AH10" s="190">
        <v>5.3977272727272728E-2</v>
      </c>
      <c r="AI10" s="135">
        <v>0.94602272727272729</v>
      </c>
      <c r="AJ10" s="184">
        <v>0</v>
      </c>
      <c r="AK10" s="42">
        <f t="shared" si="1"/>
        <v>10070828</v>
      </c>
      <c r="AL10" s="15" t="str">
        <f>VLOOKUP($AK10,SUPERVISORS!$C:$F,4,FALSE)</f>
        <v>PASQUIN, Ryan</v>
      </c>
      <c r="AN10" s="2">
        <v>10070828</v>
      </c>
      <c r="AO10" s="2" t="s">
        <v>105</v>
      </c>
      <c r="AP10" s="2" t="s">
        <v>672</v>
      </c>
      <c r="AT10" s="176" t="str">
        <f>VLOOKUP($E10,RESOURCES!$C:$E,3,FALSE)</f>
        <v>Web Designer</v>
      </c>
      <c r="AU10" s="176" t="str">
        <f t="shared" si="2"/>
        <v>TAGUILASO, DARYL B.</v>
      </c>
    </row>
    <row r="11" spans="1:47">
      <c r="A11" s="624" t="s">
        <v>663</v>
      </c>
      <c r="B11" s="624" t="s">
        <v>675</v>
      </c>
      <c r="C11" s="2" t="s">
        <v>673</v>
      </c>
      <c r="D11" s="460" t="s">
        <v>125</v>
      </c>
      <c r="E11" s="461">
        <v>10072301</v>
      </c>
      <c r="F11" s="461">
        <v>22</v>
      </c>
      <c r="G11" s="461">
        <v>165</v>
      </c>
      <c r="H11" s="461">
        <v>37.5</v>
      </c>
      <c r="I11" s="462">
        <v>37.5</v>
      </c>
      <c r="J11" s="462">
        <v>0.1</v>
      </c>
      <c r="K11" s="462">
        <v>0</v>
      </c>
      <c r="L11" s="462">
        <v>0</v>
      </c>
      <c r="M11" s="462">
        <v>37.6</v>
      </c>
      <c r="N11" s="463">
        <v>0.22787878787878788</v>
      </c>
      <c r="O11" s="464">
        <v>0.77212121212121221</v>
      </c>
      <c r="P11" s="463">
        <v>0.22727272727272727</v>
      </c>
      <c r="Q11" s="464">
        <v>0.77272727272727271</v>
      </c>
      <c r="R11" s="465">
        <v>1</v>
      </c>
      <c r="S11" s="173">
        <f t="shared" si="0"/>
        <v>17</v>
      </c>
      <c r="T11" s="40" t="s">
        <v>663</v>
      </c>
      <c r="U11" t="s">
        <v>667</v>
      </c>
      <c r="V11" t="s">
        <v>664</v>
      </c>
      <c r="W11" s="184">
        <v>13</v>
      </c>
      <c r="X11" s="184">
        <v>286</v>
      </c>
      <c r="Y11" s="86">
        <v>2145</v>
      </c>
      <c r="Z11" s="415">
        <v>543.75</v>
      </c>
      <c r="AA11" s="86">
        <v>37.5</v>
      </c>
      <c r="AB11" s="415">
        <v>1.0333333333333332</v>
      </c>
      <c r="AC11" s="415">
        <v>8</v>
      </c>
      <c r="AD11" s="415">
        <v>0.36666666666666664</v>
      </c>
      <c r="AE11" s="415">
        <v>46.9</v>
      </c>
      <c r="AF11" s="188">
        <v>2.1864801864801865E-2</v>
      </c>
      <c r="AG11" s="189">
        <v>0.97813519813519811</v>
      </c>
      <c r="AH11" s="190">
        <v>1.7482517482517484E-2</v>
      </c>
      <c r="AI11" s="135">
        <v>0.9825174825174825</v>
      </c>
      <c r="AJ11" s="184">
        <v>0</v>
      </c>
      <c r="AK11" s="42">
        <f t="shared" si="1"/>
        <v>10071099</v>
      </c>
      <c r="AL11" s="15" t="str">
        <f>VLOOKUP($AK11,SUPERVISORS!$C:$F,4,FALSE)</f>
        <v>TAGUILASO, Daryl</v>
      </c>
      <c r="AN11" s="2">
        <v>10072072</v>
      </c>
      <c r="AO11" s="2" t="s">
        <v>169</v>
      </c>
      <c r="AP11" s="2" t="s">
        <v>679</v>
      </c>
      <c r="AT11" s="176" t="str">
        <f>VLOOKUP($E11,RESOURCES!$C:$E,3,FALSE)</f>
        <v>Internal Mods (PSI)</v>
      </c>
      <c r="AU11" s="176" t="str">
        <f t="shared" si="2"/>
        <v>PASQUIN, RYAN E.</v>
      </c>
    </row>
    <row r="12" spans="1:47">
      <c r="A12" s="624" t="s">
        <v>663</v>
      </c>
      <c r="B12" s="624" t="s">
        <v>671</v>
      </c>
      <c r="C12" s="2" t="s">
        <v>14</v>
      </c>
      <c r="D12" s="460" t="s">
        <v>136</v>
      </c>
      <c r="E12" s="461">
        <v>10072201</v>
      </c>
      <c r="F12" s="461">
        <v>22</v>
      </c>
      <c r="G12" s="461">
        <v>165</v>
      </c>
      <c r="H12" s="461">
        <v>45</v>
      </c>
      <c r="I12" s="462">
        <v>0</v>
      </c>
      <c r="J12" s="462">
        <v>0</v>
      </c>
      <c r="K12" s="462">
        <v>0</v>
      </c>
      <c r="L12" s="462">
        <v>0</v>
      </c>
      <c r="M12" s="462">
        <v>0</v>
      </c>
      <c r="N12" s="463">
        <v>0</v>
      </c>
      <c r="O12" s="464">
        <v>1</v>
      </c>
      <c r="P12" s="463">
        <v>0</v>
      </c>
      <c r="Q12" s="464">
        <v>1</v>
      </c>
      <c r="R12" s="465">
        <v>0</v>
      </c>
      <c r="S12" s="173">
        <f>F12-(H12/7.5)</f>
        <v>16</v>
      </c>
      <c r="T12" s="40" t="s">
        <v>663</v>
      </c>
      <c r="U12" t="s">
        <v>667</v>
      </c>
      <c r="V12" t="s">
        <v>670</v>
      </c>
      <c r="W12" s="184">
        <v>13</v>
      </c>
      <c r="X12" s="184">
        <v>286</v>
      </c>
      <c r="Y12" s="86">
        <v>2145</v>
      </c>
      <c r="Z12" s="415">
        <v>491.25</v>
      </c>
      <c r="AA12" s="86">
        <v>75</v>
      </c>
      <c r="AB12" s="415">
        <v>0.28333333333333333</v>
      </c>
      <c r="AC12" s="415">
        <v>0</v>
      </c>
      <c r="AD12" s="415">
        <v>0</v>
      </c>
      <c r="AE12" s="415">
        <v>75.283333333333331</v>
      </c>
      <c r="AF12" s="188">
        <v>3.5097125097125099E-2</v>
      </c>
      <c r="AG12" s="189">
        <v>0.96490287490287496</v>
      </c>
      <c r="AH12" s="190">
        <v>3.4965034965034968E-2</v>
      </c>
      <c r="AI12" s="135">
        <v>0.965034965034965</v>
      </c>
      <c r="AJ12" s="184">
        <v>0</v>
      </c>
      <c r="AK12" s="42">
        <f t="shared" si="1"/>
        <v>10071309</v>
      </c>
      <c r="AL12" s="15" t="str">
        <f>VLOOKUP($AK12,SUPERVISORS!$C:$F,4,FALSE)</f>
        <v>TAGUILASO, Daryl</v>
      </c>
      <c r="AN12" s="2">
        <v>10071099</v>
      </c>
      <c r="AO12" s="2" t="s">
        <v>214</v>
      </c>
      <c r="AP12" s="2" t="s">
        <v>664</v>
      </c>
      <c r="AT12" s="176" t="str">
        <f>VLOOKUP($E12,RESOURCES!$C:$E,3,FALSE)</f>
        <v>Web Designer</v>
      </c>
      <c r="AU12" s="176" t="str">
        <f t="shared" si="2"/>
        <v>-</v>
      </c>
    </row>
    <row r="13" spans="1:47">
      <c r="A13" s="624" t="s">
        <v>663</v>
      </c>
      <c r="B13" s="624" t="s">
        <v>14</v>
      </c>
      <c r="C13" s="2" t="s">
        <v>673</v>
      </c>
      <c r="D13" s="460" t="s">
        <v>676</v>
      </c>
      <c r="E13" s="461">
        <v>10071492</v>
      </c>
      <c r="F13" s="461">
        <v>22</v>
      </c>
      <c r="G13" s="461">
        <v>165</v>
      </c>
      <c r="H13" s="461">
        <v>30</v>
      </c>
      <c r="I13" s="462">
        <v>15</v>
      </c>
      <c r="J13" s="462">
        <v>0</v>
      </c>
      <c r="K13" s="462">
        <v>0</v>
      </c>
      <c r="L13" s="462">
        <v>0</v>
      </c>
      <c r="M13" s="462">
        <v>15</v>
      </c>
      <c r="N13" s="463">
        <v>9.0909090909090912E-2</v>
      </c>
      <c r="O13" s="464">
        <v>0.90909090909090906</v>
      </c>
      <c r="P13" s="463">
        <v>9.0909090909090912E-2</v>
      </c>
      <c r="Q13" s="464">
        <v>0.90909090909090906</v>
      </c>
      <c r="R13" s="465">
        <v>0</v>
      </c>
      <c r="S13" s="173">
        <f t="shared" ref="S13:S76" si="3">F13-(H13/7.5)</f>
        <v>18</v>
      </c>
      <c r="T13" s="40" t="s">
        <v>663</v>
      </c>
      <c r="U13" t="s">
        <v>667</v>
      </c>
      <c r="V13" t="s">
        <v>680</v>
      </c>
      <c r="W13" s="184">
        <v>13</v>
      </c>
      <c r="X13" s="184">
        <v>286</v>
      </c>
      <c r="Y13" s="86">
        <v>2145</v>
      </c>
      <c r="Z13" s="415">
        <v>502.5</v>
      </c>
      <c r="AA13" s="86">
        <v>22.5</v>
      </c>
      <c r="AB13" s="415">
        <v>0.78333333333333333</v>
      </c>
      <c r="AC13" s="415">
        <v>0</v>
      </c>
      <c r="AD13" s="415">
        <v>6.6666666666666666E-2</v>
      </c>
      <c r="AE13" s="415">
        <v>23.35</v>
      </c>
      <c r="AF13" s="188">
        <v>1.0885780885780887E-2</v>
      </c>
      <c r="AG13" s="189">
        <v>0.98911421911421915</v>
      </c>
      <c r="AH13" s="190">
        <v>1.048951048951049E-2</v>
      </c>
      <c r="AI13" s="135">
        <v>0.98951048951048948</v>
      </c>
      <c r="AJ13" s="184">
        <v>0</v>
      </c>
      <c r="AK13" s="42">
        <f t="shared" si="1"/>
        <v>10072501</v>
      </c>
      <c r="AL13" s="15" t="str">
        <f>VLOOKUP($AK13,SUPERVISORS!$C:$F,4,FALSE)</f>
        <v>TAGUILASO, Daryl</v>
      </c>
      <c r="AN13" s="2">
        <v>10071309</v>
      </c>
      <c r="AO13" s="2" t="s">
        <v>200</v>
      </c>
      <c r="AP13" s="2" t="s">
        <v>670</v>
      </c>
      <c r="AT13" s="176" t="e">
        <f>VLOOKUP($E13,RESOURCES!$C:$E,3,FALSE)</f>
        <v>#N/A</v>
      </c>
      <c r="AU13" s="176" t="str">
        <f t="shared" si="2"/>
        <v>PASQUIN, RYAN E.</v>
      </c>
    </row>
    <row r="14" spans="1:47">
      <c r="A14" s="624" t="s">
        <v>663</v>
      </c>
      <c r="B14" s="624" t="s">
        <v>671</v>
      </c>
      <c r="C14" s="2" t="s">
        <v>14</v>
      </c>
      <c r="D14" s="460" t="s">
        <v>138</v>
      </c>
      <c r="E14" s="461">
        <v>10071631</v>
      </c>
      <c r="F14" s="461">
        <v>22</v>
      </c>
      <c r="G14" s="461">
        <v>165</v>
      </c>
      <c r="H14" s="461">
        <v>37.5</v>
      </c>
      <c r="I14" s="462">
        <v>0</v>
      </c>
      <c r="J14" s="462">
        <v>0.41666666666666657</v>
      </c>
      <c r="K14" s="462">
        <v>0</v>
      </c>
      <c r="L14" s="462">
        <v>0</v>
      </c>
      <c r="M14" s="462">
        <v>0.41666666666666657</v>
      </c>
      <c r="N14" s="463">
        <v>2.5252525252525246E-3</v>
      </c>
      <c r="O14" s="464">
        <v>0.99747474747474751</v>
      </c>
      <c r="P14" s="463">
        <v>0</v>
      </c>
      <c r="Q14" s="464">
        <v>1</v>
      </c>
      <c r="R14" s="465">
        <v>0</v>
      </c>
      <c r="S14" s="173">
        <f t="shared" si="3"/>
        <v>17</v>
      </c>
      <c r="T14" s="40" t="s">
        <v>663</v>
      </c>
      <c r="U14" t="s">
        <v>667</v>
      </c>
      <c r="V14" t="s">
        <v>679</v>
      </c>
      <c r="W14" s="184">
        <v>14</v>
      </c>
      <c r="X14" s="184">
        <v>308</v>
      </c>
      <c r="Y14" s="86">
        <v>2310</v>
      </c>
      <c r="Z14" s="415">
        <v>577.5</v>
      </c>
      <c r="AA14" s="86">
        <v>7.5</v>
      </c>
      <c r="AB14" s="415">
        <v>0.43333333333333335</v>
      </c>
      <c r="AC14" s="415">
        <v>0</v>
      </c>
      <c r="AD14" s="415">
        <v>0.16666666666666666</v>
      </c>
      <c r="AE14" s="415">
        <v>8.1</v>
      </c>
      <c r="AF14" s="188">
        <v>3.5064935064935063E-3</v>
      </c>
      <c r="AG14" s="189">
        <v>0.99649350649350654</v>
      </c>
      <c r="AH14" s="190">
        <v>3.246753246753247E-3</v>
      </c>
      <c r="AI14" s="135">
        <v>0.99675324675324672</v>
      </c>
      <c r="AJ14" s="184">
        <v>0</v>
      </c>
      <c r="AK14" s="42">
        <f t="shared" si="1"/>
        <v>10072072</v>
      </c>
      <c r="AL14" s="15" t="str">
        <f>VLOOKUP($AK14,SUPERVISORS!$C:$F,4,FALSE)</f>
        <v>TAGUILASO, Daryl</v>
      </c>
      <c r="AN14" s="2">
        <v>10072501</v>
      </c>
      <c r="AO14" s="2" t="s">
        <v>186</v>
      </c>
      <c r="AP14" s="2" t="s">
        <v>680</v>
      </c>
      <c r="AT14" s="176" t="str">
        <f>VLOOKUP($E14,RESOURCES!$C:$E,3,FALSE)</f>
        <v>Web Designer</v>
      </c>
      <c r="AU14" s="176" t="str">
        <f t="shared" si="2"/>
        <v>-</v>
      </c>
    </row>
    <row r="15" spans="1:47">
      <c r="A15" s="624" t="s">
        <v>663</v>
      </c>
      <c r="B15" s="624" t="s">
        <v>680</v>
      </c>
      <c r="C15" s="2" t="s">
        <v>665</v>
      </c>
      <c r="D15" s="460" t="s">
        <v>185</v>
      </c>
      <c r="E15" s="461">
        <v>10072458</v>
      </c>
      <c r="F15" s="461">
        <v>22</v>
      </c>
      <c r="G15" s="461">
        <v>165</v>
      </c>
      <c r="H15" s="461">
        <v>45</v>
      </c>
      <c r="I15" s="462">
        <v>0</v>
      </c>
      <c r="J15" s="462">
        <v>3.3333333333333333E-2</v>
      </c>
      <c r="K15" s="462">
        <v>0</v>
      </c>
      <c r="L15" s="462">
        <v>0</v>
      </c>
      <c r="M15" s="462">
        <v>3.3333333333333333E-2</v>
      </c>
      <c r="N15" s="463">
        <v>2.0202020202020202E-4</v>
      </c>
      <c r="O15" s="464">
        <v>0.9997979797979798</v>
      </c>
      <c r="P15" s="463">
        <v>0</v>
      </c>
      <c r="Q15" s="464">
        <v>1</v>
      </c>
      <c r="R15" s="465">
        <v>0</v>
      </c>
      <c r="S15" s="173">
        <f t="shared" si="3"/>
        <v>16</v>
      </c>
      <c r="W15" s="184"/>
      <c r="X15" s="184"/>
      <c r="Y15" s="86"/>
      <c r="Z15" s="415"/>
      <c r="AA15" s="86"/>
      <c r="AB15" s="415"/>
      <c r="AC15" s="415"/>
      <c r="AD15" s="415"/>
      <c r="AE15" s="415"/>
      <c r="AF15" s="188"/>
      <c r="AG15" s="189"/>
      <c r="AH15" s="190"/>
      <c r="AI15" s="135"/>
      <c r="AJ15" s="184"/>
      <c r="AN15" s="2">
        <v>10071245</v>
      </c>
      <c r="AO15" s="2" t="s">
        <v>124</v>
      </c>
      <c r="AP15" s="2" t="s">
        <v>675</v>
      </c>
      <c r="AT15" s="176" t="str">
        <f>VLOOKUP($E15,RESOURCES!$C:$E,3,FALSE)</f>
        <v>Web Designer</v>
      </c>
      <c r="AU15" s="176" t="str">
        <f t="shared" si="2"/>
        <v>TAGUILASO, DARYL B.</v>
      </c>
    </row>
    <row r="16" spans="1:47">
      <c r="A16" s="624" t="s">
        <v>663</v>
      </c>
      <c r="B16" s="624" t="s">
        <v>668</v>
      </c>
      <c r="C16" s="2" t="s">
        <v>14</v>
      </c>
      <c r="D16" s="460" t="s">
        <v>154</v>
      </c>
      <c r="E16" s="461">
        <v>10071201</v>
      </c>
      <c r="F16" s="461">
        <v>22</v>
      </c>
      <c r="G16" s="461">
        <v>165</v>
      </c>
      <c r="H16" s="461">
        <v>30</v>
      </c>
      <c r="I16" s="462">
        <v>7.5</v>
      </c>
      <c r="J16" s="462">
        <v>0</v>
      </c>
      <c r="K16" s="462">
        <v>0</v>
      </c>
      <c r="L16" s="462">
        <v>0</v>
      </c>
      <c r="M16" s="462">
        <v>7.5</v>
      </c>
      <c r="N16" s="463">
        <v>4.5454545454545456E-2</v>
      </c>
      <c r="O16" s="464">
        <v>0.95454545454545459</v>
      </c>
      <c r="P16" s="463">
        <v>4.5454545454545456E-2</v>
      </c>
      <c r="Q16" s="464">
        <v>0.95454545454545459</v>
      </c>
      <c r="R16" s="465">
        <v>0</v>
      </c>
      <c r="S16" s="173">
        <f t="shared" si="3"/>
        <v>18</v>
      </c>
      <c r="T16"/>
      <c r="Y16"/>
      <c r="AA16"/>
      <c r="AI16"/>
      <c r="AJ16"/>
      <c r="AT16" s="176" t="str">
        <f>VLOOKUP($E16,RESOURCES!$C:$E,3,FALSE)</f>
        <v>Web Designer</v>
      </c>
      <c r="AU16" s="176" t="str">
        <f t="shared" si="2"/>
        <v>-</v>
      </c>
    </row>
    <row r="17" spans="1:47">
      <c r="A17" s="624" t="s">
        <v>663</v>
      </c>
      <c r="B17" s="624" t="s">
        <v>668</v>
      </c>
      <c r="C17" s="2" t="s">
        <v>14</v>
      </c>
      <c r="D17" s="460" t="s">
        <v>151</v>
      </c>
      <c r="E17" s="461">
        <v>10072155</v>
      </c>
      <c r="F17" s="461">
        <v>22</v>
      </c>
      <c r="G17" s="461">
        <v>165</v>
      </c>
      <c r="H17" s="461">
        <v>45</v>
      </c>
      <c r="I17" s="462">
        <v>0</v>
      </c>
      <c r="J17" s="462">
        <v>0.23333333333333334</v>
      </c>
      <c r="K17" s="462">
        <v>0</v>
      </c>
      <c r="L17" s="462">
        <v>6.6666666666666666E-2</v>
      </c>
      <c r="M17" s="462">
        <v>0.3</v>
      </c>
      <c r="N17" s="463">
        <v>1.8181818181818182E-3</v>
      </c>
      <c r="O17" s="464">
        <v>0.99818181818181806</v>
      </c>
      <c r="P17" s="463">
        <v>0</v>
      </c>
      <c r="Q17" s="464">
        <v>1</v>
      </c>
      <c r="R17" s="465">
        <v>0</v>
      </c>
      <c r="S17" s="173">
        <f t="shared" si="3"/>
        <v>16</v>
      </c>
      <c r="T17"/>
      <c r="Y17"/>
      <c r="AA17"/>
      <c r="AI17"/>
      <c r="AJ17"/>
      <c r="AT17" s="176" t="str">
        <f>VLOOKUP($E17,RESOURCES!$C:$E,3,FALSE)</f>
        <v>Web Designer</v>
      </c>
      <c r="AU17" s="176" t="str">
        <f t="shared" si="2"/>
        <v>-</v>
      </c>
    </row>
    <row r="18" spans="1:47">
      <c r="A18" s="624" t="s">
        <v>663</v>
      </c>
      <c r="B18" s="624" t="s">
        <v>14</v>
      </c>
      <c r="C18" s="2" t="s">
        <v>673</v>
      </c>
      <c r="D18" s="460" t="s">
        <v>669</v>
      </c>
      <c r="E18" s="461">
        <v>10071256</v>
      </c>
      <c r="F18" s="461">
        <v>22</v>
      </c>
      <c r="G18" s="461">
        <v>165</v>
      </c>
      <c r="H18" s="461">
        <v>45</v>
      </c>
      <c r="I18" s="462">
        <v>0</v>
      </c>
      <c r="J18" s="462">
        <v>0</v>
      </c>
      <c r="K18" s="462">
        <v>0</v>
      </c>
      <c r="L18" s="462">
        <v>0</v>
      </c>
      <c r="M18" s="462">
        <v>0</v>
      </c>
      <c r="N18" s="463">
        <v>0</v>
      </c>
      <c r="O18" s="464">
        <v>1</v>
      </c>
      <c r="P18" s="463">
        <v>0</v>
      </c>
      <c r="Q18" s="464">
        <v>1</v>
      </c>
      <c r="R18" s="465">
        <v>0</v>
      </c>
      <c r="S18" s="173">
        <f t="shared" si="3"/>
        <v>16</v>
      </c>
      <c r="Y18"/>
      <c r="AA18"/>
      <c r="AI18"/>
      <c r="AJ18"/>
      <c r="AT18" s="176" t="e">
        <f>VLOOKUP($E18,RESOURCES!$C:$E,3,FALSE)</f>
        <v>#N/A</v>
      </c>
      <c r="AU18" s="176" t="str">
        <f t="shared" si="2"/>
        <v>PASQUIN, RYAN E.</v>
      </c>
    </row>
    <row r="19" spans="1:47">
      <c r="A19" s="624" t="s">
        <v>663</v>
      </c>
      <c r="B19" s="624" t="s">
        <v>679</v>
      </c>
      <c r="C19" s="2" t="s">
        <v>665</v>
      </c>
      <c r="D19" s="460" t="s">
        <v>171</v>
      </c>
      <c r="E19" s="461">
        <v>10071358</v>
      </c>
      <c r="F19" s="461">
        <v>22</v>
      </c>
      <c r="G19" s="461">
        <v>165</v>
      </c>
      <c r="H19" s="461">
        <v>60</v>
      </c>
      <c r="I19" s="462">
        <v>0</v>
      </c>
      <c r="J19" s="462">
        <v>0</v>
      </c>
      <c r="K19" s="462">
        <v>0</v>
      </c>
      <c r="L19" s="462">
        <v>3.3333333333333333E-2</v>
      </c>
      <c r="M19" s="462">
        <v>3.3333333333333333E-2</v>
      </c>
      <c r="N19" s="463">
        <v>2.0202020202020202E-4</v>
      </c>
      <c r="O19" s="464">
        <v>0.9997979797979798</v>
      </c>
      <c r="P19" s="463">
        <v>0</v>
      </c>
      <c r="Q19" s="464">
        <v>1</v>
      </c>
      <c r="R19" s="465">
        <v>0</v>
      </c>
      <c r="S19" s="173">
        <f t="shared" si="3"/>
        <v>14</v>
      </c>
      <c r="W19" s="2"/>
      <c r="X19" s="2"/>
      <c r="Y19" s="134"/>
      <c r="Z19" s="2"/>
      <c r="AA19" s="134"/>
      <c r="AB19" s="5"/>
      <c r="AC19" s="5"/>
      <c r="AD19" s="5"/>
      <c r="AE19" s="5"/>
      <c r="AF19" s="137"/>
      <c r="AG19" s="16"/>
      <c r="AH19" s="137"/>
      <c r="AI19" s="138"/>
      <c r="AJ19" s="41"/>
      <c r="AT19" s="176" t="str">
        <f>VLOOKUP($E19,RESOURCES!$C:$E,3,FALSE)</f>
        <v>Web Designer</v>
      </c>
      <c r="AU19" s="176" t="str">
        <f t="shared" si="2"/>
        <v>TAGUILASO, DARYL B.</v>
      </c>
    </row>
    <row r="20" spans="1:47">
      <c r="A20" s="624" t="s">
        <v>663</v>
      </c>
      <c r="B20" s="624" t="s">
        <v>671</v>
      </c>
      <c r="C20" s="2" t="s">
        <v>14</v>
      </c>
      <c r="D20" s="460" t="s">
        <v>149</v>
      </c>
      <c r="E20" s="461">
        <v>10072179</v>
      </c>
      <c r="F20" s="461">
        <v>22</v>
      </c>
      <c r="G20" s="461">
        <v>165</v>
      </c>
      <c r="H20" s="461">
        <v>30</v>
      </c>
      <c r="I20" s="462">
        <v>0</v>
      </c>
      <c r="J20" s="462">
        <v>0</v>
      </c>
      <c r="K20" s="462">
        <v>0</v>
      </c>
      <c r="L20" s="462">
        <v>0</v>
      </c>
      <c r="M20" s="462">
        <v>0</v>
      </c>
      <c r="N20" s="463">
        <v>0</v>
      </c>
      <c r="O20" s="464">
        <v>1</v>
      </c>
      <c r="P20" s="463">
        <v>0</v>
      </c>
      <c r="Q20" s="464">
        <v>1</v>
      </c>
      <c r="R20" s="465">
        <v>0</v>
      </c>
      <c r="S20" s="173">
        <f t="shared" si="3"/>
        <v>18</v>
      </c>
      <c r="W20" s="2"/>
      <c r="X20" s="2"/>
      <c r="Y20" s="134"/>
      <c r="Z20" s="2"/>
      <c r="AA20" s="134"/>
      <c r="AB20" s="5"/>
      <c r="AC20" s="5"/>
      <c r="AD20" s="5"/>
      <c r="AE20" s="5"/>
      <c r="AF20" s="137"/>
      <c r="AG20" s="16"/>
      <c r="AH20" s="137"/>
      <c r="AI20" s="138"/>
      <c r="AJ20" s="41"/>
      <c r="AT20" s="176" t="str">
        <f>VLOOKUP($E20,RESOURCES!$C:$E,3,FALSE)</f>
        <v>Web Designer</v>
      </c>
      <c r="AU20" s="176" t="str">
        <f t="shared" si="2"/>
        <v>-</v>
      </c>
    </row>
    <row r="21" spans="1:47">
      <c r="A21" s="624" t="s">
        <v>663</v>
      </c>
      <c r="B21" s="624" t="s">
        <v>679</v>
      </c>
      <c r="C21" s="2" t="s">
        <v>665</v>
      </c>
      <c r="D21" s="460" t="s">
        <v>172</v>
      </c>
      <c r="E21" s="461">
        <v>10071910</v>
      </c>
      <c r="F21" s="461">
        <v>22</v>
      </c>
      <c r="G21" s="461">
        <v>165</v>
      </c>
      <c r="H21" s="461">
        <v>67.5</v>
      </c>
      <c r="I21" s="462">
        <v>0</v>
      </c>
      <c r="J21" s="462">
        <v>0</v>
      </c>
      <c r="K21" s="462">
        <v>0</v>
      </c>
      <c r="L21" s="462">
        <v>0</v>
      </c>
      <c r="M21" s="462">
        <v>0</v>
      </c>
      <c r="N21" s="463">
        <v>0</v>
      </c>
      <c r="O21" s="464">
        <v>1</v>
      </c>
      <c r="P21" s="463">
        <v>0</v>
      </c>
      <c r="Q21" s="464">
        <v>1</v>
      </c>
      <c r="R21" s="465">
        <v>0</v>
      </c>
      <c r="S21" s="173">
        <f t="shared" si="3"/>
        <v>13</v>
      </c>
      <c r="W21" s="2"/>
      <c r="X21" s="2"/>
      <c r="Y21" s="134"/>
      <c r="Z21" s="2"/>
      <c r="AA21" s="134"/>
      <c r="AB21" s="5"/>
      <c r="AC21" s="5"/>
      <c r="AD21" s="5"/>
      <c r="AE21" s="5"/>
      <c r="AF21" s="137"/>
      <c r="AG21" s="16"/>
      <c r="AH21" s="137"/>
      <c r="AI21" s="138"/>
      <c r="AJ21" s="41"/>
      <c r="AT21" s="176" t="str">
        <f>VLOOKUP($E21,RESOURCES!$C:$E,3,FALSE)</f>
        <v>Web Designer</v>
      </c>
      <c r="AU21" s="176" t="str">
        <f t="shared" si="2"/>
        <v>TAGUILASO, DARYL B.</v>
      </c>
    </row>
    <row r="22" spans="1:47">
      <c r="A22" s="624" t="s">
        <v>663</v>
      </c>
      <c r="B22" s="624" t="s">
        <v>671</v>
      </c>
      <c r="C22" s="2" t="s">
        <v>14</v>
      </c>
      <c r="D22" s="460" t="s">
        <v>139</v>
      </c>
      <c r="E22" s="461">
        <v>10072157</v>
      </c>
      <c r="F22" s="461">
        <v>22</v>
      </c>
      <c r="G22" s="461">
        <v>165</v>
      </c>
      <c r="H22" s="461">
        <v>45</v>
      </c>
      <c r="I22" s="462">
        <v>0</v>
      </c>
      <c r="J22" s="462">
        <v>0</v>
      </c>
      <c r="K22" s="462">
        <v>0</v>
      </c>
      <c r="L22" s="462">
        <v>0</v>
      </c>
      <c r="M22" s="462">
        <v>0</v>
      </c>
      <c r="N22" s="463">
        <v>0</v>
      </c>
      <c r="O22" s="464">
        <v>1</v>
      </c>
      <c r="P22" s="463">
        <v>0</v>
      </c>
      <c r="Q22" s="464">
        <v>1</v>
      </c>
      <c r="R22" s="465">
        <v>0</v>
      </c>
      <c r="S22" s="173">
        <f t="shared" si="3"/>
        <v>16</v>
      </c>
      <c r="W22" s="2"/>
      <c r="X22" s="2"/>
      <c r="Y22" s="134"/>
      <c r="Z22" s="2"/>
      <c r="AA22" s="134"/>
      <c r="AB22" s="5"/>
      <c r="AC22" s="5"/>
      <c r="AD22" s="5"/>
      <c r="AE22" s="84"/>
      <c r="AF22" s="143"/>
      <c r="AG22" s="147" t="s">
        <v>644</v>
      </c>
      <c r="AH22" s="148" t="s">
        <v>653</v>
      </c>
      <c r="AI22" s="147" t="s">
        <v>651</v>
      </c>
      <c r="AJ22" s="41"/>
      <c r="AT22" s="176" t="str">
        <f>VLOOKUP($E22,RESOURCES!$C:$E,3,FALSE)</f>
        <v>Web Designer</v>
      </c>
      <c r="AU22" s="176" t="str">
        <f t="shared" si="2"/>
        <v>-</v>
      </c>
    </row>
    <row r="23" spans="1:47">
      <c r="A23" s="624" t="s">
        <v>663</v>
      </c>
      <c r="B23" s="624" t="s">
        <v>675</v>
      </c>
      <c r="C23" s="2" t="s">
        <v>673</v>
      </c>
      <c r="D23" s="460" t="s">
        <v>135</v>
      </c>
      <c r="E23" s="461">
        <v>10071904</v>
      </c>
      <c r="F23" s="461">
        <v>22</v>
      </c>
      <c r="G23" s="461">
        <v>165</v>
      </c>
      <c r="H23" s="461">
        <v>37.5</v>
      </c>
      <c r="I23" s="462">
        <v>0</v>
      </c>
      <c r="J23" s="462">
        <v>0.16666666666666666</v>
      </c>
      <c r="K23" s="462">
        <v>0</v>
      </c>
      <c r="L23" s="462">
        <v>0</v>
      </c>
      <c r="M23" s="462">
        <v>0.16666666666666666</v>
      </c>
      <c r="N23" s="463">
        <v>1.0101010101010101E-3</v>
      </c>
      <c r="O23" s="464">
        <v>0.99898989898989909</v>
      </c>
      <c r="P23" s="463">
        <v>0</v>
      </c>
      <c r="Q23" s="464">
        <v>1</v>
      </c>
      <c r="R23" s="465">
        <v>0</v>
      </c>
      <c r="S23" s="173">
        <f t="shared" si="3"/>
        <v>17</v>
      </c>
      <c r="W23" s="2"/>
      <c r="X23" s="2"/>
      <c r="Y23" s="134"/>
      <c r="Z23" s="2"/>
      <c r="AA23" s="134"/>
      <c r="AB23" s="5"/>
      <c r="AC23" s="5"/>
      <c r="AD23" s="5" t="s">
        <v>14</v>
      </c>
      <c r="AE23" s="146">
        <v>10072003</v>
      </c>
      <c r="AF23" s="145" t="s">
        <v>85</v>
      </c>
      <c r="AG23" s="144">
        <f>SUMIFS($G:$G,$AU:$AU,$AD23)</f>
        <v>7590</v>
      </c>
      <c r="AH23" s="144">
        <f>SUMIFS($I:$I,$AU:$AU,$AD23)</f>
        <v>165</v>
      </c>
      <c r="AI23" s="135">
        <f>IFERROR((AG23-AH23)/(AG23),"-")</f>
        <v>0.97826086956521741</v>
      </c>
      <c r="AJ23" s="41"/>
      <c r="AT23" s="176" t="str">
        <f>VLOOKUP($E23,RESOURCES!$C:$E,3,FALSE)</f>
        <v>Internal Mods (PSI)</v>
      </c>
      <c r="AU23" s="176" t="str">
        <f t="shared" si="2"/>
        <v>PASQUIN, RYAN E.</v>
      </c>
    </row>
    <row r="24" spans="1:47">
      <c r="A24" s="624" t="s">
        <v>663</v>
      </c>
      <c r="B24" s="624" t="s">
        <v>679</v>
      </c>
      <c r="C24" s="2" t="s">
        <v>665</v>
      </c>
      <c r="D24" s="460" t="s">
        <v>183</v>
      </c>
      <c r="E24" s="461">
        <v>10071803</v>
      </c>
      <c r="F24" s="461">
        <v>22</v>
      </c>
      <c r="G24" s="461">
        <v>165</v>
      </c>
      <c r="H24" s="461">
        <v>30</v>
      </c>
      <c r="I24" s="462">
        <v>0</v>
      </c>
      <c r="J24" s="462">
        <v>0</v>
      </c>
      <c r="K24" s="462">
        <v>0</v>
      </c>
      <c r="L24" s="462">
        <v>0</v>
      </c>
      <c r="M24" s="462">
        <v>0</v>
      </c>
      <c r="N24" s="463">
        <v>0</v>
      </c>
      <c r="O24" s="464">
        <v>1</v>
      </c>
      <c r="P24" s="463">
        <v>0</v>
      </c>
      <c r="Q24" s="464">
        <v>1</v>
      </c>
      <c r="R24" s="465">
        <v>0</v>
      </c>
      <c r="S24" s="173">
        <f t="shared" si="3"/>
        <v>18</v>
      </c>
      <c r="AD24" t="s">
        <v>673</v>
      </c>
      <c r="AE24" s="146">
        <v>10071937</v>
      </c>
      <c r="AF24" s="146" t="s">
        <v>106</v>
      </c>
      <c r="AG24" s="144">
        <f>SUMIFS($G:$G,$AU:$AU,$AD24)</f>
        <v>9810</v>
      </c>
      <c r="AH24" s="144">
        <f>SUMIFS($I:$I,$AU:$AU,$AD24)</f>
        <v>603.75</v>
      </c>
      <c r="AI24" s="135">
        <f>IFERROR((AG24-AH24)/(AG24),"-")</f>
        <v>0.93845565749235471</v>
      </c>
      <c r="AT24" s="176" t="str">
        <f>VLOOKUP($E24,RESOURCES!$C:$E,3,FALSE)</f>
        <v>Web Designer</v>
      </c>
      <c r="AU24" s="176" t="str">
        <f t="shared" si="2"/>
        <v>TAGUILASO, DARYL B.</v>
      </c>
    </row>
    <row r="25" spans="1:47">
      <c r="A25" s="624" t="s">
        <v>663</v>
      </c>
      <c r="B25" s="624" t="s">
        <v>669</v>
      </c>
      <c r="C25" s="2" t="s">
        <v>673</v>
      </c>
      <c r="D25" s="460" t="s">
        <v>231</v>
      </c>
      <c r="E25" s="461">
        <v>10072224</v>
      </c>
      <c r="F25" s="461">
        <v>21</v>
      </c>
      <c r="G25" s="461">
        <v>157.5</v>
      </c>
      <c r="H25" s="461">
        <v>22.5</v>
      </c>
      <c r="I25" s="462">
        <v>7.5</v>
      </c>
      <c r="J25" s="462">
        <v>1.6666666666666666E-2</v>
      </c>
      <c r="K25" s="462">
        <v>0</v>
      </c>
      <c r="L25" s="462">
        <v>0</v>
      </c>
      <c r="M25" s="462">
        <v>7.5166666666666666</v>
      </c>
      <c r="N25" s="463">
        <v>4.7724867724867726E-2</v>
      </c>
      <c r="O25" s="464">
        <v>0.95227513227513216</v>
      </c>
      <c r="P25" s="463">
        <v>4.7619047619047616E-2</v>
      </c>
      <c r="Q25" s="464">
        <v>0.95238095238095233</v>
      </c>
      <c r="R25" s="465">
        <v>3</v>
      </c>
      <c r="S25" s="173">
        <f t="shared" si="3"/>
        <v>18</v>
      </c>
      <c r="AD25" t="s">
        <v>665</v>
      </c>
      <c r="AE25" s="146">
        <v>7010609</v>
      </c>
      <c r="AF25" s="146" t="s">
        <v>170</v>
      </c>
      <c r="AG25" s="144">
        <f>SUMIFS($G:$G,$AU:$AU,$AD25)</f>
        <v>9405</v>
      </c>
      <c r="AH25" s="144">
        <f>SUMIFS($I:$I,$AU:$AU,$AD25)</f>
        <v>165</v>
      </c>
      <c r="AI25" s="135">
        <f>IFERROR((AG25-AH25)/(AG25),"-")</f>
        <v>0.98245614035087714</v>
      </c>
      <c r="AT25" s="176" t="str">
        <f>VLOOKUP($E25,RESOURCES!$C:$E,3,FALSE)</f>
        <v>Internal Mods (PSI)</v>
      </c>
      <c r="AU25" s="176" t="str">
        <f t="shared" si="2"/>
        <v>PASQUIN, RYAN E.</v>
      </c>
    </row>
    <row r="26" spans="1:47">
      <c r="A26" s="624" t="s">
        <v>663</v>
      </c>
      <c r="B26" s="624" t="s">
        <v>680</v>
      </c>
      <c r="C26" s="2" t="s">
        <v>665</v>
      </c>
      <c r="D26" s="460" t="s">
        <v>198</v>
      </c>
      <c r="E26" s="461">
        <v>10071188</v>
      </c>
      <c r="F26" s="461">
        <v>22</v>
      </c>
      <c r="G26" s="461">
        <v>165</v>
      </c>
      <c r="H26" s="461">
        <v>22.5</v>
      </c>
      <c r="I26" s="462">
        <v>0</v>
      </c>
      <c r="J26" s="462">
        <v>0.3</v>
      </c>
      <c r="K26" s="462">
        <v>0</v>
      </c>
      <c r="L26" s="462">
        <v>1.6666666666666666E-2</v>
      </c>
      <c r="M26" s="462">
        <v>0.31666666666666665</v>
      </c>
      <c r="N26" s="463">
        <v>1.9191919191919192E-3</v>
      </c>
      <c r="O26" s="464">
        <v>0.99808080808080812</v>
      </c>
      <c r="P26" s="463">
        <v>0</v>
      </c>
      <c r="Q26" s="464">
        <v>1</v>
      </c>
      <c r="R26" s="465">
        <v>0</v>
      </c>
      <c r="S26" s="173">
        <f t="shared" si="3"/>
        <v>19</v>
      </c>
      <c r="AI26"/>
      <c r="AT26" s="176" t="str">
        <f>VLOOKUP($E26,RESOURCES!$C:$E,3,FALSE)</f>
        <v>Web Designer</v>
      </c>
      <c r="AU26" s="176" t="str">
        <f t="shared" si="2"/>
        <v>TAGUILASO, DARYL B.</v>
      </c>
    </row>
    <row r="27" spans="1:47">
      <c r="A27" s="624" t="s">
        <v>663</v>
      </c>
      <c r="B27" s="624" t="s">
        <v>671</v>
      </c>
      <c r="C27" s="2" t="s">
        <v>14</v>
      </c>
      <c r="D27" s="460" t="s">
        <v>140</v>
      </c>
      <c r="E27" s="461">
        <v>10071958</v>
      </c>
      <c r="F27" s="461">
        <v>22</v>
      </c>
      <c r="G27" s="461">
        <v>165</v>
      </c>
      <c r="H27" s="461">
        <v>45</v>
      </c>
      <c r="I27" s="462">
        <v>7.5</v>
      </c>
      <c r="J27" s="462">
        <v>0.21666666666666667</v>
      </c>
      <c r="K27" s="462">
        <v>0</v>
      </c>
      <c r="L27" s="462">
        <v>0</v>
      </c>
      <c r="M27" s="462">
        <v>7.7166666666666668</v>
      </c>
      <c r="N27" s="463">
        <v>4.676767676767677E-2</v>
      </c>
      <c r="O27" s="464">
        <v>0.95323232323232321</v>
      </c>
      <c r="P27" s="463">
        <v>4.5454545454545456E-2</v>
      </c>
      <c r="Q27" s="464">
        <v>0.95454545454545459</v>
      </c>
      <c r="R27" s="465">
        <v>0</v>
      </c>
      <c r="S27" s="173">
        <f t="shared" si="3"/>
        <v>16</v>
      </c>
      <c r="AI27"/>
      <c r="AT27" s="176" t="str">
        <f>VLOOKUP($E27,RESOURCES!$C:$E,3,FALSE)</f>
        <v>Web Designer</v>
      </c>
      <c r="AU27" s="176" t="str">
        <f t="shared" si="2"/>
        <v>-</v>
      </c>
    </row>
    <row r="28" spans="1:47">
      <c r="A28" s="624" t="s">
        <v>663</v>
      </c>
      <c r="B28" s="624" t="s">
        <v>670</v>
      </c>
      <c r="C28" s="2" t="s">
        <v>665</v>
      </c>
      <c r="D28" s="460" t="s">
        <v>199</v>
      </c>
      <c r="E28" s="461">
        <v>10072244</v>
      </c>
      <c r="F28" s="461">
        <v>22</v>
      </c>
      <c r="G28" s="461">
        <v>165</v>
      </c>
      <c r="H28" s="461">
        <v>41.25</v>
      </c>
      <c r="I28" s="462">
        <v>15</v>
      </c>
      <c r="J28" s="462">
        <v>0.15</v>
      </c>
      <c r="K28" s="462">
        <v>0</v>
      </c>
      <c r="L28" s="462">
        <v>0</v>
      </c>
      <c r="M28" s="462">
        <v>15.15</v>
      </c>
      <c r="N28" s="463">
        <v>9.1818181818181827E-2</v>
      </c>
      <c r="O28" s="464">
        <v>0.9081818181818182</v>
      </c>
      <c r="P28" s="463">
        <v>9.0909090909090912E-2</v>
      </c>
      <c r="Q28" s="464">
        <v>0.90909090909090906</v>
      </c>
      <c r="R28" s="465">
        <v>0</v>
      </c>
      <c r="S28" s="173">
        <f t="shared" si="3"/>
        <v>16.5</v>
      </c>
      <c r="AE28" s="146"/>
      <c r="AF28" s="146"/>
      <c r="AG28" s="146"/>
      <c r="AH28" s="146"/>
      <c r="AT28" s="176" t="str">
        <f>VLOOKUP($E28,RESOURCES!$C:$E,3,FALSE)</f>
        <v>Web Designer</v>
      </c>
      <c r="AU28" s="176" t="str">
        <f t="shared" si="2"/>
        <v>TAGUILASO, DARYL B.</v>
      </c>
    </row>
    <row r="29" spans="1:47">
      <c r="A29" s="624" t="s">
        <v>663</v>
      </c>
      <c r="B29" s="624" t="s">
        <v>14</v>
      </c>
      <c r="C29" s="2" t="s">
        <v>673</v>
      </c>
      <c r="D29" s="460" t="s">
        <v>681</v>
      </c>
      <c r="E29" s="461">
        <v>10072219</v>
      </c>
      <c r="F29" s="461">
        <v>22</v>
      </c>
      <c r="G29" s="461">
        <v>165</v>
      </c>
      <c r="H29" s="461">
        <v>45</v>
      </c>
      <c r="I29" s="462">
        <v>0</v>
      </c>
      <c r="J29" s="462">
        <v>0.4</v>
      </c>
      <c r="K29" s="462">
        <v>0</v>
      </c>
      <c r="L29" s="462">
        <v>0</v>
      </c>
      <c r="M29" s="462">
        <v>0.4</v>
      </c>
      <c r="N29" s="463">
        <v>2.4242424242424242E-3</v>
      </c>
      <c r="O29" s="464">
        <v>0.99757575757575756</v>
      </c>
      <c r="P29" s="463">
        <v>0</v>
      </c>
      <c r="Q29" s="464">
        <v>1</v>
      </c>
      <c r="R29" s="465">
        <v>0</v>
      </c>
      <c r="S29" s="173">
        <f t="shared" si="3"/>
        <v>16</v>
      </c>
      <c r="AE29" s="146"/>
      <c r="AF29" s="149" t="s">
        <v>274</v>
      </c>
      <c r="AG29" s="150">
        <f>SUM(AG23:AG28)</f>
        <v>26805</v>
      </c>
      <c r="AH29" s="150">
        <f>SUM(AH23:AH28)</f>
        <v>933.75</v>
      </c>
      <c r="AI29" s="151">
        <f>IFERROR((AG29-AH29)/(AG29),"-")</f>
        <v>0.96516508114157806</v>
      </c>
      <c r="AT29" s="176" t="e">
        <f>VLOOKUP($E29,RESOURCES!$C:$E,3,FALSE)</f>
        <v>#N/A</v>
      </c>
      <c r="AU29" s="176" t="str">
        <f t="shared" si="2"/>
        <v>PASQUIN, RYAN E.</v>
      </c>
    </row>
    <row r="30" spans="1:47">
      <c r="A30" s="624" t="s">
        <v>663</v>
      </c>
      <c r="B30" s="624" t="s">
        <v>679</v>
      </c>
      <c r="C30" s="2" t="s">
        <v>665</v>
      </c>
      <c r="D30" s="460" t="s">
        <v>173</v>
      </c>
      <c r="E30" s="461">
        <v>10071433</v>
      </c>
      <c r="F30" s="461">
        <v>22</v>
      </c>
      <c r="G30" s="461">
        <v>165</v>
      </c>
      <c r="H30" s="461">
        <v>60</v>
      </c>
      <c r="I30" s="462">
        <v>0</v>
      </c>
      <c r="J30" s="462">
        <v>0.18333333333333332</v>
      </c>
      <c r="K30" s="462">
        <v>0</v>
      </c>
      <c r="L30" s="462">
        <v>0</v>
      </c>
      <c r="M30" s="462">
        <v>0.18333333333333332</v>
      </c>
      <c r="N30" s="463">
        <v>1.1111111111111111E-3</v>
      </c>
      <c r="O30" s="464">
        <v>0.99888888888888883</v>
      </c>
      <c r="P30" s="463">
        <v>0</v>
      </c>
      <c r="Q30" s="464">
        <v>1</v>
      </c>
      <c r="R30" s="465">
        <v>0</v>
      </c>
      <c r="S30" s="173">
        <f t="shared" si="3"/>
        <v>14</v>
      </c>
      <c r="AT30" s="176" t="str">
        <f>VLOOKUP($E30,RESOURCES!$C:$E,3,FALSE)</f>
        <v>Web Designer</v>
      </c>
      <c r="AU30" s="176" t="str">
        <f t="shared" si="2"/>
        <v>TAGUILASO, DARYL B.</v>
      </c>
    </row>
    <row r="31" spans="1:47">
      <c r="A31" s="624" t="s">
        <v>663</v>
      </c>
      <c r="B31" s="624" t="s">
        <v>14</v>
      </c>
      <c r="C31" s="2" t="s">
        <v>665</v>
      </c>
      <c r="D31" s="460" t="s">
        <v>664</v>
      </c>
      <c r="E31" s="461">
        <v>10071099</v>
      </c>
      <c r="F31" s="461">
        <v>22</v>
      </c>
      <c r="G31" s="461">
        <v>165</v>
      </c>
      <c r="H31" s="461">
        <v>22.5</v>
      </c>
      <c r="I31" s="462">
        <v>7.5</v>
      </c>
      <c r="J31" s="462">
        <v>0</v>
      </c>
      <c r="K31" s="462">
        <v>0.9</v>
      </c>
      <c r="L31" s="462">
        <v>0</v>
      </c>
      <c r="M31" s="462">
        <v>8.4</v>
      </c>
      <c r="N31" s="463">
        <v>5.0909090909090911E-2</v>
      </c>
      <c r="O31" s="464">
        <v>0.9490909090909091</v>
      </c>
      <c r="P31" s="463">
        <v>4.5454545454545456E-2</v>
      </c>
      <c r="Q31" s="464">
        <v>0.95454545454545459</v>
      </c>
      <c r="R31" s="465">
        <v>0</v>
      </c>
      <c r="S31" s="173">
        <f t="shared" si="3"/>
        <v>19</v>
      </c>
      <c r="AT31" s="176" t="e">
        <f>VLOOKUP($E31,RESOURCES!$C:$E,3,FALSE)</f>
        <v>#N/A</v>
      </c>
      <c r="AU31" s="176" t="str">
        <f t="shared" si="2"/>
        <v>TAGUILASO, DARYL B.</v>
      </c>
    </row>
    <row r="32" spans="1:47">
      <c r="A32" s="624" t="s">
        <v>663</v>
      </c>
      <c r="B32" s="624" t="s">
        <v>672</v>
      </c>
      <c r="C32" s="2" t="s">
        <v>673</v>
      </c>
      <c r="D32" s="460" t="s">
        <v>107</v>
      </c>
      <c r="E32" s="461">
        <v>10072471</v>
      </c>
      <c r="F32" s="461">
        <v>22</v>
      </c>
      <c r="G32" s="461">
        <v>165</v>
      </c>
      <c r="H32" s="461">
        <v>60</v>
      </c>
      <c r="I32" s="462">
        <v>0</v>
      </c>
      <c r="J32" s="462">
        <v>0</v>
      </c>
      <c r="K32" s="462">
        <v>0</v>
      </c>
      <c r="L32" s="462">
        <v>0</v>
      </c>
      <c r="M32" s="462">
        <v>0</v>
      </c>
      <c r="N32" s="463">
        <v>0</v>
      </c>
      <c r="O32" s="464">
        <v>1</v>
      </c>
      <c r="P32" s="463">
        <v>0</v>
      </c>
      <c r="Q32" s="464">
        <v>1</v>
      </c>
      <c r="R32" s="465">
        <v>0</v>
      </c>
      <c r="S32" s="173">
        <f t="shared" si="3"/>
        <v>14</v>
      </c>
      <c r="AT32" s="176" t="str">
        <f>VLOOKUP($E32,RESOURCES!$C:$E,3,FALSE)</f>
        <v>Proofreader</v>
      </c>
      <c r="AU32" s="176" t="str">
        <f t="shared" si="2"/>
        <v>PASQUIN, RYAN E.</v>
      </c>
    </row>
    <row r="33" spans="1:47">
      <c r="A33" s="624" t="s">
        <v>663</v>
      </c>
      <c r="B33" s="624" t="s">
        <v>674</v>
      </c>
      <c r="C33" s="2" t="s">
        <v>14</v>
      </c>
      <c r="D33" s="460" t="s">
        <v>89</v>
      </c>
      <c r="E33" s="461">
        <v>10072158</v>
      </c>
      <c r="F33" s="461">
        <v>22</v>
      </c>
      <c r="G33" s="461">
        <v>165</v>
      </c>
      <c r="H33" s="461">
        <v>52.5</v>
      </c>
      <c r="I33" s="462">
        <v>0</v>
      </c>
      <c r="J33" s="462">
        <v>0.75</v>
      </c>
      <c r="K33" s="462">
        <v>0</v>
      </c>
      <c r="L33" s="462">
        <v>0</v>
      </c>
      <c r="M33" s="462">
        <v>0.75</v>
      </c>
      <c r="N33" s="463">
        <v>4.5454545454545452E-3</v>
      </c>
      <c r="O33" s="464">
        <v>0.99545454545454548</v>
      </c>
      <c r="P33" s="463">
        <v>0</v>
      </c>
      <c r="Q33" s="464">
        <v>1</v>
      </c>
      <c r="R33" s="465">
        <v>0</v>
      </c>
      <c r="S33" s="173">
        <f t="shared" si="3"/>
        <v>15</v>
      </c>
      <c r="AT33" s="176" t="str">
        <f>VLOOKUP($E33,RESOURCES!$C:$E,3,FALSE)</f>
        <v>Web Designer</v>
      </c>
      <c r="AU33" s="176" t="str">
        <f t="shared" si="2"/>
        <v>-</v>
      </c>
    </row>
    <row r="34" spans="1:47">
      <c r="A34" s="624" t="s">
        <v>663</v>
      </c>
      <c r="B34" s="624" t="s">
        <v>674</v>
      </c>
      <c r="C34" s="2" t="s">
        <v>14</v>
      </c>
      <c r="D34" s="460" t="s">
        <v>92</v>
      </c>
      <c r="E34" s="461">
        <v>10071899</v>
      </c>
      <c r="F34" s="461">
        <v>22</v>
      </c>
      <c r="G34" s="461">
        <v>165</v>
      </c>
      <c r="H34" s="461">
        <v>67.5</v>
      </c>
      <c r="I34" s="462">
        <v>0</v>
      </c>
      <c r="J34" s="462">
        <v>0</v>
      </c>
      <c r="K34" s="462">
        <v>0</v>
      </c>
      <c r="L34" s="462">
        <v>0</v>
      </c>
      <c r="M34" s="462">
        <v>0</v>
      </c>
      <c r="N34" s="463">
        <v>0</v>
      </c>
      <c r="O34" s="464">
        <v>1</v>
      </c>
      <c r="P34" s="463">
        <v>0</v>
      </c>
      <c r="Q34" s="464">
        <v>1</v>
      </c>
      <c r="R34" s="465">
        <v>0</v>
      </c>
      <c r="S34" s="173">
        <f t="shared" si="3"/>
        <v>13</v>
      </c>
      <c r="AT34" s="176" t="str">
        <f>VLOOKUP($E34,RESOURCES!$C:$E,3,FALSE)</f>
        <v>Web Designer</v>
      </c>
      <c r="AU34" s="176" t="str">
        <f t="shared" si="2"/>
        <v>-</v>
      </c>
    </row>
    <row r="35" spans="1:47">
      <c r="A35" s="624" t="s">
        <v>663</v>
      </c>
      <c r="B35" s="624" t="s">
        <v>14</v>
      </c>
      <c r="C35" s="2" t="s">
        <v>665</v>
      </c>
      <c r="D35" s="460" t="s">
        <v>670</v>
      </c>
      <c r="E35" s="461">
        <v>10071309</v>
      </c>
      <c r="F35" s="461">
        <v>22</v>
      </c>
      <c r="G35" s="461">
        <v>165</v>
      </c>
      <c r="H35" s="461">
        <v>67.5</v>
      </c>
      <c r="I35" s="462">
        <v>0</v>
      </c>
      <c r="J35" s="462">
        <v>0</v>
      </c>
      <c r="K35" s="462">
        <v>0</v>
      </c>
      <c r="L35" s="462">
        <v>0</v>
      </c>
      <c r="M35" s="462">
        <v>0</v>
      </c>
      <c r="N35" s="463">
        <v>0</v>
      </c>
      <c r="O35" s="464">
        <v>1</v>
      </c>
      <c r="P35" s="463">
        <v>0</v>
      </c>
      <c r="Q35" s="464">
        <v>1</v>
      </c>
      <c r="R35" s="465">
        <v>0</v>
      </c>
      <c r="S35" s="173">
        <f t="shared" si="3"/>
        <v>13</v>
      </c>
      <c r="AT35" s="176" t="e">
        <f>VLOOKUP($E35,RESOURCES!$C:$E,3,FALSE)</f>
        <v>#N/A</v>
      </c>
      <c r="AU35" s="176" t="str">
        <f t="shared" si="2"/>
        <v>TAGUILASO, DARYL B.</v>
      </c>
    </row>
    <row r="36" spans="1:47">
      <c r="A36" s="624" t="s">
        <v>663</v>
      </c>
      <c r="B36" s="624" t="s">
        <v>679</v>
      </c>
      <c r="C36" s="2" t="s">
        <v>665</v>
      </c>
      <c r="D36" s="460" t="s">
        <v>174</v>
      </c>
      <c r="E36" s="461">
        <v>10072437</v>
      </c>
      <c r="F36" s="461">
        <v>22</v>
      </c>
      <c r="G36" s="461">
        <v>165</v>
      </c>
      <c r="H36" s="461">
        <v>37.5</v>
      </c>
      <c r="I36" s="462">
        <v>0</v>
      </c>
      <c r="J36" s="462">
        <v>0</v>
      </c>
      <c r="K36" s="462">
        <v>0</v>
      </c>
      <c r="L36" s="462">
        <v>0</v>
      </c>
      <c r="M36" s="462">
        <v>0</v>
      </c>
      <c r="N36" s="463">
        <v>0</v>
      </c>
      <c r="O36" s="464">
        <v>1</v>
      </c>
      <c r="P36" s="463">
        <v>0</v>
      </c>
      <c r="Q36" s="464">
        <v>1</v>
      </c>
      <c r="R36" s="465">
        <v>0</v>
      </c>
      <c r="S36" s="173">
        <f t="shared" si="3"/>
        <v>17</v>
      </c>
      <c r="AT36" s="176" t="str">
        <f>VLOOKUP($E36,RESOURCES!$C:$E,3,FALSE)</f>
        <v>Web Designer</v>
      </c>
      <c r="AU36" s="176" t="str">
        <f t="shared" si="2"/>
        <v>TAGUILASO, DARYL B.</v>
      </c>
    </row>
    <row r="37" spans="1:47">
      <c r="A37" s="624" t="s">
        <v>663</v>
      </c>
      <c r="B37" s="624" t="s">
        <v>680</v>
      </c>
      <c r="C37" s="2" t="s">
        <v>665</v>
      </c>
      <c r="D37" s="460" t="s">
        <v>682</v>
      </c>
      <c r="E37" s="461">
        <v>10071322</v>
      </c>
      <c r="F37" s="461">
        <v>22</v>
      </c>
      <c r="G37" s="461">
        <v>165</v>
      </c>
      <c r="H37" s="461">
        <v>30</v>
      </c>
      <c r="I37" s="462">
        <v>0</v>
      </c>
      <c r="J37" s="462">
        <v>0</v>
      </c>
      <c r="K37" s="462">
        <v>0</v>
      </c>
      <c r="L37" s="462">
        <v>3.3333333333333333E-2</v>
      </c>
      <c r="M37" s="462">
        <v>3.3333333333333333E-2</v>
      </c>
      <c r="N37" s="463">
        <v>2.0202020202020202E-4</v>
      </c>
      <c r="O37" s="464">
        <v>0.9997979797979798</v>
      </c>
      <c r="P37" s="463">
        <v>0</v>
      </c>
      <c r="Q37" s="464">
        <v>1</v>
      </c>
      <c r="R37" s="465">
        <v>0</v>
      </c>
      <c r="S37" s="173">
        <f t="shared" si="3"/>
        <v>18</v>
      </c>
      <c r="AT37" s="176" t="str">
        <f>VLOOKUP($E37,RESOURCES!$C:$E,3,FALSE)</f>
        <v>Logo Designer</v>
      </c>
      <c r="AU37" s="176" t="str">
        <f t="shared" si="2"/>
        <v>TAGUILASO, DARYL B.</v>
      </c>
    </row>
    <row r="38" spans="1:47">
      <c r="A38" s="624" t="s">
        <v>663</v>
      </c>
      <c r="B38" s="624" t="s">
        <v>676</v>
      </c>
      <c r="C38" s="2" t="s">
        <v>673</v>
      </c>
      <c r="D38" s="460" t="s">
        <v>683</v>
      </c>
      <c r="E38" s="461">
        <v>10072023</v>
      </c>
      <c r="F38" s="461">
        <v>22</v>
      </c>
      <c r="G38" s="461">
        <v>165</v>
      </c>
      <c r="H38" s="461">
        <v>45</v>
      </c>
      <c r="I38" s="462">
        <v>7.5</v>
      </c>
      <c r="J38" s="462">
        <v>2.2499999999999996</v>
      </c>
      <c r="K38" s="462">
        <v>0</v>
      </c>
      <c r="L38" s="462">
        <v>0</v>
      </c>
      <c r="M38" s="462">
        <v>9.75</v>
      </c>
      <c r="N38" s="463">
        <v>5.909090909090909E-2</v>
      </c>
      <c r="O38" s="464">
        <v>0.94090909090909092</v>
      </c>
      <c r="P38" s="463">
        <v>4.5454545454545456E-2</v>
      </c>
      <c r="Q38" s="464">
        <v>0.95454545454545459</v>
      </c>
      <c r="R38" s="465">
        <v>0</v>
      </c>
      <c r="S38" s="173">
        <f t="shared" si="3"/>
        <v>16</v>
      </c>
      <c r="AT38" s="176" t="str">
        <f>VLOOKUP($E38,RESOURCES!$C:$E,3,FALSE)</f>
        <v>Voice QA</v>
      </c>
      <c r="AU38" s="176" t="str">
        <f t="shared" si="2"/>
        <v>PASQUIN, RYAN E.</v>
      </c>
    </row>
    <row r="39" spans="1:47">
      <c r="A39" s="624" t="s">
        <v>663</v>
      </c>
      <c r="B39" s="624" t="s">
        <v>675</v>
      </c>
      <c r="C39" s="2" t="s">
        <v>673</v>
      </c>
      <c r="D39" s="460" t="s">
        <v>126</v>
      </c>
      <c r="E39" s="461">
        <v>10071278</v>
      </c>
      <c r="F39" s="461">
        <v>22</v>
      </c>
      <c r="G39" s="461">
        <v>165</v>
      </c>
      <c r="H39" s="461">
        <v>22.5</v>
      </c>
      <c r="I39" s="462">
        <v>0</v>
      </c>
      <c r="J39" s="462">
        <v>0.91666666666666674</v>
      </c>
      <c r="K39" s="462">
        <v>0</v>
      </c>
      <c r="L39" s="462">
        <v>0</v>
      </c>
      <c r="M39" s="462">
        <v>0.91666666666666674</v>
      </c>
      <c r="N39" s="463">
        <v>5.5555555555555558E-3</v>
      </c>
      <c r="O39" s="464">
        <v>0.99444444444444446</v>
      </c>
      <c r="P39" s="463">
        <v>0</v>
      </c>
      <c r="Q39" s="464">
        <v>1</v>
      </c>
      <c r="R39" s="465">
        <v>0</v>
      </c>
      <c r="S39" s="173">
        <f t="shared" si="3"/>
        <v>19</v>
      </c>
      <c r="AT39" s="176" t="str">
        <f>VLOOKUP($E39,RESOURCES!$C:$E,3,FALSE)</f>
        <v>Internal Mods (PSI)</v>
      </c>
      <c r="AU39" s="176" t="str">
        <f t="shared" si="2"/>
        <v>PASQUIN, RYAN E.</v>
      </c>
    </row>
    <row r="40" spans="1:47">
      <c r="A40" s="624" t="s">
        <v>663</v>
      </c>
      <c r="B40" s="624" t="s">
        <v>14</v>
      </c>
      <c r="C40" s="2" t="s">
        <v>665</v>
      </c>
      <c r="D40" s="460" t="s">
        <v>680</v>
      </c>
      <c r="E40" s="461">
        <v>10072501</v>
      </c>
      <c r="F40" s="461">
        <v>22</v>
      </c>
      <c r="G40" s="461">
        <v>165</v>
      </c>
      <c r="H40" s="461">
        <v>52.5</v>
      </c>
      <c r="I40" s="462">
        <v>15</v>
      </c>
      <c r="J40" s="462">
        <v>0</v>
      </c>
      <c r="K40" s="462">
        <v>0</v>
      </c>
      <c r="L40" s="462">
        <v>0</v>
      </c>
      <c r="M40" s="462">
        <v>15</v>
      </c>
      <c r="N40" s="463">
        <v>9.0909090909090912E-2</v>
      </c>
      <c r="O40" s="464">
        <v>0.90909090909090906</v>
      </c>
      <c r="P40" s="463">
        <v>9.0909090909090912E-2</v>
      </c>
      <c r="Q40" s="464">
        <v>0.90909090909090906</v>
      </c>
      <c r="R40" s="465">
        <v>0</v>
      </c>
      <c r="S40" s="173">
        <f t="shared" si="3"/>
        <v>15</v>
      </c>
      <c r="AI40"/>
      <c r="AT40" s="176" t="e">
        <f>VLOOKUP($E40,RESOURCES!$C:$E,3,FALSE)</f>
        <v>#N/A</v>
      </c>
      <c r="AU40" s="176" t="str">
        <f t="shared" si="2"/>
        <v>TAGUILASO, DARYL B.</v>
      </c>
    </row>
    <row r="41" spans="1:47">
      <c r="A41" s="624" t="s">
        <v>663</v>
      </c>
      <c r="B41" s="624" t="s">
        <v>676</v>
      </c>
      <c r="C41" s="2" t="s">
        <v>673</v>
      </c>
      <c r="D41" s="460" t="s">
        <v>684</v>
      </c>
      <c r="E41" s="461">
        <v>10072592</v>
      </c>
      <c r="F41" s="461">
        <v>22</v>
      </c>
      <c r="G41" s="461">
        <v>165</v>
      </c>
      <c r="H41" s="461">
        <v>30</v>
      </c>
      <c r="I41" s="462">
        <v>0</v>
      </c>
      <c r="J41" s="462">
        <v>0.11666666666666667</v>
      </c>
      <c r="K41" s="462">
        <v>0</v>
      </c>
      <c r="L41" s="462">
        <v>0</v>
      </c>
      <c r="M41" s="462">
        <v>0.11666666666666667</v>
      </c>
      <c r="N41" s="463">
        <v>7.0707070707070707E-4</v>
      </c>
      <c r="O41" s="464">
        <v>0.99929292929292923</v>
      </c>
      <c r="P41" s="463">
        <v>0</v>
      </c>
      <c r="Q41" s="464">
        <v>1</v>
      </c>
      <c r="R41" s="465">
        <v>0</v>
      </c>
      <c r="S41" s="173">
        <f t="shared" si="3"/>
        <v>18</v>
      </c>
      <c r="AI41"/>
      <c r="AT41" s="176" t="str">
        <f>VLOOKUP($E41,RESOURCES!$C:$E,3,FALSE)</f>
        <v>Voice QA</v>
      </c>
      <c r="AU41" s="176" t="str">
        <f t="shared" si="2"/>
        <v>PASQUIN, RYAN E.</v>
      </c>
    </row>
    <row r="42" spans="1:47">
      <c r="A42" s="624" t="s">
        <v>663</v>
      </c>
      <c r="B42" s="624" t="s">
        <v>680</v>
      </c>
      <c r="C42" s="2" t="s">
        <v>665</v>
      </c>
      <c r="D42" s="460" t="s">
        <v>188</v>
      </c>
      <c r="E42" s="461">
        <v>10071429</v>
      </c>
      <c r="F42" s="461">
        <v>22</v>
      </c>
      <c r="G42" s="461">
        <v>165</v>
      </c>
      <c r="H42" s="461">
        <v>30</v>
      </c>
      <c r="I42" s="462">
        <v>0</v>
      </c>
      <c r="J42" s="462">
        <v>0</v>
      </c>
      <c r="K42" s="462">
        <v>0</v>
      </c>
      <c r="L42" s="462">
        <v>0</v>
      </c>
      <c r="M42" s="462">
        <v>0</v>
      </c>
      <c r="N42" s="463">
        <v>0</v>
      </c>
      <c r="O42" s="464">
        <v>1</v>
      </c>
      <c r="P42" s="463">
        <v>0</v>
      </c>
      <c r="Q42" s="464">
        <v>1</v>
      </c>
      <c r="R42" s="465">
        <v>0</v>
      </c>
      <c r="S42" s="173">
        <f t="shared" si="3"/>
        <v>18</v>
      </c>
      <c r="AI42"/>
      <c r="AT42" s="176" t="str">
        <f>VLOOKUP($E42,RESOURCES!$C:$E,3,FALSE)</f>
        <v>Legacy Product Maintenance</v>
      </c>
      <c r="AU42" s="176" t="str">
        <f t="shared" si="2"/>
        <v>TAGUILASO, DARYL B.</v>
      </c>
    </row>
    <row r="43" spans="1:47">
      <c r="A43" s="624" t="s">
        <v>663</v>
      </c>
      <c r="B43" s="624" t="s">
        <v>664</v>
      </c>
      <c r="C43" s="2" t="s">
        <v>665</v>
      </c>
      <c r="D43" s="460" t="s">
        <v>224</v>
      </c>
      <c r="E43" s="461">
        <v>10072460</v>
      </c>
      <c r="F43" s="461">
        <v>22</v>
      </c>
      <c r="G43" s="461">
        <v>165</v>
      </c>
      <c r="H43" s="461">
        <v>37.5</v>
      </c>
      <c r="I43" s="462">
        <v>15</v>
      </c>
      <c r="J43" s="462">
        <v>0.05</v>
      </c>
      <c r="K43" s="462">
        <v>0</v>
      </c>
      <c r="L43" s="462">
        <v>0</v>
      </c>
      <c r="M43" s="462">
        <v>15.05</v>
      </c>
      <c r="N43" s="463">
        <v>9.1212121212121217E-2</v>
      </c>
      <c r="O43" s="464">
        <v>0.9087878787878787</v>
      </c>
      <c r="P43" s="463">
        <v>9.0909090909090912E-2</v>
      </c>
      <c r="Q43" s="464">
        <v>0.90909090909090906</v>
      </c>
      <c r="R43" s="465">
        <v>0</v>
      </c>
      <c r="S43" s="173">
        <f t="shared" si="3"/>
        <v>17</v>
      </c>
      <c r="AI43"/>
      <c r="AT43" s="176" t="str">
        <f>VLOOKUP($E43,RESOURCES!$C:$E,3,FALSE)</f>
        <v>Web Designer</v>
      </c>
      <c r="AU43" s="176" t="str">
        <f t="shared" si="2"/>
        <v>TAGUILASO, DARYL B.</v>
      </c>
    </row>
    <row r="44" spans="1:47">
      <c r="A44" s="624" t="s">
        <v>663</v>
      </c>
      <c r="B44" s="624" t="s">
        <v>669</v>
      </c>
      <c r="C44" s="2" t="s">
        <v>673</v>
      </c>
      <c r="D44" s="460" t="s">
        <v>233</v>
      </c>
      <c r="E44" s="461">
        <v>10072032</v>
      </c>
      <c r="F44" s="461">
        <v>22</v>
      </c>
      <c r="G44" s="461">
        <v>165</v>
      </c>
      <c r="H44" s="461">
        <v>45</v>
      </c>
      <c r="I44" s="462">
        <v>0</v>
      </c>
      <c r="J44" s="462">
        <v>1.2666666666666666</v>
      </c>
      <c r="K44" s="462">
        <v>0</v>
      </c>
      <c r="L44" s="462">
        <v>0</v>
      </c>
      <c r="M44" s="462">
        <v>1.2666666666666666</v>
      </c>
      <c r="N44" s="463">
        <v>7.6767676767676768E-3</v>
      </c>
      <c r="O44" s="464">
        <v>0.99232323232323227</v>
      </c>
      <c r="P44" s="463">
        <v>0</v>
      </c>
      <c r="Q44" s="464">
        <v>1</v>
      </c>
      <c r="R44" s="465">
        <v>1</v>
      </c>
      <c r="S44" s="173">
        <f t="shared" si="3"/>
        <v>16</v>
      </c>
      <c r="AI44"/>
      <c r="AT44" s="176" t="str">
        <f>VLOOKUP($E44,RESOURCES!$C:$E,3,FALSE)</f>
        <v>Internal Mods (PSI)</v>
      </c>
      <c r="AU44" s="176" t="str">
        <f t="shared" si="2"/>
        <v>PASQUIN, RYAN E.</v>
      </c>
    </row>
    <row r="45" spans="1:47">
      <c r="A45" s="624" t="s">
        <v>663</v>
      </c>
      <c r="B45" s="624" t="s">
        <v>664</v>
      </c>
      <c r="C45" s="2" t="s">
        <v>665</v>
      </c>
      <c r="D45" s="460" t="s">
        <v>213</v>
      </c>
      <c r="E45" s="461">
        <v>10071423</v>
      </c>
      <c r="F45" s="461">
        <v>22</v>
      </c>
      <c r="G45" s="461">
        <v>165</v>
      </c>
      <c r="H45" s="461">
        <v>37.5</v>
      </c>
      <c r="I45" s="462">
        <v>0</v>
      </c>
      <c r="J45" s="462">
        <v>0</v>
      </c>
      <c r="K45" s="462">
        <v>0</v>
      </c>
      <c r="L45" s="462">
        <v>0</v>
      </c>
      <c r="M45" s="462">
        <v>0</v>
      </c>
      <c r="N45" s="463">
        <v>0</v>
      </c>
      <c r="O45" s="464">
        <v>1</v>
      </c>
      <c r="P45" s="463">
        <v>0</v>
      </c>
      <c r="Q45" s="464">
        <v>1</v>
      </c>
      <c r="R45" s="465">
        <v>0</v>
      </c>
      <c r="S45" s="173">
        <f t="shared" si="3"/>
        <v>17</v>
      </c>
      <c r="AI45"/>
      <c r="AT45" s="176" t="str">
        <f>VLOOKUP($E45,RESOURCES!$C:$E,3,FALSE)</f>
        <v>Web Designer</v>
      </c>
      <c r="AU45" s="176" t="str">
        <f t="shared" si="2"/>
        <v>TAGUILASO, DARYL B.</v>
      </c>
    </row>
    <row r="46" spans="1:47">
      <c r="A46" s="624" t="s">
        <v>663</v>
      </c>
      <c r="B46" s="624" t="s">
        <v>679</v>
      </c>
      <c r="C46" s="2" t="s">
        <v>665</v>
      </c>
      <c r="D46" s="460" t="s">
        <v>168</v>
      </c>
      <c r="E46" s="461">
        <v>10072177</v>
      </c>
      <c r="F46" s="461">
        <v>22</v>
      </c>
      <c r="G46" s="461">
        <v>165</v>
      </c>
      <c r="H46" s="461">
        <v>30</v>
      </c>
      <c r="I46" s="462">
        <v>0</v>
      </c>
      <c r="J46" s="462">
        <v>0</v>
      </c>
      <c r="K46" s="462">
        <v>0</v>
      </c>
      <c r="L46" s="462">
        <v>0</v>
      </c>
      <c r="M46" s="462">
        <v>0</v>
      </c>
      <c r="N46" s="463">
        <v>0</v>
      </c>
      <c r="O46" s="464">
        <v>1</v>
      </c>
      <c r="P46" s="463">
        <v>0</v>
      </c>
      <c r="Q46" s="464">
        <v>1</v>
      </c>
      <c r="R46" s="465">
        <v>0</v>
      </c>
      <c r="S46" s="173">
        <f t="shared" si="3"/>
        <v>18</v>
      </c>
      <c r="AI46"/>
      <c r="AT46" s="176" t="str">
        <f>VLOOKUP($E46,RESOURCES!$C:$E,3,FALSE)</f>
        <v>Web Designer</v>
      </c>
      <c r="AU46" s="176" t="str">
        <f t="shared" si="2"/>
        <v>TAGUILASO, DARYL B.</v>
      </c>
    </row>
    <row r="47" spans="1:47">
      <c r="A47" s="624" t="s">
        <v>663</v>
      </c>
      <c r="B47" s="624" t="s">
        <v>676</v>
      </c>
      <c r="C47" s="2" t="s">
        <v>673</v>
      </c>
      <c r="D47" s="460" t="s">
        <v>685</v>
      </c>
      <c r="E47" s="461">
        <v>10071902</v>
      </c>
      <c r="F47" s="461">
        <v>22</v>
      </c>
      <c r="G47" s="461">
        <v>165</v>
      </c>
      <c r="H47" s="461">
        <v>45</v>
      </c>
      <c r="I47" s="462">
        <v>0</v>
      </c>
      <c r="J47" s="462">
        <v>0</v>
      </c>
      <c r="K47" s="462">
        <v>0</v>
      </c>
      <c r="L47" s="462">
        <v>0</v>
      </c>
      <c r="M47" s="462">
        <v>0</v>
      </c>
      <c r="N47" s="463">
        <v>0</v>
      </c>
      <c r="O47" s="464">
        <v>1</v>
      </c>
      <c r="P47" s="463">
        <v>0</v>
      </c>
      <c r="Q47" s="464">
        <v>1</v>
      </c>
      <c r="R47" s="465">
        <v>0</v>
      </c>
      <c r="S47" s="173">
        <f t="shared" si="3"/>
        <v>16</v>
      </c>
      <c r="AI47"/>
      <c r="AT47" s="176" t="str">
        <f>VLOOKUP($E47,RESOURCES!$C:$E,3,FALSE)</f>
        <v>Voice QA</v>
      </c>
      <c r="AU47" s="176" t="str">
        <f t="shared" si="2"/>
        <v>PASQUIN, RYAN E.</v>
      </c>
    </row>
    <row r="48" spans="1:47">
      <c r="A48" s="624" t="s">
        <v>663</v>
      </c>
      <c r="B48" s="624" t="s">
        <v>668</v>
      </c>
      <c r="C48" s="2" t="s">
        <v>14</v>
      </c>
      <c r="D48" s="460" t="s">
        <v>153</v>
      </c>
      <c r="E48" s="461">
        <v>10072451</v>
      </c>
      <c r="F48" s="461">
        <v>22</v>
      </c>
      <c r="G48" s="461">
        <v>165</v>
      </c>
      <c r="H48" s="461">
        <v>45</v>
      </c>
      <c r="I48" s="462">
        <v>0</v>
      </c>
      <c r="J48" s="462">
        <v>0</v>
      </c>
      <c r="K48" s="462">
        <v>0</v>
      </c>
      <c r="L48" s="462">
        <v>0</v>
      </c>
      <c r="M48" s="462">
        <v>0</v>
      </c>
      <c r="N48" s="463">
        <v>0</v>
      </c>
      <c r="O48" s="464">
        <v>1</v>
      </c>
      <c r="P48" s="463">
        <v>0</v>
      </c>
      <c r="Q48" s="464">
        <v>1</v>
      </c>
      <c r="R48" s="465">
        <v>0</v>
      </c>
      <c r="S48" s="173">
        <f t="shared" si="3"/>
        <v>16</v>
      </c>
      <c r="AT48" s="176" t="str">
        <f>VLOOKUP($E48,RESOURCES!$C:$E,3,FALSE)</f>
        <v>Web Designer</v>
      </c>
      <c r="AU48" s="176" t="str">
        <f t="shared" si="2"/>
        <v>-</v>
      </c>
    </row>
    <row r="49" spans="1:47">
      <c r="A49" s="624" t="s">
        <v>663</v>
      </c>
      <c r="B49" s="624" t="s">
        <v>675</v>
      </c>
      <c r="C49" s="2" t="s">
        <v>673</v>
      </c>
      <c r="D49" s="460" t="s">
        <v>127</v>
      </c>
      <c r="E49" s="461">
        <v>10072207</v>
      </c>
      <c r="F49" s="461">
        <v>22</v>
      </c>
      <c r="G49" s="461">
        <v>165</v>
      </c>
      <c r="H49" s="461">
        <v>37.5</v>
      </c>
      <c r="I49" s="462">
        <v>0</v>
      </c>
      <c r="J49" s="462">
        <v>0</v>
      </c>
      <c r="K49" s="462">
        <v>0</v>
      </c>
      <c r="L49" s="462">
        <v>0</v>
      </c>
      <c r="M49" s="462">
        <v>0</v>
      </c>
      <c r="N49" s="463">
        <v>0</v>
      </c>
      <c r="O49" s="464">
        <v>1</v>
      </c>
      <c r="P49" s="463">
        <v>0</v>
      </c>
      <c r="Q49" s="464">
        <v>1</v>
      </c>
      <c r="R49" s="465">
        <v>0</v>
      </c>
      <c r="S49" s="173">
        <f t="shared" si="3"/>
        <v>17</v>
      </c>
      <c r="AT49" s="176" t="str">
        <f>VLOOKUP($E49,RESOURCES!$C:$E,3,FALSE)</f>
        <v>Internal Mods (PSI)</v>
      </c>
      <c r="AU49" s="176" t="str">
        <f t="shared" si="2"/>
        <v>PASQUIN, RYAN E.</v>
      </c>
    </row>
    <row r="50" spans="1:47">
      <c r="A50" s="624" t="s">
        <v>663</v>
      </c>
      <c r="B50" s="624" t="s">
        <v>674</v>
      </c>
      <c r="C50" s="2" t="s">
        <v>14</v>
      </c>
      <c r="D50" s="460" t="s">
        <v>93</v>
      </c>
      <c r="E50" s="461">
        <v>10071594</v>
      </c>
      <c r="F50" s="461">
        <v>22</v>
      </c>
      <c r="G50" s="461">
        <v>165</v>
      </c>
      <c r="H50" s="461">
        <v>37.5</v>
      </c>
      <c r="I50" s="462">
        <v>7.5</v>
      </c>
      <c r="J50" s="462">
        <v>0</v>
      </c>
      <c r="K50" s="462">
        <v>0</v>
      </c>
      <c r="L50" s="462">
        <v>1.6666666666666666E-2</v>
      </c>
      <c r="M50" s="462">
        <v>7.5166666666666666</v>
      </c>
      <c r="N50" s="463">
        <v>4.5555555555555557E-2</v>
      </c>
      <c r="O50" s="464">
        <v>0.95444444444444432</v>
      </c>
      <c r="P50" s="463">
        <v>4.5454545454545456E-2</v>
      </c>
      <c r="Q50" s="464">
        <v>0.95454545454545459</v>
      </c>
      <c r="R50" s="465">
        <v>0</v>
      </c>
      <c r="S50" s="173">
        <f t="shared" si="3"/>
        <v>17</v>
      </c>
      <c r="AT50" s="176" t="str">
        <f>VLOOKUP($E50,RESOURCES!$C:$E,3,FALSE)</f>
        <v>Web Designer</v>
      </c>
      <c r="AU50" s="176" t="str">
        <f t="shared" si="2"/>
        <v>-</v>
      </c>
    </row>
    <row r="51" spans="1:47">
      <c r="A51" s="624" t="s">
        <v>663</v>
      </c>
      <c r="B51" s="624" t="s">
        <v>675</v>
      </c>
      <c r="C51" s="2" t="s">
        <v>673</v>
      </c>
      <c r="D51" s="460" t="s">
        <v>128</v>
      </c>
      <c r="E51" s="461">
        <v>10071198</v>
      </c>
      <c r="F51" s="461">
        <v>21</v>
      </c>
      <c r="G51" s="461">
        <v>157.5</v>
      </c>
      <c r="H51" s="461">
        <v>22.5</v>
      </c>
      <c r="I51" s="462">
        <v>0</v>
      </c>
      <c r="J51" s="462">
        <v>0</v>
      </c>
      <c r="K51" s="462">
        <v>0</v>
      </c>
      <c r="L51" s="462">
        <v>0</v>
      </c>
      <c r="M51" s="462">
        <v>0</v>
      </c>
      <c r="N51" s="463">
        <v>0</v>
      </c>
      <c r="O51" s="464">
        <v>1</v>
      </c>
      <c r="P51" s="463">
        <v>0</v>
      </c>
      <c r="Q51" s="464">
        <v>1</v>
      </c>
      <c r="R51" s="465">
        <v>1.25</v>
      </c>
      <c r="S51" s="173">
        <f t="shared" si="3"/>
        <v>18</v>
      </c>
      <c r="AT51" s="176" t="str">
        <f>VLOOKUP($E51,RESOURCES!$C:$E,3,FALSE)</f>
        <v>Internal Mods (PSI)</v>
      </c>
      <c r="AU51" s="176" t="str">
        <f t="shared" si="2"/>
        <v>PASQUIN, RYAN E.</v>
      </c>
    </row>
    <row r="52" spans="1:47">
      <c r="A52" s="624" t="s">
        <v>663</v>
      </c>
      <c r="B52" s="624" t="s">
        <v>670</v>
      </c>
      <c r="C52" s="2" t="s">
        <v>665</v>
      </c>
      <c r="D52" s="460" t="s">
        <v>205</v>
      </c>
      <c r="E52" s="461">
        <v>10072444</v>
      </c>
      <c r="F52" s="461">
        <v>22</v>
      </c>
      <c r="G52" s="461">
        <v>165</v>
      </c>
      <c r="H52" s="461">
        <v>22.5</v>
      </c>
      <c r="I52" s="462">
        <v>7.5</v>
      </c>
      <c r="J52" s="462">
        <v>0</v>
      </c>
      <c r="K52" s="462">
        <v>0</v>
      </c>
      <c r="L52" s="462">
        <v>0</v>
      </c>
      <c r="M52" s="462">
        <v>7.5</v>
      </c>
      <c r="N52" s="463">
        <v>4.5454545454545456E-2</v>
      </c>
      <c r="O52" s="464">
        <v>0.95454545454545459</v>
      </c>
      <c r="P52" s="463">
        <v>4.5454545454545456E-2</v>
      </c>
      <c r="Q52" s="464">
        <v>0.95454545454545459</v>
      </c>
      <c r="R52" s="465">
        <v>0</v>
      </c>
      <c r="S52" s="173">
        <f t="shared" si="3"/>
        <v>19</v>
      </c>
      <c r="AT52" s="176" t="str">
        <f>VLOOKUP($E52,RESOURCES!$C:$E,3,FALSE)</f>
        <v>Web Designer</v>
      </c>
      <c r="AU52" s="176" t="str">
        <f t="shared" si="2"/>
        <v>TAGUILASO, DARYL B.</v>
      </c>
    </row>
    <row r="53" spans="1:47">
      <c r="A53" s="624" t="s">
        <v>663</v>
      </c>
      <c r="B53" s="624" t="s">
        <v>669</v>
      </c>
      <c r="C53" s="2" t="s">
        <v>673</v>
      </c>
      <c r="D53" s="460" t="s">
        <v>226</v>
      </c>
      <c r="E53" s="461">
        <v>10071908</v>
      </c>
      <c r="F53" s="461">
        <v>21</v>
      </c>
      <c r="G53" s="461">
        <v>157.5</v>
      </c>
      <c r="H53" s="461">
        <v>37.5</v>
      </c>
      <c r="I53" s="462">
        <v>0</v>
      </c>
      <c r="J53" s="462">
        <v>0</v>
      </c>
      <c r="K53" s="462">
        <v>0</v>
      </c>
      <c r="L53" s="462">
        <v>0</v>
      </c>
      <c r="M53" s="462">
        <v>0</v>
      </c>
      <c r="N53" s="463">
        <v>0</v>
      </c>
      <c r="O53" s="464">
        <v>1</v>
      </c>
      <c r="P53" s="463">
        <v>0</v>
      </c>
      <c r="Q53" s="464">
        <v>1</v>
      </c>
      <c r="R53" s="465">
        <v>0</v>
      </c>
      <c r="S53" s="173">
        <f t="shared" si="3"/>
        <v>16</v>
      </c>
      <c r="AT53" s="176" t="str">
        <f>VLOOKUP($E53,RESOURCES!$C:$E,3,FALSE)</f>
        <v>Internal Mods (PSI)</v>
      </c>
      <c r="AU53" s="176" t="str">
        <f t="shared" si="2"/>
        <v>PASQUIN, RYAN E.</v>
      </c>
    </row>
    <row r="54" spans="1:47">
      <c r="A54" s="624" t="s">
        <v>663</v>
      </c>
      <c r="B54" s="624" t="s">
        <v>669</v>
      </c>
      <c r="C54" s="2" t="s">
        <v>673</v>
      </c>
      <c r="D54" s="460" t="s">
        <v>234</v>
      </c>
      <c r="E54" s="461">
        <v>10071411</v>
      </c>
      <c r="F54" s="461">
        <v>22</v>
      </c>
      <c r="G54" s="461">
        <v>165</v>
      </c>
      <c r="H54" s="461">
        <v>22.5</v>
      </c>
      <c r="I54" s="462">
        <v>7.5</v>
      </c>
      <c r="J54" s="462">
        <v>0.65</v>
      </c>
      <c r="K54" s="462">
        <v>0</v>
      </c>
      <c r="L54" s="462">
        <v>0</v>
      </c>
      <c r="M54" s="462">
        <v>8.15</v>
      </c>
      <c r="N54" s="463">
        <v>4.9393939393939393E-2</v>
      </c>
      <c r="O54" s="464">
        <v>0.95060606060606057</v>
      </c>
      <c r="P54" s="463">
        <v>4.5454545454545456E-2</v>
      </c>
      <c r="Q54" s="464">
        <v>0.95454545454545459</v>
      </c>
      <c r="R54" s="465">
        <v>0</v>
      </c>
      <c r="S54" s="173">
        <f t="shared" si="3"/>
        <v>19</v>
      </c>
      <c r="AT54" s="176" t="str">
        <f>VLOOKUP($E54,RESOURCES!$C:$E,3,FALSE)</f>
        <v>Internal Mods (PSI)</v>
      </c>
      <c r="AU54" s="176" t="str">
        <f t="shared" si="2"/>
        <v>PASQUIN, RYAN E.</v>
      </c>
    </row>
    <row r="55" spans="1:47">
      <c r="A55" s="624" t="s">
        <v>663</v>
      </c>
      <c r="B55" s="624" t="s">
        <v>668</v>
      </c>
      <c r="C55" s="2" t="s">
        <v>14</v>
      </c>
      <c r="D55" s="460" t="s">
        <v>155</v>
      </c>
      <c r="E55" s="461">
        <v>10072241</v>
      </c>
      <c r="F55" s="461">
        <v>22</v>
      </c>
      <c r="G55" s="461">
        <v>165</v>
      </c>
      <c r="H55" s="461">
        <v>37.5</v>
      </c>
      <c r="I55" s="462">
        <v>7.5</v>
      </c>
      <c r="J55" s="462">
        <v>0.1</v>
      </c>
      <c r="K55" s="462">
        <v>0</v>
      </c>
      <c r="L55" s="462">
        <v>0</v>
      </c>
      <c r="M55" s="462">
        <v>7.6</v>
      </c>
      <c r="N55" s="463">
        <v>4.6060606060606059E-2</v>
      </c>
      <c r="O55" s="464">
        <v>0.95393939393939398</v>
      </c>
      <c r="P55" s="463">
        <v>4.5454545454545456E-2</v>
      </c>
      <c r="Q55" s="464">
        <v>0.95454545454545459</v>
      </c>
      <c r="R55" s="465">
        <v>0</v>
      </c>
      <c r="S55" s="173">
        <f t="shared" si="3"/>
        <v>17</v>
      </c>
      <c r="AT55" s="176" t="str">
        <f>VLOOKUP($E55,RESOURCES!$C:$E,3,FALSE)</f>
        <v>Web Designer</v>
      </c>
      <c r="AU55" s="176" t="str">
        <f t="shared" si="2"/>
        <v>-</v>
      </c>
    </row>
    <row r="56" spans="1:47">
      <c r="A56" s="624" t="s">
        <v>663</v>
      </c>
      <c r="B56" s="624" t="s">
        <v>680</v>
      </c>
      <c r="C56" s="2" t="s">
        <v>665</v>
      </c>
      <c r="D56" s="460" t="s">
        <v>189</v>
      </c>
      <c r="E56" s="461">
        <v>10071430</v>
      </c>
      <c r="F56" s="461">
        <v>22</v>
      </c>
      <c r="G56" s="461">
        <v>165</v>
      </c>
      <c r="H56" s="461">
        <v>22.5</v>
      </c>
      <c r="I56" s="462">
        <v>0</v>
      </c>
      <c r="J56" s="462">
        <v>0</v>
      </c>
      <c r="K56" s="462">
        <v>0</v>
      </c>
      <c r="L56" s="462">
        <v>0</v>
      </c>
      <c r="M56" s="462">
        <v>0</v>
      </c>
      <c r="N56" s="463">
        <v>0</v>
      </c>
      <c r="O56" s="464">
        <v>1</v>
      </c>
      <c r="P56" s="463">
        <v>0</v>
      </c>
      <c r="Q56" s="464">
        <v>1</v>
      </c>
      <c r="R56" s="465">
        <v>0</v>
      </c>
      <c r="S56" s="173">
        <f t="shared" si="3"/>
        <v>19</v>
      </c>
      <c r="AT56" s="176" t="str">
        <f>VLOOKUP($E56,RESOURCES!$C:$E,3,FALSE)</f>
        <v>Web Designer</v>
      </c>
      <c r="AU56" s="176" t="str">
        <f t="shared" si="2"/>
        <v>TAGUILASO, DARYL B.</v>
      </c>
    </row>
    <row r="57" spans="1:47">
      <c r="A57" s="624" t="s">
        <v>663</v>
      </c>
      <c r="B57" s="624" t="s">
        <v>664</v>
      </c>
      <c r="C57" s="2" t="s">
        <v>665</v>
      </c>
      <c r="D57" s="460" t="s">
        <v>215</v>
      </c>
      <c r="E57" s="461">
        <v>10071301</v>
      </c>
      <c r="F57" s="461">
        <v>22</v>
      </c>
      <c r="G57" s="461">
        <v>165</v>
      </c>
      <c r="H57" s="461">
        <v>37.5</v>
      </c>
      <c r="I57" s="462">
        <v>0</v>
      </c>
      <c r="J57" s="462">
        <v>0.31666666666666665</v>
      </c>
      <c r="K57" s="462">
        <v>4</v>
      </c>
      <c r="L57" s="462">
        <v>0</v>
      </c>
      <c r="M57" s="462">
        <v>4.3166666666666664</v>
      </c>
      <c r="N57" s="463">
        <v>2.616161616161616E-2</v>
      </c>
      <c r="O57" s="464">
        <v>0.97383838383838384</v>
      </c>
      <c r="P57" s="463">
        <v>0</v>
      </c>
      <c r="Q57" s="464">
        <v>1</v>
      </c>
      <c r="R57" s="465">
        <v>0</v>
      </c>
      <c r="S57" s="173">
        <f t="shared" si="3"/>
        <v>17</v>
      </c>
      <c r="AT57" s="176" t="str">
        <f>VLOOKUP($E57,RESOURCES!$C:$E,3,FALSE)</f>
        <v>Web Designer</v>
      </c>
      <c r="AU57" s="176" t="str">
        <f t="shared" si="2"/>
        <v>TAGUILASO, DARYL B.</v>
      </c>
    </row>
    <row r="58" spans="1:47">
      <c r="A58" s="624" t="s">
        <v>663</v>
      </c>
      <c r="B58" s="624" t="s">
        <v>671</v>
      </c>
      <c r="C58" s="2" t="s">
        <v>14</v>
      </c>
      <c r="D58" s="460" t="s">
        <v>141</v>
      </c>
      <c r="E58" s="461">
        <v>10071039</v>
      </c>
      <c r="F58" s="461">
        <v>22</v>
      </c>
      <c r="G58" s="461">
        <v>165</v>
      </c>
      <c r="H58" s="461">
        <v>30</v>
      </c>
      <c r="I58" s="462">
        <v>0</v>
      </c>
      <c r="J58" s="462">
        <v>0</v>
      </c>
      <c r="K58" s="462">
        <v>0</v>
      </c>
      <c r="L58" s="462">
        <v>0</v>
      </c>
      <c r="M58" s="462">
        <v>0</v>
      </c>
      <c r="N58" s="463">
        <v>0</v>
      </c>
      <c r="O58" s="464">
        <v>1</v>
      </c>
      <c r="P58" s="463">
        <v>0</v>
      </c>
      <c r="Q58" s="464">
        <v>1</v>
      </c>
      <c r="R58" s="465">
        <v>0</v>
      </c>
      <c r="S58" s="173">
        <f t="shared" si="3"/>
        <v>18</v>
      </c>
      <c r="AT58" s="176" t="str">
        <f>VLOOKUP($E58,RESOURCES!$C:$E,3,FALSE)</f>
        <v>Senior Web Designer</v>
      </c>
      <c r="AU58" s="176" t="str">
        <f t="shared" si="2"/>
        <v>-</v>
      </c>
    </row>
    <row r="59" spans="1:47">
      <c r="A59" s="624" t="s">
        <v>663</v>
      </c>
      <c r="B59" s="624" t="s">
        <v>674</v>
      </c>
      <c r="C59" s="2" t="s">
        <v>14</v>
      </c>
      <c r="D59" s="460" t="s">
        <v>82</v>
      </c>
      <c r="E59" s="461">
        <v>10071775</v>
      </c>
      <c r="F59" s="461">
        <v>22</v>
      </c>
      <c r="G59" s="461">
        <v>165</v>
      </c>
      <c r="H59" s="461">
        <v>45</v>
      </c>
      <c r="I59" s="462">
        <v>0</v>
      </c>
      <c r="J59" s="462">
        <v>0</v>
      </c>
      <c r="K59" s="462">
        <v>0</v>
      </c>
      <c r="L59" s="462">
        <v>0</v>
      </c>
      <c r="M59" s="462">
        <v>0</v>
      </c>
      <c r="N59" s="463">
        <v>0</v>
      </c>
      <c r="O59" s="464">
        <v>1</v>
      </c>
      <c r="P59" s="463">
        <v>0</v>
      </c>
      <c r="Q59" s="464">
        <v>1</v>
      </c>
      <c r="R59" s="465">
        <v>0</v>
      </c>
      <c r="S59" s="173">
        <f t="shared" si="3"/>
        <v>16</v>
      </c>
      <c r="AT59" s="176" t="str">
        <f>VLOOKUP($E59,RESOURCES!$C:$E,3,FALSE)</f>
        <v>Web Designer</v>
      </c>
      <c r="AU59" s="176" t="str">
        <f t="shared" si="2"/>
        <v>-</v>
      </c>
    </row>
    <row r="60" spans="1:47">
      <c r="A60" s="624" t="s">
        <v>663</v>
      </c>
      <c r="B60" s="624" t="s">
        <v>674</v>
      </c>
      <c r="C60" s="2" t="s">
        <v>14</v>
      </c>
      <c r="D60" s="460" t="s">
        <v>102</v>
      </c>
      <c r="E60" s="461">
        <v>10072063</v>
      </c>
      <c r="F60" s="461">
        <v>22</v>
      </c>
      <c r="G60" s="461">
        <v>165</v>
      </c>
      <c r="H60" s="461">
        <v>22.5</v>
      </c>
      <c r="I60" s="462">
        <v>7.5</v>
      </c>
      <c r="J60" s="462">
        <v>0.21666666666666667</v>
      </c>
      <c r="K60" s="462">
        <v>0</v>
      </c>
      <c r="L60" s="462">
        <v>0</v>
      </c>
      <c r="M60" s="462">
        <v>7.7166666666666668</v>
      </c>
      <c r="N60" s="463">
        <v>4.676767676767677E-2</v>
      </c>
      <c r="O60" s="464">
        <v>0.95323232323232321</v>
      </c>
      <c r="P60" s="463">
        <v>4.5454545454545456E-2</v>
      </c>
      <c r="Q60" s="464">
        <v>0.95454545454545459</v>
      </c>
      <c r="R60" s="465">
        <v>0</v>
      </c>
      <c r="S60" s="173">
        <f t="shared" si="3"/>
        <v>19</v>
      </c>
      <c r="AT60" s="176" t="str">
        <f>VLOOKUP($E60,RESOURCES!$C:$E,3,FALSE)</f>
        <v>Web Designer</v>
      </c>
      <c r="AU60" s="176" t="str">
        <f t="shared" si="2"/>
        <v>-</v>
      </c>
    </row>
    <row r="61" spans="1:47">
      <c r="A61" s="624" t="s">
        <v>663</v>
      </c>
      <c r="B61" s="624" t="s">
        <v>679</v>
      </c>
      <c r="C61" s="2" t="s">
        <v>665</v>
      </c>
      <c r="D61" s="460" t="s">
        <v>184</v>
      </c>
      <c r="E61" s="461">
        <v>10072076</v>
      </c>
      <c r="F61" s="461">
        <v>22</v>
      </c>
      <c r="G61" s="461">
        <v>165</v>
      </c>
      <c r="H61" s="461">
        <v>37.5</v>
      </c>
      <c r="I61" s="462">
        <v>0</v>
      </c>
      <c r="J61" s="462">
        <v>0</v>
      </c>
      <c r="K61" s="462">
        <v>0</v>
      </c>
      <c r="L61" s="462">
        <v>0</v>
      </c>
      <c r="M61" s="462">
        <v>0</v>
      </c>
      <c r="N61" s="463">
        <v>0</v>
      </c>
      <c r="O61" s="464">
        <v>1</v>
      </c>
      <c r="P61" s="463">
        <v>0</v>
      </c>
      <c r="Q61" s="464">
        <v>1</v>
      </c>
      <c r="R61" s="465">
        <v>0</v>
      </c>
      <c r="S61" s="173">
        <f t="shared" si="3"/>
        <v>17</v>
      </c>
      <c r="AT61" s="176" t="str">
        <f>VLOOKUP($E61,RESOURCES!$C:$E,3,FALSE)</f>
        <v>Web Designer</v>
      </c>
      <c r="AU61" s="176" t="str">
        <f t="shared" si="2"/>
        <v>TAGUILASO, DARYL B.</v>
      </c>
    </row>
    <row r="62" spans="1:47">
      <c r="A62" s="624" t="s">
        <v>663</v>
      </c>
      <c r="B62" s="624" t="s">
        <v>675</v>
      </c>
      <c r="C62" s="2" t="s">
        <v>673</v>
      </c>
      <c r="D62" s="460" t="s">
        <v>129</v>
      </c>
      <c r="E62" s="461">
        <v>10072040</v>
      </c>
      <c r="F62" s="461">
        <v>22</v>
      </c>
      <c r="G62" s="461">
        <v>165</v>
      </c>
      <c r="H62" s="461">
        <v>60</v>
      </c>
      <c r="I62" s="462">
        <v>15</v>
      </c>
      <c r="J62" s="462">
        <v>0.1</v>
      </c>
      <c r="K62" s="462">
        <v>0</v>
      </c>
      <c r="L62" s="462">
        <v>0</v>
      </c>
      <c r="M62" s="462">
        <v>15.1</v>
      </c>
      <c r="N62" s="463">
        <v>9.1515151515151508E-2</v>
      </c>
      <c r="O62" s="464">
        <v>0.90848484848484856</v>
      </c>
      <c r="P62" s="463">
        <v>9.0909090909090912E-2</v>
      </c>
      <c r="Q62" s="464">
        <v>0.90909090909090906</v>
      </c>
      <c r="R62" s="465">
        <v>0</v>
      </c>
      <c r="S62" s="173">
        <f t="shared" si="3"/>
        <v>14</v>
      </c>
      <c r="AT62" s="176" t="str">
        <f>VLOOKUP($E62,RESOURCES!$C:$E,3,FALSE)</f>
        <v>Internal Mods (PSI)</v>
      </c>
      <c r="AU62" s="176" t="str">
        <f t="shared" si="2"/>
        <v>PASQUIN, RYAN E.</v>
      </c>
    </row>
    <row r="63" spans="1:47">
      <c r="A63" s="624" t="s">
        <v>663</v>
      </c>
      <c r="B63" s="624" t="s">
        <v>14</v>
      </c>
      <c r="C63" s="2" t="s">
        <v>665</v>
      </c>
      <c r="D63" s="460" t="s">
        <v>679</v>
      </c>
      <c r="E63" s="461">
        <v>10072072</v>
      </c>
      <c r="F63" s="461">
        <v>22</v>
      </c>
      <c r="G63" s="461">
        <v>165</v>
      </c>
      <c r="H63" s="461">
        <v>52.5</v>
      </c>
      <c r="I63" s="462">
        <v>0</v>
      </c>
      <c r="J63" s="462">
        <v>0</v>
      </c>
      <c r="K63" s="462">
        <v>0</v>
      </c>
      <c r="L63" s="462">
        <v>0</v>
      </c>
      <c r="M63" s="462">
        <v>0</v>
      </c>
      <c r="N63" s="463">
        <v>0</v>
      </c>
      <c r="O63" s="464">
        <v>1</v>
      </c>
      <c r="P63" s="463">
        <v>0</v>
      </c>
      <c r="Q63" s="464">
        <v>1</v>
      </c>
      <c r="R63" s="465">
        <v>0</v>
      </c>
      <c r="S63" s="173">
        <f t="shared" si="3"/>
        <v>15</v>
      </c>
      <c r="AT63" s="176" t="e">
        <f>VLOOKUP($E63,RESOURCES!$C:$E,3,FALSE)</f>
        <v>#N/A</v>
      </c>
      <c r="AU63" s="176" t="str">
        <f t="shared" si="2"/>
        <v>TAGUILASO, DARYL B.</v>
      </c>
    </row>
    <row r="64" spans="1:47">
      <c r="A64" s="624" t="s">
        <v>663</v>
      </c>
      <c r="B64" s="624" t="s">
        <v>674</v>
      </c>
      <c r="C64" s="2" t="s">
        <v>14</v>
      </c>
      <c r="D64" s="460" t="s">
        <v>100</v>
      </c>
      <c r="E64" s="461">
        <v>10072031</v>
      </c>
      <c r="F64" s="461">
        <v>22</v>
      </c>
      <c r="G64" s="461">
        <v>165</v>
      </c>
      <c r="H64" s="461">
        <v>22.5</v>
      </c>
      <c r="I64" s="462">
        <v>0</v>
      </c>
      <c r="J64" s="462">
        <v>0.11666666666666667</v>
      </c>
      <c r="K64" s="462">
        <v>0</v>
      </c>
      <c r="L64" s="462">
        <v>0.05</v>
      </c>
      <c r="M64" s="462">
        <v>0.16666666666666669</v>
      </c>
      <c r="N64" s="463">
        <v>1.0101010101010103E-3</v>
      </c>
      <c r="O64" s="464">
        <v>0.99898989898989909</v>
      </c>
      <c r="P64" s="463">
        <v>0</v>
      </c>
      <c r="Q64" s="464">
        <v>1</v>
      </c>
      <c r="R64" s="465">
        <v>0</v>
      </c>
      <c r="S64" s="173">
        <f t="shared" si="3"/>
        <v>19</v>
      </c>
      <c r="AT64" s="176" t="str">
        <f>VLOOKUP($E64,RESOURCES!$C:$E,3,FALSE)</f>
        <v>Web Designer</v>
      </c>
      <c r="AU64" s="176" t="str">
        <f t="shared" si="2"/>
        <v>-</v>
      </c>
    </row>
    <row r="65" spans="1:47">
      <c r="A65" s="624" t="s">
        <v>663</v>
      </c>
      <c r="B65" s="624" t="s">
        <v>671</v>
      </c>
      <c r="C65" s="2" t="s">
        <v>14</v>
      </c>
      <c r="D65" s="460" t="s">
        <v>143</v>
      </c>
      <c r="E65" s="461">
        <v>10071261</v>
      </c>
      <c r="F65" s="461">
        <v>22</v>
      </c>
      <c r="G65" s="461">
        <v>165</v>
      </c>
      <c r="H65" s="461">
        <v>60</v>
      </c>
      <c r="I65" s="462">
        <v>0</v>
      </c>
      <c r="J65" s="462">
        <v>0.15</v>
      </c>
      <c r="K65" s="462">
        <v>0</v>
      </c>
      <c r="L65" s="462">
        <v>0</v>
      </c>
      <c r="M65" s="462">
        <v>0.15</v>
      </c>
      <c r="N65" s="463">
        <v>9.0909090909090909E-4</v>
      </c>
      <c r="O65" s="464">
        <v>0.99909090909090903</v>
      </c>
      <c r="P65" s="463">
        <v>0</v>
      </c>
      <c r="Q65" s="464">
        <v>1</v>
      </c>
      <c r="R65" s="465">
        <v>0</v>
      </c>
      <c r="S65" s="173">
        <f t="shared" si="3"/>
        <v>14</v>
      </c>
      <c r="AT65" s="176" t="str">
        <f>VLOOKUP($E65,RESOURCES!$C:$E,3,FALSE)</f>
        <v>Web Designer</v>
      </c>
      <c r="AU65" s="176" t="str">
        <f t="shared" si="2"/>
        <v>-</v>
      </c>
    </row>
    <row r="66" spans="1:47">
      <c r="A66" s="624" t="s">
        <v>663</v>
      </c>
      <c r="B66" s="624" t="s">
        <v>671</v>
      </c>
      <c r="C66" s="2" t="s">
        <v>14</v>
      </c>
      <c r="D66" s="460" t="s">
        <v>144</v>
      </c>
      <c r="E66" s="461">
        <v>10071751</v>
      </c>
      <c r="F66" s="461">
        <v>22</v>
      </c>
      <c r="G66" s="461">
        <v>165</v>
      </c>
      <c r="H66" s="461">
        <v>37.5</v>
      </c>
      <c r="I66" s="462">
        <v>0</v>
      </c>
      <c r="J66" s="462">
        <v>0.53333333333333333</v>
      </c>
      <c r="K66" s="462">
        <v>0</v>
      </c>
      <c r="L66" s="462">
        <v>0</v>
      </c>
      <c r="M66" s="462">
        <v>0.53333333333333333</v>
      </c>
      <c r="N66" s="463">
        <v>3.2323232323232323E-3</v>
      </c>
      <c r="O66" s="464">
        <v>0.99676767676767675</v>
      </c>
      <c r="P66" s="463">
        <v>0</v>
      </c>
      <c r="Q66" s="464">
        <v>1</v>
      </c>
      <c r="R66" s="465">
        <v>0</v>
      </c>
      <c r="S66" s="173">
        <f t="shared" si="3"/>
        <v>17</v>
      </c>
      <c r="AT66" s="176" t="str">
        <f>VLOOKUP($E66,RESOURCES!$C:$E,3,FALSE)</f>
        <v>Web Designer</v>
      </c>
      <c r="AU66" s="176" t="str">
        <f t="shared" si="2"/>
        <v>-</v>
      </c>
    </row>
    <row r="67" spans="1:47">
      <c r="A67" s="624" t="s">
        <v>663</v>
      </c>
      <c r="B67" s="624" t="s">
        <v>680</v>
      </c>
      <c r="C67" s="2" t="s">
        <v>665</v>
      </c>
      <c r="D67" s="460" t="s">
        <v>190</v>
      </c>
      <c r="E67" s="461">
        <v>10072202</v>
      </c>
      <c r="F67" s="461">
        <v>22</v>
      </c>
      <c r="G67" s="461">
        <v>165</v>
      </c>
      <c r="H67" s="461">
        <v>52.5</v>
      </c>
      <c r="I67" s="462">
        <v>15</v>
      </c>
      <c r="J67" s="462">
        <v>0</v>
      </c>
      <c r="K67" s="462">
        <v>0</v>
      </c>
      <c r="L67" s="462">
        <v>0</v>
      </c>
      <c r="M67" s="462">
        <v>15</v>
      </c>
      <c r="N67" s="463">
        <v>9.0909090909090912E-2</v>
      </c>
      <c r="O67" s="464">
        <v>0.90909090909090906</v>
      </c>
      <c r="P67" s="463">
        <v>9.0909090909090912E-2</v>
      </c>
      <c r="Q67" s="464">
        <v>0.90909090909090906</v>
      </c>
      <c r="R67" s="465">
        <v>0</v>
      </c>
      <c r="S67" s="173">
        <f t="shared" si="3"/>
        <v>15</v>
      </c>
      <c r="AT67" s="176" t="str">
        <f>VLOOKUP($E67,RESOURCES!$C:$E,3,FALSE)</f>
        <v>Senior Web Designer</v>
      </c>
      <c r="AU67" s="176" t="str">
        <f t="shared" si="2"/>
        <v>TAGUILASO, DARYL B.</v>
      </c>
    </row>
    <row r="68" spans="1:47">
      <c r="A68" s="624" t="s">
        <v>663</v>
      </c>
      <c r="B68" s="624" t="s">
        <v>676</v>
      </c>
      <c r="C68" s="2" t="s">
        <v>673</v>
      </c>
      <c r="D68" s="460" t="s">
        <v>686</v>
      </c>
      <c r="E68" s="461">
        <v>10071190</v>
      </c>
      <c r="F68" s="461">
        <v>22</v>
      </c>
      <c r="G68" s="461">
        <v>165</v>
      </c>
      <c r="H68" s="461">
        <v>60</v>
      </c>
      <c r="I68" s="462">
        <v>7.5</v>
      </c>
      <c r="J68" s="462">
        <v>0</v>
      </c>
      <c r="K68" s="462">
        <v>0</v>
      </c>
      <c r="L68" s="462">
        <v>0</v>
      </c>
      <c r="M68" s="462">
        <v>7.5</v>
      </c>
      <c r="N68" s="463">
        <v>4.5454545454545456E-2</v>
      </c>
      <c r="O68" s="464">
        <v>0.95454545454545459</v>
      </c>
      <c r="P68" s="463">
        <v>4.5454545454545456E-2</v>
      </c>
      <c r="Q68" s="464">
        <v>0.95454545454545459</v>
      </c>
      <c r="R68" s="465">
        <v>0</v>
      </c>
      <c r="S68" s="173">
        <f t="shared" si="3"/>
        <v>14</v>
      </c>
      <c r="AT68" s="176" t="str">
        <f>VLOOKUP($E68,RESOURCES!$C:$E,3,FALSE)</f>
        <v>Voice QA</v>
      </c>
      <c r="AU68" s="176" t="str">
        <f t="shared" si="2"/>
        <v>PASQUIN, RYAN E.</v>
      </c>
    </row>
    <row r="69" spans="1:47">
      <c r="A69" s="624" t="s">
        <v>663</v>
      </c>
      <c r="B69" s="624" t="s">
        <v>672</v>
      </c>
      <c r="C69" s="2" t="s">
        <v>673</v>
      </c>
      <c r="D69" s="460" t="s">
        <v>108</v>
      </c>
      <c r="E69" s="461">
        <v>10072182</v>
      </c>
      <c r="F69" s="461">
        <v>22</v>
      </c>
      <c r="G69" s="461">
        <v>165</v>
      </c>
      <c r="H69" s="461">
        <v>37.5</v>
      </c>
      <c r="I69" s="462">
        <v>7.5</v>
      </c>
      <c r="J69" s="462">
        <v>0</v>
      </c>
      <c r="K69" s="462">
        <v>0</v>
      </c>
      <c r="L69" s="462">
        <v>0</v>
      </c>
      <c r="M69" s="462">
        <v>7.5</v>
      </c>
      <c r="N69" s="463">
        <v>4.5454545454545456E-2</v>
      </c>
      <c r="O69" s="464">
        <v>0.95454545454545459</v>
      </c>
      <c r="P69" s="463">
        <v>4.5454545454545456E-2</v>
      </c>
      <c r="Q69" s="464">
        <v>0.95454545454545459</v>
      </c>
      <c r="R69" s="465">
        <v>0</v>
      </c>
      <c r="S69" s="173">
        <f t="shared" si="3"/>
        <v>17</v>
      </c>
      <c r="AT69" s="176" t="str">
        <f>VLOOKUP($E69,RESOURCES!$C:$E,3,FALSE)</f>
        <v>Proofreader</v>
      </c>
      <c r="AU69" s="176" t="str">
        <f t="shared" ref="AU69:AU132" si="4">C69</f>
        <v>PASQUIN, RYAN E.</v>
      </c>
    </row>
    <row r="70" spans="1:47">
      <c r="A70" s="624" t="s">
        <v>663</v>
      </c>
      <c r="B70" s="624" t="s">
        <v>675</v>
      </c>
      <c r="C70" s="2" t="s">
        <v>673</v>
      </c>
      <c r="D70" s="460" t="s">
        <v>130</v>
      </c>
      <c r="E70" s="461">
        <v>10071199</v>
      </c>
      <c r="F70" s="461">
        <v>22</v>
      </c>
      <c r="G70" s="461">
        <v>165</v>
      </c>
      <c r="H70" s="461">
        <v>37.5</v>
      </c>
      <c r="I70" s="462">
        <v>0</v>
      </c>
      <c r="J70" s="462">
        <v>0.53333333333333344</v>
      </c>
      <c r="K70" s="462">
        <v>0</v>
      </c>
      <c r="L70" s="462">
        <v>0</v>
      </c>
      <c r="M70" s="462">
        <v>0.53333333333333344</v>
      </c>
      <c r="N70" s="463">
        <v>3.2323232323232328E-3</v>
      </c>
      <c r="O70" s="464">
        <v>0.99676767676767675</v>
      </c>
      <c r="P70" s="463">
        <v>0</v>
      </c>
      <c r="Q70" s="464">
        <v>1</v>
      </c>
      <c r="R70" s="465">
        <v>0.75</v>
      </c>
      <c r="S70" s="173">
        <f t="shared" si="3"/>
        <v>17</v>
      </c>
      <c r="AT70" s="176" t="str">
        <f>VLOOKUP($E70,RESOURCES!$C:$E,3,FALSE)</f>
        <v>Internal Mods (PSI)</v>
      </c>
      <c r="AU70" s="176" t="str">
        <f t="shared" si="4"/>
        <v>PASQUIN, RYAN E.</v>
      </c>
    </row>
    <row r="71" spans="1:47">
      <c r="A71" s="624" t="s">
        <v>663</v>
      </c>
      <c r="B71" s="624" t="s">
        <v>664</v>
      </c>
      <c r="C71" s="2" t="s">
        <v>665</v>
      </c>
      <c r="D71" s="460" t="s">
        <v>216</v>
      </c>
      <c r="E71" s="461">
        <v>10072245</v>
      </c>
      <c r="F71" s="461">
        <v>22</v>
      </c>
      <c r="G71" s="461">
        <v>165</v>
      </c>
      <c r="H71" s="461">
        <v>30</v>
      </c>
      <c r="I71" s="462">
        <v>0</v>
      </c>
      <c r="J71" s="462">
        <v>0</v>
      </c>
      <c r="K71" s="462">
        <v>0</v>
      </c>
      <c r="L71" s="462">
        <v>3.3333333333333333E-2</v>
      </c>
      <c r="M71" s="462">
        <v>3.3333333333333333E-2</v>
      </c>
      <c r="N71" s="463">
        <v>2.0202020202020202E-4</v>
      </c>
      <c r="O71" s="464">
        <v>0.9997979797979798</v>
      </c>
      <c r="P71" s="463">
        <v>0</v>
      </c>
      <c r="Q71" s="464">
        <v>1</v>
      </c>
      <c r="R71" s="465">
        <v>0</v>
      </c>
      <c r="S71" s="173">
        <f t="shared" si="3"/>
        <v>18</v>
      </c>
      <c r="AT71" s="176" t="str">
        <f>VLOOKUP($E71,RESOURCES!$C:$E,3,FALSE)</f>
        <v>Web Designer</v>
      </c>
      <c r="AU71" s="176" t="str">
        <f t="shared" si="4"/>
        <v>TAGUILASO, DARYL B.</v>
      </c>
    </row>
    <row r="72" spans="1:47">
      <c r="A72" s="624" t="s">
        <v>663</v>
      </c>
      <c r="B72" s="624" t="s">
        <v>670</v>
      </c>
      <c r="C72" s="2" t="s">
        <v>665</v>
      </c>
      <c r="D72" s="460" t="s">
        <v>201</v>
      </c>
      <c r="E72" s="461">
        <v>10072449</v>
      </c>
      <c r="F72" s="461">
        <v>22</v>
      </c>
      <c r="G72" s="461">
        <v>165</v>
      </c>
      <c r="H72" s="461">
        <v>30</v>
      </c>
      <c r="I72" s="462">
        <v>0</v>
      </c>
      <c r="J72" s="462">
        <v>0</v>
      </c>
      <c r="K72" s="462">
        <v>0</v>
      </c>
      <c r="L72" s="462">
        <v>0</v>
      </c>
      <c r="M72" s="462">
        <v>0</v>
      </c>
      <c r="N72" s="463">
        <v>0</v>
      </c>
      <c r="O72" s="464">
        <v>1</v>
      </c>
      <c r="P72" s="463">
        <v>0</v>
      </c>
      <c r="Q72" s="464">
        <v>1</v>
      </c>
      <c r="R72" s="465">
        <v>0</v>
      </c>
      <c r="S72" s="173">
        <f t="shared" si="3"/>
        <v>18</v>
      </c>
      <c r="AT72" s="176" t="str">
        <f>VLOOKUP($E72,RESOURCES!$C:$E,3,FALSE)</f>
        <v>Web Designer</v>
      </c>
      <c r="AU72" s="176" t="str">
        <f t="shared" si="4"/>
        <v>TAGUILASO, DARYL B.</v>
      </c>
    </row>
    <row r="73" spans="1:47">
      <c r="A73" s="624" t="s">
        <v>663</v>
      </c>
      <c r="B73" s="624" t="s">
        <v>672</v>
      </c>
      <c r="C73" s="2" t="s">
        <v>673</v>
      </c>
      <c r="D73" s="460" t="s">
        <v>109</v>
      </c>
      <c r="E73" s="461">
        <v>10072222</v>
      </c>
      <c r="F73" s="461">
        <v>22</v>
      </c>
      <c r="G73" s="461">
        <v>165</v>
      </c>
      <c r="H73" s="461">
        <v>45</v>
      </c>
      <c r="I73" s="462">
        <v>0</v>
      </c>
      <c r="J73" s="462">
        <v>0</v>
      </c>
      <c r="K73" s="462">
        <v>0</v>
      </c>
      <c r="L73" s="462">
        <v>0</v>
      </c>
      <c r="M73" s="462">
        <v>0</v>
      </c>
      <c r="N73" s="463">
        <v>0</v>
      </c>
      <c r="O73" s="464">
        <v>1</v>
      </c>
      <c r="P73" s="463">
        <v>0</v>
      </c>
      <c r="Q73" s="464">
        <v>1</v>
      </c>
      <c r="R73" s="465">
        <v>0</v>
      </c>
      <c r="S73" s="173">
        <f t="shared" si="3"/>
        <v>16</v>
      </c>
      <c r="AT73" s="176" t="str">
        <f>VLOOKUP($E73,RESOURCES!$C:$E,3,FALSE)</f>
        <v>Proofreader</v>
      </c>
      <c r="AU73" s="176" t="str">
        <f t="shared" si="4"/>
        <v>PASQUIN, RYAN E.</v>
      </c>
    </row>
    <row r="74" spans="1:47">
      <c r="A74" s="624" t="s">
        <v>663</v>
      </c>
      <c r="B74" s="624" t="s">
        <v>680</v>
      </c>
      <c r="C74" s="2" t="s">
        <v>665</v>
      </c>
      <c r="D74" s="460" t="s">
        <v>191</v>
      </c>
      <c r="E74" s="461">
        <v>10072205</v>
      </c>
      <c r="F74" s="461">
        <v>22</v>
      </c>
      <c r="G74" s="461">
        <v>165</v>
      </c>
      <c r="H74" s="461">
        <v>30</v>
      </c>
      <c r="I74" s="462">
        <v>0</v>
      </c>
      <c r="J74" s="462">
        <v>0</v>
      </c>
      <c r="K74" s="462">
        <v>0</v>
      </c>
      <c r="L74" s="462">
        <v>0</v>
      </c>
      <c r="M74" s="462">
        <v>0</v>
      </c>
      <c r="N74" s="463">
        <v>0</v>
      </c>
      <c r="O74" s="464">
        <v>1</v>
      </c>
      <c r="P74" s="463">
        <v>0</v>
      </c>
      <c r="Q74" s="464">
        <v>1</v>
      </c>
      <c r="R74" s="465">
        <v>0</v>
      </c>
      <c r="S74" s="173">
        <f t="shared" si="3"/>
        <v>18</v>
      </c>
      <c r="AT74" s="176" t="str">
        <f>VLOOKUP($E74,RESOURCES!$C:$E,3,FALSE)</f>
        <v>Web Designer</v>
      </c>
      <c r="AU74" s="176" t="str">
        <f t="shared" si="4"/>
        <v>TAGUILASO, DARYL B.</v>
      </c>
    </row>
    <row r="75" spans="1:47">
      <c r="A75" s="624" t="s">
        <v>663</v>
      </c>
      <c r="B75" s="624" t="s">
        <v>679</v>
      </c>
      <c r="C75" s="2" t="s">
        <v>665</v>
      </c>
      <c r="D75" s="460" t="s">
        <v>175</v>
      </c>
      <c r="E75" s="461">
        <v>10072453</v>
      </c>
      <c r="F75" s="461">
        <v>22</v>
      </c>
      <c r="G75" s="461">
        <v>165</v>
      </c>
      <c r="H75" s="461">
        <v>30</v>
      </c>
      <c r="I75" s="462">
        <v>0</v>
      </c>
      <c r="J75" s="462">
        <v>0</v>
      </c>
      <c r="K75" s="462">
        <v>0</v>
      </c>
      <c r="L75" s="462">
        <v>3.3333333333333333E-2</v>
      </c>
      <c r="M75" s="462">
        <v>3.3333333333333333E-2</v>
      </c>
      <c r="N75" s="463">
        <v>2.0202020202020202E-4</v>
      </c>
      <c r="O75" s="464">
        <v>0.9997979797979798</v>
      </c>
      <c r="P75" s="463">
        <v>0</v>
      </c>
      <c r="Q75" s="464">
        <v>1</v>
      </c>
      <c r="R75" s="465">
        <v>0</v>
      </c>
      <c r="S75" s="173">
        <f t="shared" si="3"/>
        <v>18</v>
      </c>
      <c r="AT75" s="176" t="str">
        <f>VLOOKUP($E75,RESOURCES!$C:$E,3,FALSE)</f>
        <v>Web Designer</v>
      </c>
      <c r="AU75" s="176" t="str">
        <f t="shared" si="4"/>
        <v>TAGUILASO, DARYL B.</v>
      </c>
    </row>
    <row r="76" spans="1:47">
      <c r="A76" s="624" t="s">
        <v>663</v>
      </c>
      <c r="B76" s="624" t="s">
        <v>671</v>
      </c>
      <c r="C76" s="2" t="s">
        <v>14</v>
      </c>
      <c r="D76" s="460" t="s">
        <v>145</v>
      </c>
      <c r="E76" s="461">
        <v>10072238</v>
      </c>
      <c r="F76" s="461">
        <v>22</v>
      </c>
      <c r="G76" s="461">
        <v>165</v>
      </c>
      <c r="H76" s="461">
        <v>52.5</v>
      </c>
      <c r="I76" s="462">
        <v>7.5</v>
      </c>
      <c r="J76" s="462">
        <v>0</v>
      </c>
      <c r="K76" s="462">
        <v>0</v>
      </c>
      <c r="L76" s="462">
        <v>0</v>
      </c>
      <c r="M76" s="462">
        <v>7.5</v>
      </c>
      <c r="N76" s="463">
        <v>4.5454545454545456E-2</v>
      </c>
      <c r="O76" s="464">
        <v>0.95454545454545459</v>
      </c>
      <c r="P76" s="463">
        <v>4.5454545454545456E-2</v>
      </c>
      <c r="Q76" s="464">
        <v>0.95454545454545459</v>
      </c>
      <c r="R76" s="465">
        <v>0</v>
      </c>
      <c r="S76" s="173">
        <f t="shared" si="3"/>
        <v>15</v>
      </c>
      <c r="AT76" s="176" t="str">
        <f>VLOOKUP($E76,RESOURCES!$C:$E,3,FALSE)</f>
        <v>Web Designer</v>
      </c>
      <c r="AU76" s="176" t="str">
        <f t="shared" si="4"/>
        <v>-</v>
      </c>
    </row>
    <row r="77" spans="1:47">
      <c r="A77" s="624" t="s">
        <v>663</v>
      </c>
      <c r="B77" s="624" t="s">
        <v>14</v>
      </c>
      <c r="C77" s="2" t="s">
        <v>14</v>
      </c>
      <c r="D77" s="460" t="s">
        <v>668</v>
      </c>
      <c r="E77" s="461">
        <v>10070715</v>
      </c>
      <c r="F77" s="461">
        <v>22</v>
      </c>
      <c r="G77" s="461">
        <v>165</v>
      </c>
      <c r="H77" s="461">
        <v>30</v>
      </c>
      <c r="I77" s="462">
        <v>7.5</v>
      </c>
      <c r="J77" s="462">
        <v>0</v>
      </c>
      <c r="K77" s="462">
        <v>0</v>
      </c>
      <c r="L77" s="462">
        <v>0</v>
      </c>
      <c r="M77" s="462">
        <v>7.5</v>
      </c>
      <c r="N77" s="463">
        <v>4.5454545454545456E-2</v>
      </c>
      <c r="O77" s="464">
        <v>0.95454545454545459</v>
      </c>
      <c r="P77" s="463">
        <v>4.5454545454545456E-2</v>
      </c>
      <c r="Q77" s="464">
        <v>0.95454545454545459</v>
      </c>
      <c r="R77" s="465">
        <v>0</v>
      </c>
      <c r="S77" s="173">
        <f t="shared" ref="S77:S140" si="5">F77-(H77/7.5)</f>
        <v>18</v>
      </c>
      <c r="AT77" s="176" t="e">
        <f>VLOOKUP($E77,RESOURCES!$C:$E,3,FALSE)</f>
        <v>#N/A</v>
      </c>
      <c r="AU77" s="176" t="str">
        <f t="shared" si="4"/>
        <v>-</v>
      </c>
    </row>
    <row r="78" spans="1:47">
      <c r="A78" s="624" t="s">
        <v>663</v>
      </c>
      <c r="B78" s="624" t="s">
        <v>664</v>
      </c>
      <c r="C78" s="2" t="s">
        <v>665</v>
      </c>
      <c r="D78" s="460" t="s">
        <v>217</v>
      </c>
      <c r="E78" s="461">
        <v>10072160</v>
      </c>
      <c r="F78" s="461">
        <v>22</v>
      </c>
      <c r="G78" s="461">
        <v>165</v>
      </c>
      <c r="H78" s="461">
        <v>37.5</v>
      </c>
      <c r="I78" s="462">
        <v>0</v>
      </c>
      <c r="J78" s="462">
        <v>0</v>
      </c>
      <c r="K78" s="462">
        <v>0</v>
      </c>
      <c r="L78" s="462">
        <v>0</v>
      </c>
      <c r="M78" s="462">
        <v>0</v>
      </c>
      <c r="N78" s="463">
        <v>0</v>
      </c>
      <c r="O78" s="464">
        <v>1</v>
      </c>
      <c r="P78" s="463">
        <v>0</v>
      </c>
      <c r="Q78" s="464">
        <v>1</v>
      </c>
      <c r="R78" s="465">
        <v>0</v>
      </c>
      <c r="S78" s="173">
        <f t="shared" si="5"/>
        <v>17</v>
      </c>
      <c r="AT78" s="176" t="str">
        <f>VLOOKUP($E78,RESOURCES!$C:$E,3,FALSE)</f>
        <v>Web Designer</v>
      </c>
      <c r="AU78" s="176" t="str">
        <f t="shared" si="4"/>
        <v>TAGUILASO, DARYL B.</v>
      </c>
    </row>
    <row r="79" spans="1:47">
      <c r="A79" s="624" t="s">
        <v>663</v>
      </c>
      <c r="B79" s="624" t="s">
        <v>680</v>
      </c>
      <c r="C79" s="2" t="s">
        <v>665</v>
      </c>
      <c r="D79" s="460" t="s">
        <v>192</v>
      </c>
      <c r="E79" s="461">
        <v>10072256</v>
      </c>
      <c r="F79" s="461">
        <v>22</v>
      </c>
      <c r="G79" s="461">
        <v>165</v>
      </c>
      <c r="H79" s="461">
        <v>60</v>
      </c>
      <c r="I79" s="462">
        <v>0</v>
      </c>
      <c r="J79" s="462">
        <v>0.05</v>
      </c>
      <c r="K79" s="462">
        <v>0</v>
      </c>
      <c r="L79" s="462">
        <v>0</v>
      </c>
      <c r="M79" s="462">
        <v>0.05</v>
      </c>
      <c r="N79" s="463">
        <v>3.0303030303030303E-4</v>
      </c>
      <c r="O79" s="464">
        <v>0.99969696969696964</v>
      </c>
      <c r="P79" s="463">
        <v>0</v>
      </c>
      <c r="Q79" s="464">
        <v>1</v>
      </c>
      <c r="R79" s="465">
        <v>0</v>
      </c>
      <c r="S79" s="173">
        <f t="shared" si="5"/>
        <v>14</v>
      </c>
      <c r="AT79" s="176" t="str">
        <f>VLOOKUP($E79,RESOURCES!$C:$E,3,FALSE)</f>
        <v>Web Designer</v>
      </c>
      <c r="AU79" s="176" t="str">
        <f t="shared" si="4"/>
        <v>TAGUILASO, DARYL B.</v>
      </c>
    </row>
    <row r="80" spans="1:47">
      <c r="A80" s="624" t="s">
        <v>663</v>
      </c>
      <c r="B80" s="624" t="s">
        <v>14</v>
      </c>
      <c r="C80" s="2" t="s">
        <v>14</v>
      </c>
      <c r="D80" s="460" t="s">
        <v>671</v>
      </c>
      <c r="E80" s="461">
        <v>10072502</v>
      </c>
      <c r="F80" s="461">
        <v>22</v>
      </c>
      <c r="G80" s="461">
        <v>165</v>
      </c>
      <c r="H80" s="461">
        <v>37.5</v>
      </c>
      <c r="I80" s="462">
        <v>0</v>
      </c>
      <c r="J80" s="462">
        <v>0</v>
      </c>
      <c r="K80" s="462">
        <v>0</v>
      </c>
      <c r="L80" s="462">
        <v>0</v>
      </c>
      <c r="M80" s="462">
        <v>0</v>
      </c>
      <c r="N80" s="463">
        <v>0</v>
      </c>
      <c r="O80" s="464">
        <v>1</v>
      </c>
      <c r="P80" s="463">
        <v>0</v>
      </c>
      <c r="Q80" s="464">
        <v>1</v>
      </c>
      <c r="R80" s="465">
        <v>0</v>
      </c>
      <c r="S80" s="173">
        <f t="shared" si="5"/>
        <v>17</v>
      </c>
      <c r="AT80" s="176" t="e">
        <f>VLOOKUP($E80,RESOURCES!$C:$E,3,FALSE)</f>
        <v>#N/A</v>
      </c>
      <c r="AU80" s="176" t="str">
        <f t="shared" si="4"/>
        <v>-</v>
      </c>
    </row>
    <row r="81" spans="1:47">
      <c r="A81" s="624" t="s">
        <v>663</v>
      </c>
      <c r="B81" s="624" t="s">
        <v>680</v>
      </c>
      <c r="C81" s="2" t="s">
        <v>665</v>
      </c>
      <c r="D81" s="460" t="s">
        <v>197</v>
      </c>
      <c r="E81" s="461">
        <v>10071432</v>
      </c>
      <c r="F81" s="461">
        <v>22</v>
      </c>
      <c r="G81" s="461">
        <v>165</v>
      </c>
      <c r="H81" s="461">
        <v>22.5</v>
      </c>
      <c r="I81" s="462">
        <v>0</v>
      </c>
      <c r="J81" s="462">
        <v>0.35</v>
      </c>
      <c r="K81" s="462">
        <v>0</v>
      </c>
      <c r="L81" s="462">
        <v>0</v>
      </c>
      <c r="M81" s="462">
        <v>0.35</v>
      </c>
      <c r="N81" s="463">
        <v>2.121212121212121E-3</v>
      </c>
      <c r="O81" s="464">
        <v>0.99787878787878792</v>
      </c>
      <c r="P81" s="463">
        <v>0</v>
      </c>
      <c r="Q81" s="464">
        <v>1</v>
      </c>
      <c r="R81" s="465">
        <v>0</v>
      </c>
      <c r="S81" s="173">
        <f t="shared" si="5"/>
        <v>19</v>
      </c>
      <c r="AT81" s="176" t="str">
        <f>VLOOKUP($E81,RESOURCES!$C:$E,3,FALSE)</f>
        <v>Senior Web Designer</v>
      </c>
      <c r="AU81" s="176" t="str">
        <f t="shared" si="4"/>
        <v>TAGUILASO, DARYL B.</v>
      </c>
    </row>
    <row r="82" spans="1:47">
      <c r="A82" s="624" t="s">
        <v>663</v>
      </c>
      <c r="B82" s="624" t="s">
        <v>671</v>
      </c>
      <c r="C82" s="2" t="s">
        <v>14</v>
      </c>
      <c r="D82" s="460" t="s">
        <v>148</v>
      </c>
      <c r="E82" s="461">
        <v>10072026</v>
      </c>
      <c r="F82" s="461">
        <v>22</v>
      </c>
      <c r="G82" s="461">
        <v>165</v>
      </c>
      <c r="H82" s="461">
        <v>22.5</v>
      </c>
      <c r="I82" s="462">
        <v>0</v>
      </c>
      <c r="J82" s="462">
        <v>0.5</v>
      </c>
      <c r="K82" s="462">
        <v>0</v>
      </c>
      <c r="L82" s="462">
        <v>0</v>
      </c>
      <c r="M82" s="462">
        <v>0.5</v>
      </c>
      <c r="N82" s="463">
        <v>3.0303030303030303E-3</v>
      </c>
      <c r="O82" s="464">
        <v>0.99696969696969695</v>
      </c>
      <c r="P82" s="463">
        <v>0</v>
      </c>
      <c r="Q82" s="464">
        <v>1</v>
      </c>
      <c r="R82" s="465">
        <v>0</v>
      </c>
      <c r="S82" s="173">
        <f t="shared" si="5"/>
        <v>19</v>
      </c>
      <c r="AT82" s="176" t="str">
        <f>VLOOKUP($E82,RESOURCES!$C:$E,3,FALSE)</f>
        <v>Web Designer</v>
      </c>
      <c r="AU82" s="176" t="str">
        <f t="shared" si="4"/>
        <v>-</v>
      </c>
    </row>
    <row r="83" spans="1:47">
      <c r="A83" s="624" t="s">
        <v>663</v>
      </c>
      <c r="B83" s="624" t="s">
        <v>668</v>
      </c>
      <c r="C83" s="2" t="s">
        <v>14</v>
      </c>
      <c r="D83" s="460" t="s">
        <v>156</v>
      </c>
      <c r="E83" s="461">
        <v>10072237</v>
      </c>
      <c r="F83" s="461">
        <v>22</v>
      </c>
      <c r="G83" s="461">
        <v>165</v>
      </c>
      <c r="H83" s="461">
        <v>37.5</v>
      </c>
      <c r="I83" s="462">
        <v>7.5</v>
      </c>
      <c r="J83" s="462">
        <v>0</v>
      </c>
      <c r="K83" s="462">
        <v>0</v>
      </c>
      <c r="L83" s="462">
        <v>0</v>
      </c>
      <c r="M83" s="462">
        <v>7.5</v>
      </c>
      <c r="N83" s="463">
        <v>4.5454545454545456E-2</v>
      </c>
      <c r="O83" s="464">
        <v>0.95454545454545459</v>
      </c>
      <c r="P83" s="463">
        <v>4.5454545454545456E-2</v>
      </c>
      <c r="Q83" s="464">
        <v>0.95454545454545459</v>
      </c>
      <c r="R83" s="465">
        <v>0</v>
      </c>
      <c r="S83" s="173">
        <f t="shared" si="5"/>
        <v>17</v>
      </c>
      <c r="AT83" s="176" t="str">
        <f>VLOOKUP($E83,RESOURCES!$C:$E,3,FALSE)</f>
        <v>Web Designer</v>
      </c>
      <c r="AU83" s="176" t="str">
        <f t="shared" si="4"/>
        <v>-</v>
      </c>
    </row>
    <row r="84" spans="1:47">
      <c r="A84" s="624" t="s">
        <v>663</v>
      </c>
      <c r="B84" s="624" t="s">
        <v>671</v>
      </c>
      <c r="C84" s="2" t="s">
        <v>14</v>
      </c>
      <c r="D84" s="460" t="s">
        <v>687</v>
      </c>
      <c r="E84" s="461">
        <v>10071847</v>
      </c>
      <c r="F84" s="461">
        <v>22</v>
      </c>
      <c r="G84" s="461">
        <v>165</v>
      </c>
      <c r="H84" s="461">
        <v>30</v>
      </c>
      <c r="I84" s="462">
        <v>0</v>
      </c>
      <c r="J84" s="462">
        <v>8.3333333333333329E-2</v>
      </c>
      <c r="K84" s="462">
        <v>0</v>
      </c>
      <c r="L84" s="462">
        <v>0</v>
      </c>
      <c r="M84" s="462">
        <v>8.3333333333333329E-2</v>
      </c>
      <c r="N84" s="463">
        <v>5.0505050505050505E-4</v>
      </c>
      <c r="O84" s="464">
        <v>0.99949494949494944</v>
      </c>
      <c r="P84" s="463">
        <v>0</v>
      </c>
      <c r="Q84" s="464">
        <v>1</v>
      </c>
      <c r="R84" s="465">
        <v>0</v>
      </c>
      <c r="S84" s="173">
        <f t="shared" si="5"/>
        <v>18</v>
      </c>
      <c r="AT84" s="176" t="e">
        <f>VLOOKUP($E84,RESOURCES!$C:$E,3,FALSE)</f>
        <v>#N/A</v>
      </c>
      <c r="AU84" s="176" t="str">
        <f t="shared" si="4"/>
        <v>-</v>
      </c>
    </row>
    <row r="85" spans="1:47">
      <c r="A85" s="624" t="s">
        <v>663</v>
      </c>
      <c r="B85" s="624" t="s">
        <v>14</v>
      </c>
      <c r="C85" s="2" t="s">
        <v>673</v>
      </c>
      <c r="D85" s="460" t="s">
        <v>688</v>
      </c>
      <c r="E85" s="461">
        <v>10072608</v>
      </c>
      <c r="F85" s="461">
        <v>22</v>
      </c>
      <c r="G85" s="461">
        <v>165</v>
      </c>
      <c r="H85" s="461">
        <v>52.5</v>
      </c>
      <c r="I85" s="462">
        <v>0</v>
      </c>
      <c r="J85" s="462">
        <v>0</v>
      </c>
      <c r="K85" s="462">
        <v>0</v>
      </c>
      <c r="L85" s="462">
        <v>0</v>
      </c>
      <c r="M85" s="462">
        <v>0</v>
      </c>
      <c r="N85" s="463">
        <v>0</v>
      </c>
      <c r="O85" s="464">
        <v>1</v>
      </c>
      <c r="P85" s="463">
        <v>0</v>
      </c>
      <c r="Q85" s="464">
        <v>1</v>
      </c>
      <c r="R85" s="465">
        <v>0</v>
      </c>
      <c r="S85" s="173">
        <f t="shared" si="5"/>
        <v>15</v>
      </c>
      <c r="AT85" s="176" t="e">
        <f>VLOOKUP($E85,RESOURCES!$C:$E,3,FALSE)</f>
        <v>#N/A</v>
      </c>
      <c r="AU85" s="176" t="str">
        <f t="shared" si="4"/>
        <v>PASQUIN, RYAN E.</v>
      </c>
    </row>
    <row r="86" spans="1:47">
      <c r="A86" s="624" t="s">
        <v>663</v>
      </c>
      <c r="B86" s="624" t="s">
        <v>672</v>
      </c>
      <c r="C86" s="2" t="s">
        <v>673</v>
      </c>
      <c r="D86" s="460" t="s">
        <v>110</v>
      </c>
      <c r="E86" s="461">
        <v>10072472</v>
      </c>
      <c r="F86" s="461">
        <v>22</v>
      </c>
      <c r="G86" s="461">
        <v>165</v>
      </c>
      <c r="H86" s="461">
        <v>60</v>
      </c>
      <c r="I86" s="462">
        <v>0</v>
      </c>
      <c r="J86" s="462">
        <v>0.46666666666666595</v>
      </c>
      <c r="K86" s="462">
        <v>0</v>
      </c>
      <c r="L86" s="462">
        <v>0</v>
      </c>
      <c r="M86" s="462">
        <v>0.46666666666666595</v>
      </c>
      <c r="N86" s="463">
        <v>2.8282828282828239E-3</v>
      </c>
      <c r="O86" s="464">
        <v>0.99717171717171715</v>
      </c>
      <c r="P86" s="463">
        <v>0</v>
      </c>
      <c r="Q86" s="464">
        <v>1</v>
      </c>
      <c r="R86" s="465">
        <v>0</v>
      </c>
      <c r="S86" s="173">
        <f t="shared" si="5"/>
        <v>14</v>
      </c>
      <c r="AT86" s="176" t="str">
        <f>VLOOKUP($E86,RESOURCES!$C:$E,3,FALSE)</f>
        <v>Proofreader</v>
      </c>
      <c r="AU86" s="176" t="str">
        <f t="shared" si="4"/>
        <v>PASQUIN, RYAN E.</v>
      </c>
    </row>
    <row r="87" spans="1:47">
      <c r="A87" s="624" t="s">
        <v>663</v>
      </c>
      <c r="B87" s="624" t="s">
        <v>680</v>
      </c>
      <c r="C87" s="2" t="s">
        <v>665</v>
      </c>
      <c r="D87" s="460" t="s">
        <v>193</v>
      </c>
      <c r="E87" s="461">
        <v>10071811</v>
      </c>
      <c r="F87" s="461">
        <v>22</v>
      </c>
      <c r="G87" s="461">
        <v>165</v>
      </c>
      <c r="H87" s="461">
        <v>75</v>
      </c>
      <c r="I87" s="462">
        <v>0</v>
      </c>
      <c r="J87" s="462">
        <v>1.6666666666666666E-2</v>
      </c>
      <c r="K87" s="462">
        <v>0</v>
      </c>
      <c r="L87" s="462">
        <v>0</v>
      </c>
      <c r="M87" s="462">
        <v>1.6666666666666666E-2</v>
      </c>
      <c r="N87" s="463">
        <v>1.0101010101010101E-4</v>
      </c>
      <c r="O87" s="464">
        <v>0.99989898989898984</v>
      </c>
      <c r="P87" s="463">
        <v>0</v>
      </c>
      <c r="Q87" s="464">
        <v>1</v>
      </c>
      <c r="R87" s="465">
        <v>0</v>
      </c>
      <c r="S87" s="173">
        <f t="shared" si="5"/>
        <v>12</v>
      </c>
      <c r="AT87" s="176" t="str">
        <f>VLOOKUP($E87,RESOURCES!$C:$E,3,FALSE)</f>
        <v>Web Designer</v>
      </c>
      <c r="AU87" s="176" t="str">
        <f t="shared" si="4"/>
        <v>TAGUILASO, DARYL B.</v>
      </c>
    </row>
    <row r="88" spans="1:47">
      <c r="A88" s="624" t="s">
        <v>663</v>
      </c>
      <c r="B88" s="624" t="s">
        <v>671</v>
      </c>
      <c r="C88" s="2" t="s">
        <v>14</v>
      </c>
      <c r="D88" s="460" t="s">
        <v>146</v>
      </c>
      <c r="E88" s="461">
        <v>10071275</v>
      </c>
      <c r="F88" s="461">
        <v>22</v>
      </c>
      <c r="G88" s="461">
        <v>165</v>
      </c>
      <c r="H88" s="461">
        <v>90</v>
      </c>
      <c r="I88" s="462">
        <v>7.5</v>
      </c>
      <c r="J88" s="462">
        <v>1.6666666666666666E-2</v>
      </c>
      <c r="K88" s="462">
        <v>0</v>
      </c>
      <c r="L88" s="462">
        <v>0</v>
      </c>
      <c r="M88" s="462">
        <v>7.5166666666666666</v>
      </c>
      <c r="N88" s="463">
        <v>4.5555555555555557E-2</v>
      </c>
      <c r="O88" s="464">
        <v>0.95444444444444432</v>
      </c>
      <c r="P88" s="463">
        <v>4.5454545454545456E-2</v>
      </c>
      <c r="Q88" s="464">
        <v>0.95454545454545459</v>
      </c>
      <c r="R88" s="465">
        <v>0</v>
      </c>
      <c r="S88" s="173">
        <f t="shared" si="5"/>
        <v>10</v>
      </c>
      <c r="AT88" s="176" t="str">
        <f>VLOOKUP($E88,RESOURCES!$C:$E,3,FALSE)</f>
        <v>Web Designer</v>
      </c>
      <c r="AU88" s="176" t="str">
        <f t="shared" si="4"/>
        <v>-</v>
      </c>
    </row>
    <row r="89" spans="1:47">
      <c r="A89" s="624" t="s">
        <v>663</v>
      </c>
      <c r="B89" s="624" t="s">
        <v>670</v>
      </c>
      <c r="C89" s="2" t="s">
        <v>665</v>
      </c>
      <c r="D89" s="460" t="s">
        <v>210</v>
      </c>
      <c r="E89" s="461">
        <v>10071728</v>
      </c>
      <c r="F89" s="461">
        <v>22</v>
      </c>
      <c r="G89" s="461">
        <v>165</v>
      </c>
      <c r="H89" s="461">
        <v>22.5</v>
      </c>
      <c r="I89" s="462">
        <v>0</v>
      </c>
      <c r="J89" s="462">
        <v>0</v>
      </c>
      <c r="K89" s="462">
        <v>0</v>
      </c>
      <c r="L89" s="462">
        <v>0</v>
      </c>
      <c r="M89" s="462">
        <v>0</v>
      </c>
      <c r="N89" s="463">
        <v>0</v>
      </c>
      <c r="O89" s="464">
        <v>1</v>
      </c>
      <c r="P89" s="463">
        <v>0</v>
      </c>
      <c r="Q89" s="464">
        <v>1</v>
      </c>
      <c r="R89" s="465">
        <v>0</v>
      </c>
      <c r="S89" s="173">
        <f t="shared" si="5"/>
        <v>19</v>
      </c>
      <c r="AT89" s="176" t="str">
        <f>VLOOKUP($E89,RESOURCES!$C:$E,3,FALSE)</f>
        <v>Web Designer</v>
      </c>
      <c r="AU89" s="176" t="str">
        <f t="shared" si="4"/>
        <v>TAGUILASO, DARYL B.</v>
      </c>
    </row>
    <row r="90" spans="1:47">
      <c r="A90" s="624" t="s">
        <v>663</v>
      </c>
      <c r="B90" s="624" t="s">
        <v>674</v>
      </c>
      <c r="C90" s="2" t="s">
        <v>14</v>
      </c>
      <c r="D90" s="460" t="s">
        <v>94</v>
      </c>
      <c r="E90" s="461">
        <v>10071592</v>
      </c>
      <c r="F90" s="461">
        <v>22</v>
      </c>
      <c r="G90" s="461">
        <v>165</v>
      </c>
      <c r="H90" s="461">
        <v>30</v>
      </c>
      <c r="I90" s="462">
        <v>7.5</v>
      </c>
      <c r="J90" s="462">
        <v>0</v>
      </c>
      <c r="K90" s="462">
        <v>0</v>
      </c>
      <c r="L90" s="462">
        <v>0</v>
      </c>
      <c r="M90" s="462">
        <v>7.5</v>
      </c>
      <c r="N90" s="463">
        <v>4.5454545454545456E-2</v>
      </c>
      <c r="O90" s="464">
        <v>0.95454545454545459</v>
      </c>
      <c r="P90" s="463">
        <v>4.5454545454545456E-2</v>
      </c>
      <c r="Q90" s="464">
        <v>0.95454545454545459</v>
      </c>
      <c r="R90" s="465">
        <v>0</v>
      </c>
      <c r="S90" s="173">
        <f t="shared" si="5"/>
        <v>18</v>
      </c>
      <c r="AT90" s="176" t="str">
        <f>VLOOKUP($E90,RESOURCES!$C:$E,3,FALSE)</f>
        <v>Web Designer</v>
      </c>
      <c r="AU90" s="176" t="str">
        <f t="shared" si="4"/>
        <v>-</v>
      </c>
    </row>
    <row r="91" spans="1:47">
      <c r="A91" s="624" t="s">
        <v>663</v>
      </c>
      <c r="B91" s="624" t="s">
        <v>670</v>
      </c>
      <c r="C91" s="2" t="s">
        <v>665</v>
      </c>
      <c r="D91" s="460" t="s">
        <v>206</v>
      </c>
      <c r="E91" s="461">
        <v>10071306</v>
      </c>
      <c r="F91" s="461">
        <v>22</v>
      </c>
      <c r="G91" s="461">
        <v>165</v>
      </c>
      <c r="H91" s="461">
        <v>30</v>
      </c>
      <c r="I91" s="462">
        <v>15</v>
      </c>
      <c r="J91" s="462">
        <v>0</v>
      </c>
      <c r="K91" s="462">
        <v>0</v>
      </c>
      <c r="L91" s="462">
        <v>0</v>
      </c>
      <c r="M91" s="462">
        <v>15</v>
      </c>
      <c r="N91" s="463">
        <v>9.0909090909090912E-2</v>
      </c>
      <c r="O91" s="464">
        <v>0.90909090909090906</v>
      </c>
      <c r="P91" s="463">
        <v>9.0909090909090912E-2</v>
      </c>
      <c r="Q91" s="464">
        <v>0.90909090909090906</v>
      </c>
      <c r="R91" s="465">
        <v>0</v>
      </c>
      <c r="S91" s="173">
        <f t="shared" si="5"/>
        <v>18</v>
      </c>
      <c r="AT91" s="176" t="str">
        <f>VLOOKUP($E91,RESOURCES!$C:$E,3,FALSE)</f>
        <v>Web Designer</v>
      </c>
      <c r="AU91" s="176" t="str">
        <f t="shared" si="4"/>
        <v>TAGUILASO, DARYL B.</v>
      </c>
    </row>
    <row r="92" spans="1:47">
      <c r="A92" s="624" t="s">
        <v>663</v>
      </c>
      <c r="B92" s="624" t="s">
        <v>669</v>
      </c>
      <c r="C92" s="2" t="s">
        <v>673</v>
      </c>
      <c r="D92" s="460" t="s">
        <v>229</v>
      </c>
      <c r="E92" s="461">
        <v>10072220</v>
      </c>
      <c r="F92" s="461">
        <v>22</v>
      </c>
      <c r="G92" s="461">
        <v>165</v>
      </c>
      <c r="H92" s="461">
        <v>22.5</v>
      </c>
      <c r="I92" s="462">
        <v>0</v>
      </c>
      <c r="J92" s="462">
        <v>0</v>
      </c>
      <c r="K92" s="462">
        <v>0</v>
      </c>
      <c r="L92" s="462">
        <v>0</v>
      </c>
      <c r="M92" s="462">
        <v>0</v>
      </c>
      <c r="N92" s="463">
        <v>0</v>
      </c>
      <c r="O92" s="464">
        <v>1</v>
      </c>
      <c r="P92" s="463">
        <v>0</v>
      </c>
      <c r="Q92" s="464">
        <v>1</v>
      </c>
      <c r="R92" s="465">
        <v>7</v>
      </c>
      <c r="S92" s="173">
        <f t="shared" si="5"/>
        <v>19</v>
      </c>
      <c r="AT92" s="176" t="str">
        <f>VLOOKUP($E92,RESOURCES!$C:$E,3,FALSE)</f>
        <v>Internal Mods (PSI)</v>
      </c>
      <c r="AU92" s="176" t="str">
        <f t="shared" si="4"/>
        <v>PASQUIN, RYAN E.</v>
      </c>
    </row>
    <row r="93" spans="1:47">
      <c r="A93" s="624" t="s">
        <v>663</v>
      </c>
      <c r="B93" s="624" t="s">
        <v>674</v>
      </c>
      <c r="C93" s="2" t="s">
        <v>14</v>
      </c>
      <c r="D93" s="460" t="s">
        <v>95</v>
      </c>
      <c r="E93" s="461">
        <v>10072228</v>
      </c>
      <c r="F93" s="461">
        <v>22</v>
      </c>
      <c r="G93" s="461">
        <v>165</v>
      </c>
      <c r="H93" s="461">
        <v>52.5</v>
      </c>
      <c r="I93" s="462">
        <v>15</v>
      </c>
      <c r="J93" s="462">
        <v>0.21666666666666667</v>
      </c>
      <c r="K93" s="462">
        <v>0</v>
      </c>
      <c r="L93" s="462">
        <v>0</v>
      </c>
      <c r="M93" s="462">
        <v>15.216666666666667</v>
      </c>
      <c r="N93" s="463">
        <v>9.2222222222222219E-2</v>
      </c>
      <c r="O93" s="464">
        <v>0.90777777777777779</v>
      </c>
      <c r="P93" s="463">
        <v>9.0909090909090912E-2</v>
      </c>
      <c r="Q93" s="464">
        <v>0.90909090909090906</v>
      </c>
      <c r="R93" s="465">
        <v>0</v>
      </c>
      <c r="S93" s="173">
        <f t="shared" si="5"/>
        <v>15</v>
      </c>
      <c r="AT93" s="176" t="str">
        <f>VLOOKUP($E93,RESOURCES!$C:$E,3,FALSE)</f>
        <v>Web Designer</v>
      </c>
      <c r="AU93" s="176" t="str">
        <f t="shared" si="4"/>
        <v>-</v>
      </c>
    </row>
    <row r="94" spans="1:47">
      <c r="A94" s="624" t="s">
        <v>663</v>
      </c>
      <c r="B94" s="624" t="s">
        <v>668</v>
      </c>
      <c r="C94" s="2" t="s">
        <v>14</v>
      </c>
      <c r="D94" s="460" t="s">
        <v>157</v>
      </c>
      <c r="E94" s="461">
        <v>10072249</v>
      </c>
      <c r="F94" s="461">
        <v>22</v>
      </c>
      <c r="G94" s="461">
        <v>165</v>
      </c>
      <c r="H94" s="461">
        <v>45</v>
      </c>
      <c r="I94" s="462">
        <v>0</v>
      </c>
      <c r="J94" s="462">
        <v>0.15</v>
      </c>
      <c r="K94" s="462">
        <v>0</v>
      </c>
      <c r="L94" s="462">
        <v>0</v>
      </c>
      <c r="M94" s="462">
        <v>0.15</v>
      </c>
      <c r="N94" s="463">
        <v>9.0909090909090909E-4</v>
      </c>
      <c r="O94" s="464">
        <v>0.99909090909090903</v>
      </c>
      <c r="P94" s="463">
        <v>0</v>
      </c>
      <c r="Q94" s="464">
        <v>1</v>
      </c>
      <c r="R94" s="465">
        <v>0</v>
      </c>
      <c r="S94" s="173">
        <f t="shared" si="5"/>
        <v>16</v>
      </c>
      <c r="AT94" s="176" t="str">
        <f>VLOOKUP($E94,RESOURCES!$C:$E,3,FALSE)</f>
        <v>Legacy Product Maintenance</v>
      </c>
      <c r="AU94" s="176" t="str">
        <f t="shared" si="4"/>
        <v>-</v>
      </c>
    </row>
    <row r="95" spans="1:47">
      <c r="A95" s="624" t="s">
        <v>663</v>
      </c>
      <c r="B95" s="624" t="s">
        <v>670</v>
      </c>
      <c r="C95" s="2" t="s">
        <v>665</v>
      </c>
      <c r="D95" s="460" t="s">
        <v>202</v>
      </c>
      <c r="E95" s="461">
        <v>10071692</v>
      </c>
      <c r="F95" s="461">
        <v>22</v>
      </c>
      <c r="G95" s="461">
        <v>165</v>
      </c>
      <c r="H95" s="461">
        <v>45</v>
      </c>
      <c r="I95" s="462">
        <v>7.5</v>
      </c>
      <c r="J95" s="462">
        <v>0</v>
      </c>
      <c r="K95" s="462">
        <v>0</v>
      </c>
      <c r="L95" s="462">
        <v>0</v>
      </c>
      <c r="M95" s="462">
        <v>7.5</v>
      </c>
      <c r="N95" s="463">
        <v>4.5454545454545456E-2</v>
      </c>
      <c r="O95" s="464">
        <v>0.95454545454545459</v>
      </c>
      <c r="P95" s="463">
        <v>4.5454545454545456E-2</v>
      </c>
      <c r="Q95" s="464">
        <v>0.95454545454545459</v>
      </c>
      <c r="R95" s="465">
        <v>0</v>
      </c>
      <c r="S95" s="173">
        <f t="shared" si="5"/>
        <v>16</v>
      </c>
      <c r="AT95" s="176" t="str">
        <f>VLOOKUP($E95,RESOURCES!$C:$E,3,FALSE)</f>
        <v>Web Designer</v>
      </c>
      <c r="AU95" s="176" t="str">
        <f t="shared" si="4"/>
        <v>TAGUILASO, DARYL B.</v>
      </c>
    </row>
    <row r="96" spans="1:47">
      <c r="A96" s="624" t="s">
        <v>663</v>
      </c>
      <c r="B96" s="624" t="s">
        <v>670</v>
      </c>
      <c r="C96" s="2" t="s">
        <v>665</v>
      </c>
      <c r="D96" s="460" t="s">
        <v>207</v>
      </c>
      <c r="E96" s="461">
        <v>10072517</v>
      </c>
      <c r="F96" s="461">
        <v>22</v>
      </c>
      <c r="G96" s="461">
        <v>165</v>
      </c>
      <c r="H96" s="461">
        <v>67.5</v>
      </c>
      <c r="I96" s="462">
        <v>0</v>
      </c>
      <c r="J96" s="462">
        <v>0</v>
      </c>
      <c r="K96" s="462">
        <v>0</v>
      </c>
      <c r="L96" s="462">
        <v>0</v>
      </c>
      <c r="M96" s="462">
        <v>0</v>
      </c>
      <c r="N96" s="463">
        <v>0</v>
      </c>
      <c r="O96" s="464">
        <v>1</v>
      </c>
      <c r="P96" s="463">
        <v>0</v>
      </c>
      <c r="Q96" s="464">
        <v>1</v>
      </c>
      <c r="R96" s="465">
        <v>0</v>
      </c>
      <c r="S96" s="173">
        <f t="shared" si="5"/>
        <v>13</v>
      </c>
      <c r="AT96" s="176" t="str">
        <f>VLOOKUP($E96,RESOURCES!$C:$E,3,FALSE)</f>
        <v>Web Designer</v>
      </c>
      <c r="AU96" s="176" t="str">
        <f t="shared" si="4"/>
        <v>TAGUILASO, DARYL B.</v>
      </c>
    </row>
    <row r="97" spans="1:47">
      <c r="A97" s="624" t="s">
        <v>663</v>
      </c>
      <c r="B97" s="624" t="s">
        <v>679</v>
      </c>
      <c r="C97" s="2" t="s">
        <v>665</v>
      </c>
      <c r="D97" s="460" t="s">
        <v>182</v>
      </c>
      <c r="E97" s="461">
        <v>10071753</v>
      </c>
      <c r="F97" s="461">
        <v>22</v>
      </c>
      <c r="G97" s="461">
        <v>165</v>
      </c>
      <c r="H97" s="461">
        <v>30</v>
      </c>
      <c r="I97" s="462">
        <v>0</v>
      </c>
      <c r="J97" s="462">
        <v>0</v>
      </c>
      <c r="K97" s="462">
        <v>0</v>
      </c>
      <c r="L97" s="462">
        <v>8.3333333333333329E-2</v>
      </c>
      <c r="M97" s="462">
        <v>8.3333333333333329E-2</v>
      </c>
      <c r="N97" s="463">
        <v>5.0505050505050505E-4</v>
      </c>
      <c r="O97" s="464">
        <v>0.99949494949494944</v>
      </c>
      <c r="P97" s="463">
        <v>0</v>
      </c>
      <c r="Q97" s="464">
        <v>1</v>
      </c>
      <c r="R97" s="465">
        <v>0</v>
      </c>
      <c r="S97" s="173">
        <f t="shared" si="5"/>
        <v>18</v>
      </c>
      <c r="AT97" s="176" t="str">
        <f>VLOOKUP($E97,RESOURCES!$C:$E,3,FALSE)</f>
        <v>Web Designer</v>
      </c>
      <c r="AU97" s="176" t="str">
        <f t="shared" si="4"/>
        <v>TAGUILASO, DARYL B.</v>
      </c>
    </row>
    <row r="98" spans="1:47">
      <c r="A98" s="624" t="s">
        <v>663</v>
      </c>
      <c r="B98" s="624" t="s">
        <v>680</v>
      </c>
      <c r="C98" s="2" t="s">
        <v>665</v>
      </c>
      <c r="D98" s="460" t="s">
        <v>194</v>
      </c>
      <c r="E98" s="461">
        <v>10072516</v>
      </c>
      <c r="F98" s="461">
        <v>22</v>
      </c>
      <c r="G98" s="461">
        <v>165</v>
      </c>
      <c r="H98" s="461">
        <v>30</v>
      </c>
      <c r="I98" s="462">
        <v>7.5</v>
      </c>
      <c r="J98" s="462">
        <v>0</v>
      </c>
      <c r="K98" s="462">
        <v>0</v>
      </c>
      <c r="L98" s="462">
        <v>0</v>
      </c>
      <c r="M98" s="462">
        <v>7.5</v>
      </c>
      <c r="N98" s="463">
        <v>4.5454545454545456E-2</v>
      </c>
      <c r="O98" s="464">
        <v>0.95454545454545459</v>
      </c>
      <c r="P98" s="463">
        <v>4.5454545454545456E-2</v>
      </c>
      <c r="Q98" s="464">
        <v>0.95454545454545459</v>
      </c>
      <c r="R98" s="465">
        <v>0</v>
      </c>
      <c r="S98" s="173">
        <f t="shared" si="5"/>
        <v>18</v>
      </c>
      <c r="AT98" s="176" t="str">
        <f>VLOOKUP($E98,RESOURCES!$C:$E,3,FALSE)</f>
        <v>Web Designer</v>
      </c>
      <c r="AU98" s="176" t="str">
        <f t="shared" si="4"/>
        <v>TAGUILASO, DARYL B.</v>
      </c>
    </row>
    <row r="99" spans="1:47">
      <c r="A99" s="624" t="s">
        <v>663</v>
      </c>
      <c r="B99" s="624" t="s">
        <v>674</v>
      </c>
      <c r="C99" s="2" t="s">
        <v>14</v>
      </c>
      <c r="D99" s="460" t="s">
        <v>96</v>
      </c>
      <c r="E99" s="461">
        <v>10072161</v>
      </c>
      <c r="F99" s="461">
        <v>22</v>
      </c>
      <c r="G99" s="461">
        <v>165</v>
      </c>
      <c r="H99" s="461">
        <v>165</v>
      </c>
      <c r="I99" s="462">
        <v>0</v>
      </c>
      <c r="J99" s="462">
        <v>0</v>
      </c>
      <c r="K99" s="462">
        <v>0</v>
      </c>
      <c r="L99" s="462">
        <v>0</v>
      </c>
      <c r="M99" s="462">
        <v>0</v>
      </c>
      <c r="N99" s="463">
        <v>0</v>
      </c>
      <c r="O99" s="464">
        <v>1</v>
      </c>
      <c r="P99" s="463">
        <v>0</v>
      </c>
      <c r="Q99" s="464">
        <v>1</v>
      </c>
      <c r="R99" s="465">
        <v>0</v>
      </c>
      <c r="S99" s="173">
        <f t="shared" si="5"/>
        <v>0</v>
      </c>
      <c r="AT99" s="176" t="str">
        <f>VLOOKUP($E99,RESOURCES!$C:$E,3,FALSE)</f>
        <v>Web Designer</v>
      </c>
      <c r="AU99" s="176" t="str">
        <f t="shared" si="4"/>
        <v>-</v>
      </c>
    </row>
    <row r="100" spans="1:47">
      <c r="A100" s="624" t="s">
        <v>663</v>
      </c>
      <c r="B100" s="624" t="s">
        <v>676</v>
      </c>
      <c r="C100" s="2" t="s">
        <v>673</v>
      </c>
      <c r="D100" s="460" t="s">
        <v>689</v>
      </c>
      <c r="E100" s="461">
        <v>10072441</v>
      </c>
      <c r="F100" s="461">
        <v>22</v>
      </c>
      <c r="G100" s="461">
        <v>165</v>
      </c>
      <c r="H100" s="461">
        <v>60</v>
      </c>
      <c r="I100" s="462">
        <v>15</v>
      </c>
      <c r="J100" s="462">
        <v>0</v>
      </c>
      <c r="K100" s="462">
        <v>0</v>
      </c>
      <c r="L100" s="462">
        <v>0</v>
      </c>
      <c r="M100" s="462">
        <v>15</v>
      </c>
      <c r="N100" s="463">
        <v>9.0909090909090912E-2</v>
      </c>
      <c r="O100" s="464">
        <v>0.90909090909090906</v>
      </c>
      <c r="P100" s="463">
        <v>9.0909090909090912E-2</v>
      </c>
      <c r="Q100" s="464">
        <v>0.90909090909090906</v>
      </c>
      <c r="R100" s="465">
        <v>0</v>
      </c>
      <c r="S100" s="173">
        <f t="shared" si="5"/>
        <v>14</v>
      </c>
      <c r="AT100" s="176" t="str">
        <f>VLOOKUP($E100,RESOURCES!$C:$E,3,FALSE)</f>
        <v>Voice QA</v>
      </c>
      <c r="AU100" s="176" t="str">
        <f t="shared" si="4"/>
        <v>PASQUIN, RYAN E.</v>
      </c>
    </row>
    <row r="101" spans="1:47">
      <c r="A101" s="624" t="s">
        <v>663</v>
      </c>
      <c r="B101" s="624" t="s">
        <v>676</v>
      </c>
      <c r="C101" s="2" t="s">
        <v>673</v>
      </c>
      <c r="D101" s="460" t="s">
        <v>690</v>
      </c>
      <c r="E101" s="461">
        <v>10071691</v>
      </c>
      <c r="F101" s="461">
        <v>22</v>
      </c>
      <c r="G101" s="461">
        <v>165</v>
      </c>
      <c r="H101" s="461">
        <v>30</v>
      </c>
      <c r="I101" s="462">
        <v>75</v>
      </c>
      <c r="J101" s="462">
        <v>0</v>
      </c>
      <c r="K101" s="462">
        <v>0</v>
      </c>
      <c r="L101" s="462">
        <v>0</v>
      </c>
      <c r="M101" s="462">
        <v>75</v>
      </c>
      <c r="N101" s="463">
        <v>0.45454545454545453</v>
      </c>
      <c r="O101" s="464">
        <v>0.54545454545454541</v>
      </c>
      <c r="P101" s="463">
        <v>0.45454545454545453</v>
      </c>
      <c r="Q101" s="464">
        <v>0.54545454545454541</v>
      </c>
      <c r="R101" s="465">
        <v>0</v>
      </c>
      <c r="S101" s="173">
        <f t="shared" si="5"/>
        <v>18</v>
      </c>
      <c r="AT101" s="176" t="e">
        <f>VLOOKUP($E101,RESOURCES!$C:$E,3,FALSE)</f>
        <v>#N/A</v>
      </c>
      <c r="AU101" s="176" t="str">
        <f t="shared" si="4"/>
        <v>PASQUIN, RYAN E.</v>
      </c>
    </row>
    <row r="102" spans="1:47">
      <c r="A102" s="624" t="s">
        <v>663</v>
      </c>
      <c r="B102" s="624" t="s">
        <v>664</v>
      </c>
      <c r="C102" s="2" t="s">
        <v>665</v>
      </c>
      <c r="D102" s="460" t="s">
        <v>218</v>
      </c>
      <c r="E102" s="461">
        <v>10071252</v>
      </c>
      <c r="F102" s="461">
        <v>22</v>
      </c>
      <c r="G102" s="461">
        <v>165</v>
      </c>
      <c r="H102" s="461">
        <v>67.5</v>
      </c>
      <c r="I102" s="462">
        <v>0</v>
      </c>
      <c r="J102" s="462">
        <v>0</v>
      </c>
      <c r="K102" s="462">
        <v>0</v>
      </c>
      <c r="L102" s="462">
        <v>0</v>
      </c>
      <c r="M102" s="462">
        <v>0</v>
      </c>
      <c r="N102" s="463">
        <v>0</v>
      </c>
      <c r="O102" s="464">
        <v>1</v>
      </c>
      <c r="P102" s="463">
        <v>0</v>
      </c>
      <c r="Q102" s="464">
        <v>1</v>
      </c>
      <c r="R102" s="465">
        <v>0</v>
      </c>
      <c r="S102" s="173">
        <f t="shared" si="5"/>
        <v>13</v>
      </c>
      <c r="AT102" s="176" t="str">
        <f>VLOOKUP($E102,RESOURCES!$C:$E,3,FALSE)</f>
        <v>Web Designer</v>
      </c>
      <c r="AU102" s="176" t="str">
        <f t="shared" si="4"/>
        <v>TAGUILASO, DARYL B.</v>
      </c>
    </row>
    <row r="103" spans="1:47">
      <c r="A103" s="624" t="s">
        <v>663</v>
      </c>
      <c r="B103" s="624" t="s">
        <v>679</v>
      </c>
      <c r="C103" s="2" t="s">
        <v>665</v>
      </c>
      <c r="D103" s="460" t="s">
        <v>176</v>
      </c>
      <c r="E103" s="461">
        <v>10071603</v>
      </c>
      <c r="F103" s="461">
        <v>22</v>
      </c>
      <c r="G103" s="461">
        <v>165</v>
      </c>
      <c r="H103" s="461">
        <v>37.5</v>
      </c>
      <c r="I103" s="462">
        <v>0</v>
      </c>
      <c r="J103" s="462">
        <v>0.25</v>
      </c>
      <c r="K103" s="462">
        <v>0</v>
      </c>
      <c r="L103" s="462">
        <v>1.6666666666666666E-2</v>
      </c>
      <c r="M103" s="462">
        <v>0.26666666666666666</v>
      </c>
      <c r="N103" s="463">
        <v>1.6161616161616162E-3</v>
      </c>
      <c r="O103" s="464">
        <v>0.99838383838383826</v>
      </c>
      <c r="P103" s="463">
        <v>0</v>
      </c>
      <c r="Q103" s="464">
        <v>1</v>
      </c>
      <c r="R103" s="465">
        <v>0</v>
      </c>
      <c r="S103" s="173">
        <f t="shared" si="5"/>
        <v>17</v>
      </c>
      <c r="AT103" s="176" t="str">
        <f>VLOOKUP($E103,RESOURCES!$C:$E,3,FALSE)</f>
        <v>DBA</v>
      </c>
      <c r="AU103" s="176" t="str">
        <f t="shared" si="4"/>
        <v>TAGUILASO, DARYL B.</v>
      </c>
    </row>
    <row r="104" spans="1:47">
      <c r="A104" s="624" t="s">
        <v>663</v>
      </c>
      <c r="B104" s="624" t="s">
        <v>676</v>
      </c>
      <c r="C104" s="2" t="s">
        <v>673</v>
      </c>
      <c r="D104" s="460" t="s">
        <v>691</v>
      </c>
      <c r="E104" s="461">
        <v>10072604</v>
      </c>
      <c r="F104" s="461">
        <v>22</v>
      </c>
      <c r="G104" s="461">
        <v>165</v>
      </c>
      <c r="H104" s="461">
        <v>60</v>
      </c>
      <c r="I104" s="462">
        <v>0</v>
      </c>
      <c r="J104" s="462">
        <v>0</v>
      </c>
      <c r="K104" s="462">
        <v>0</v>
      </c>
      <c r="L104" s="462">
        <v>0</v>
      </c>
      <c r="M104" s="462">
        <v>0</v>
      </c>
      <c r="N104" s="463">
        <v>0</v>
      </c>
      <c r="O104" s="464">
        <v>1</v>
      </c>
      <c r="P104" s="463">
        <v>0</v>
      </c>
      <c r="Q104" s="464">
        <v>1</v>
      </c>
      <c r="R104" s="465">
        <v>0</v>
      </c>
      <c r="S104" s="173">
        <f t="shared" si="5"/>
        <v>14</v>
      </c>
      <c r="AT104" s="176" t="str">
        <f>VLOOKUP($E104,RESOURCES!$C:$E,3,FALSE)</f>
        <v>Voice QA</v>
      </c>
      <c r="AU104" s="176" t="str">
        <f t="shared" si="4"/>
        <v>PASQUIN, RYAN E.</v>
      </c>
    </row>
    <row r="105" spans="1:47">
      <c r="A105" s="624" t="s">
        <v>663</v>
      </c>
      <c r="B105" s="624" t="s">
        <v>669</v>
      </c>
      <c r="C105" s="2" t="s">
        <v>673</v>
      </c>
      <c r="D105" s="460" t="s">
        <v>239</v>
      </c>
      <c r="E105" s="461">
        <v>10071342</v>
      </c>
      <c r="F105" s="461">
        <v>22</v>
      </c>
      <c r="G105" s="461">
        <v>165</v>
      </c>
      <c r="H105" s="461">
        <v>22.5</v>
      </c>
      <c r="I105" s="462">
        <v>15</v>
      </c>
      <c r="J105" s="462">
        <v>0</v>
      </c>
      <c r="K105" s="462">
        <v>0</v>
      </c>
      <c r="L105" s="462">
        <v>0</v>
      </c>
      <c r="M105" s="462">
        <v>15</v>
      </c>
      <c r="N105" s="463">
        <v>9.0909090909090912E-2</v>
      </c>
      <c r="O105" s="464">
        <v>0.90909090909090906</v>
      </c>
      <c r="P105" s="463">
        <v>9.0909090909090912E-2</v>
      </c>
      <c r="Q105" s="464">
        <v>0.90909090909090906</v>
      </c>
      <c r="R105" s="465">
        <v>0</v>
      </c>
      <c r="S105" s="173">
        <f t="shared" si="5"/>
        <v>19</v>
      </c>
      <c r="AT105" s="176" t="str">
        <f>VLOOKUP($E105,RESOURCES!$C:$E,3,FALSE)</f>
        <v>Internal Mods (PSI)</v>
      </c>
      <c r="AU105" s="176" t="str">
        <f t="shared" si="4"/>
        <v>PASQUIN, RYAN E.</v>
      </c>
    </row>
    <row r="106" spans="1:47">
      <c r="A106" s="624" t="s">
        <v>663</v>
      </c>
      <c r="B106" s="624" t="s">
        <v>670</v>
      </c>
      <c r="C106" s="2" t="s">
        <v>665</v>
      </c>
      <c r="D106" s="460" t="s">
        <v>208</v>
      </c>
      <c r="E106" s="461">
        <v>10072204</v>
      </c>
      <c r="F106" s="461">
        <v>22</v>
      </c>
      <c r="G106" s="461">
        <v>165</v>
      </c>
      <c r="H106" s="461">
        <v>22.5</v>
      </c>
      <c r="I106" s="462">
        <v>7.5</v>
      </c>
      <c r="J106" s="462">
        <v>0</v>
      </c>
      <c r="K106" s="462">
        <v>0</v>
      </c>
      <c r="L106" s="462">
        <v>0</v>
      </c>
      <c r="M106" s="462">
        <v>7.5</v>
      </c>
      <c r="N106" s="463">
        <v>4.5454545454545456E-2</v>
      </c>
      <c r="O106" s="464">
        <v>0.95454545454545459</v>
      </c>
      <c r="P106" s="463">
        <v>4.5454545454545456E-2</v>
      </c>
      <c r="Q106" s="464">
        <v>0.95454545454545459</v>
      </c>
      <c r="R106" s="465">
        <v>0</v>
      </c>
      <c r="S106" s="173">
        <f t="shared" si="5"/>
        <v>19</v>
      </c>
      <c r="AT106" s="176" t="str">
        <f>VLOOKUP($E106,RESOURCES!$C:$E,3,FALSE)</f>
        <v>Web Designer</v>
      </c>
      <c r="AU106" s="176" t="str">
        <f t="shared" si="4"/>
        <v>TAGUILASO, DARYL B.</v>
      </c>
    </row>
    <row r="107" spans="1:47">
      <c r="A107" s="624" t="s">
        <v>663</v>
      </c>
      <c r="B107" s="624" t="s">
        <v>672</v>
      </c>
      <c r="C107" s="2" t="s">
        <v>673</v>
      </c>
      <c r="D107" s="460" t="s">
        <v>111</v>
      </c>
      <c r="E107" s="461">
        <v>10072069</v>
      </c>
      <c r="F107" s="461">
        <v>22</v>
      </c>
      <c r="G107" s="461">
        <v>165</v>
      </c>
      <c r="H107" s="461">
        <v>37.5</v>
      </c>
      <c r="I107" s="462">
        <v>67.5</v>
      </c>
      <c r="J107" s="462">
        <v>0.31666666666666665</v>
      </c>
      <c r="K107" s="462">
        <v>0</v>
      </c>
      <c r="L107" s="462">
        <v>0</v>
      </c>
      <c r="M107" s="462">
        <v>67.816666666666663</v>
      </c>
      <c r="N107" s="463">
        <v>0.41101010101010099</v>
      </c>
      <c r="O107" s="464">
        <v>0.58898989898989906</v>
      </c>
      <c r="P107" s="463">
        <v>0.40909090909090912</v>
      </c>
      <c r="Q107" s="464">
        <v>0.59090909090909094</v>
      </c>
      <c r="R107" s="465">
        <v>0</v>
      </c>
      <c r="S107" s="173">
        <f t="shared" si="5"/>
        <v>17</v>
      </c>
      <c r="AT107" s="176" t="str">
        <f>VLOOKUP($E107,RESOURCES!$C:$E,3,FALSE)</f>
        <v>Proofreader</v>
      </c>
      <c r="AU107" s="176" t="str">
        <f t="shared" si="4"/>
        <v>PASQUIN, RYAN E.</v>
      </c>
    </row>
    <row r="108" spans="1:47">
      <c r="A108" s="624" t="s">
        <v>663</v>
      </c>
      <c r="B108" s="624" t="s">
        <v>674</v>
      </c>
      <c r="C108" s="2" t="s">
        <v>14</v>
      </c>
      <c r="D108" s="460" t="s">
        <v>97</v>
      </c>
      <c r="E108" s="461">
        <v>10071147</v>
      </c>
      <c r="F108" s="461">
        <v>22</v>
      </c>
      <c r="G108" s="461">
        <v>165</v>
      </c>
      <c r="H108" s="461">
        <v>60</v>
      </c>
      <c r="I108" s="462">
        <v>7.5</v>
      </c>
      <c r="J108" s="462">
        <v>0</v>
      </c>
      <c r="K108" s="462">
        <v>0</v>
      </c>
      <c r="L108" s="462">
        <v>0</v>
      </c>
      <c r="M108" s="462">
        <v>7.5</v>
      </c>
      <c r="N108" s="463">
        <v>4.5454545454545456E-2</v>
      </c>
      <c r="O108" s="464">
        <v>0.95454545454545459</v>
      </c>
      <c r="P108" s="463">
        <v>4.5454545454545456E-2</v>
      </c>
      <c r="Q108" s="464">
        <v>0.95454545454545459</v>
      </c>
      <c r="R108" s="465">
        <v>0</v>
      </c>
      <c r="S108" s="173">
        <f t="shared" si="5"/>
        <v>14</v>
      </c>
      <c r="AT108" s="176" t="str">
        <f>VLOOKUP($E108,RESOURCES!$C:$E,3,FALSE)</f>
        <v>Web Designer</v>
      </c>
      <c r="AU108" s="176" t="str">
        <f t="shared" si="4"/>
        <v>-</v>
      </c>
    </row>
    <row r="109" spans="1:47">
      <c r="A109" s="624" t="s">
        <v>663</v>
      </c>
      <c r="B109" s="624" t="s">
        <v>668</v>
      </c>
      <c r="C109" s="2" t="s">
        <v>14</v>
      </c>
      <c r="D109" s="460" t="s">
        <v>159</v>
      </c>
      <c r="E109" s="461">
        <v>10071067</v>
      </c>
      <c r="F109" s="461">
        <v>22</v>
      </c>
      <c r="G109" s="461">
        <v>165</v>
      </c>
      <c r="H109" s="461">
        <v>45</v>
      </c>
      <c r="I109" s="462">
        <v>0</v>
      </c>
      <c r="J109" s="462">
        <v>0</v>
      </c>
      <c r="K109" s="462">
        <v>0</v>
      </c>
      <c r="L109" s="462">
        <v>0</v>
      </c>
      <c r="M109" s="462">
        <v>0</v>
      </c>
      <c r="N109" s="463">
        <v>0</v>
      </c>
      <c r="O109" s="464">
        <v>1</v>
      </c>
      <c r="P109" s="463">
        <v>0</v>
      </c>
      <c r="Q109" s="464">
        <v>1</v>
      </c>
      <c r="R109" s="465">
        <v>0</v>
      </c>
      <c r="S109" s="173">
        <f t="shared" si="5"/>
        <v>16</v>
      </c>
      <c r="AT109" s="176" t="str">
        <f>VLOOKUP($E109,RESOURCES!$C:$E,3,FALSE)</f>
        <v>Web Designer</v>
      </c>
      <c r="AU109" s="176" t="str">
        <f t="shared" si="4"/>
        <v>-</v>
      </c>
    </row>
    <row r="110" spans="1:47">
      <c r="A110" s="624" t="s">
        <v>663</v>
      </c>
      <c r="B110" s="624" t="s">
        <v>664</v>
      </c>
      <c r="C110" s="2" t="s">
        <v>665</v>
      </c>
      <c r="D110" s="460" t="s">
        <v>219</v>
      </c>
      <c r="E110" s="461">
        <v>10072457</v>
      </c>
      <c r="F110" s="461">
        <v>22</v>
      </c>
      <c r="G110" s="461">
        <v>165</v>
      </c>
      <c r="H110" s="461">
        <v>45</v>
      </c>
      <c r="I110" s="462">
        <v>0</v>
      </c>
      <c r="J110" s="462">
        <v>0</v>
      </c>
      <c r="K110" s="462">
        <v>0</v>
      </c>
      <c r="L110" s="462">
        <v>0</v>
      </c>
      <c r="M110" s="462">
        <v>0</v>
      </c>
      <c r="N110" s="463">
        <v>0</v>
      </c>
      <c r="O110" s="464">
        <v>1</v>
      </c>
      <c r="P110" s="463">
        <v>0</v>
      </c>
      <c r="Q110" s="464">
        <v>1</v>
      </c>
      <c r="R110" s="465">
        <v>0</v>
      </c>
      <c r="S110" s="173">
        <f t="shared" si="5"/>
        <v>16</v>
      </c>
      <c r="AT110" s="176" t="str">
        <f>VLOOKUP($E110,RESOURCES!$C:$E,3,FALSE)</f>
        <v>Web Designer</v>
      </c>
      <c r="AU110" s="176" t="str">
        <f t="shared" si="4"/>
        <v>TAGUILASO, DARYL B.</v>
      </c>
    </row>
    <row r="111" spans="1:47">
      <c r="A111" s="624" t="s">
        <v>663</v>
      </c>
      <c r="B111" s="624" t="s">
        <v>669</v>
      </c>
      <c r="C111" s="2" t="s">
        <v>673</v>
      </c>
      <c r="D111" s="460" t="s">
        <v>235</v>
      </c>
      <c r="E111" s="461">
        <v>10071946</v>
      </c>
      <c r="F111" s="461">
        <v>22</v>
      </c>
      <c r="G111" s="461">
        <v>165</v>
      </c>
      <c r="H111" s="461">
        <v>30</v>
      </c>
      <c r="I111" s="462">
        <v>15</v>
      </c>
      <c r="J111" s="462">
        <v>1.0666666666666667</v>
      </c>
      <c r="K111" s="462">
        <v>0</v>
      </c>
      <c r="L111" s="462">
        <v>0</v>
      </c>
      <c r="M111" s="462">
        <v>16.066666666666666</v>
      </c>
      <c r="N111" s="463">
        <v>9.7373737373737376E-2</v>
      </c>
      <c r="O111" s="464">
        <v>0.90262626262626267</v>
      </c>
      <c r="P111" s="463">
        <v>9.0909090909090912E-2</v>
      </c>
      <c r="Q111" s="464">
        <v>0.90909090909090906</v>
      </c>
      <c r="R111" s="465">
        <v>0</v>
      </c>
      <c r="S111" s="173">
        <f t="shared" si="5"/>
        <v>18</v>
      </c>
      <c r="AT111" s="176" t="str">
        <f>VLOOKUP($E111,RESOURCES!$C:$E,3,FALSE)</f>
        <v>Internal Mods (PSI)</v>
      </c>
      <c r="AU111" s="176" t="str">
        <f t="shared" si="4"/>
        <v>PASQUIN, RYAN E.</v>
      </c>
    </row>
    <row r="112" spans="1:47">
      <c r="A112" s="624" t="s">
        <v>663</v>
      </c>
      <c r="B112" s="624" t="s">
        <v>672</v>
      </c>
      <c r="C112" s="2" t="s">
        <v>673</v>
      </c>
      <c r="D112" s="460" t="s">
        <v>112</v>
      </c>
      <c r="E112" s="461">
        <v>10072097</v>
      </c>
      <c r="F112" s="461">
        <v>22</v>
      </c>
      <c r="G112" s="461">
        <v>165</v>
      </c>
      <c r="H112" s="461">
        <v>45</v>
      </c>
      <c r="I112" s="462">
        <v>7.5</v>
      </c>
      <c r="J112" s="462">
        <v>0.36666666666666758</v>
      </c>
      <c r="K112" s="462">
        <v>0</v>
      </c>
      <c r="L112" s="462">
        <v>0</v>
      </c>
      <c r="M112" s="462">
        <v>7.8666666666666671</v>
      </c>
      <c r="N112" s="463">
        <v>4.7676767676767678E-2</v>
      </c>
      <c r="O112" s="464">
        <v>0.95232323232323224</v>
      </c>
      <c r="P112" s="463">
        <v>4.5454545454545456E-2</v>
      </c>
      <c r="Q112" s="464">
        <v>0.95454545454545459</v>
      </c>
      <c r="R112" s="465">
        <v>0</v>
      </c>
      <c r="S112" s="173">
        <f t="shared" si="5"/>
        <v>16</v>
      </c>
      <c r="AT112" s="176" t="str">
        <f>VLOOKUP($E112,RESOURCES!$C:$E,3,FALSE)</f>
        <v>Proofreader</v>
      </c>
      <c r="AU112" s="176" t="str">
        <f t="shared" si="4"/>
        <v>PASQUIN, RYAN E.</v>
      </c>
    </row>
    <row r="113" spans="1:47">
      <c r="A113" s="624" t="s">
        <v>663</v>
      </c>
      <c r="B113" s="624" t="s">
        <v>668</v>
      </c>
      <c r="C113" s="2" t="s">
        <v>14</v>
      </c>
      <c r="D113" s="460" t="s">
        <v>160</v>
      </c>
      <c r="E113" s="461">
        <v>10071420</v>
      </c>
      <c r="F113" s="461">
        <v>22</v>
      </c>
      <c r="G113" s="461">
        <v>165</v>
      </c>
      <c r="H113" s="461">
        <v>52.5</v>
      </c>
      <c r="I113" s="462">
        <v>0</v>
      </c>
      <c r="J113" s="462">
        <v>0.31666666666666665</v>
      </c>
      <c r="K113" s="462">
        <v>0</v>
      </c>
      <c r="L113" s="462">
        <v>0</v>
      </c>
      <c r="M113" s="462">
        <v>0.31666666666666665</v>
      </c>
      <c r="N113" s="463">
        <v>1.9191919191919192E-3</v>
      </c>
      <c r="O113" s="464">
        <v>0.99808080808080812</v>
      </c>
      <c r="P113" s="463">
        <v>0</v>
      </c>
      <c r="Q113" s="464">
        <v>1</v>
      </c>
      <c r="R113" s="465">
        <v>0</v>
      </c>
      <c r="S113" s="173">
        <f t="shared" si="5"/>
        <v>15</v>
      </c>
      <c r="AT113" s="176" t="str">
        <f>VLOOKUP($E113,RESOURCES!$C:$E,3,FALSE)</f>
        <v>Web Designer</v>
      </c>
      <c r="AU113" s="176" t="str">
        <f t="shared" si="4"/>
        <v>-</v>
      </c>
    </row>
    <row r="114" spans="1:47">
      <c r="A114" s="624" t="s">
        <v>663</v>
      </c>
      <c r="B114" s="624" t="s">
        <v>664</v>
      </c>
      <c r="C114" s="2" t="s">
        <v>665</v>
      </c>
      <c r="D114" s="460" t="s">
        <v>220</v>
      </c>
      <c r="E114" s="461">
        <v>10070728</v>
      </c>
      <c r="F114" s="461">
        <v>22</v>
      </c>
      <c r="G114" s="461">
        <v>165</v>
      </c>
      <c r="H114" s="461">
        <v>52.5</v>
      </c>
      <c r="I114" s="462">
        <v>0</v>
      </c>
      <c r="J114" s="462">
        <v>0</v>
      </c>
      <c r="K114" s="462">
        <v>0</v>
      </c>
      <c r="L114" s="462">
        <v>0</v>
      </c>
      <c r="M114" s="462">
        <v>0</v>
      </c>
      <c r="N114" s="463">
        <v>0</v>
      </c>
      <c r="O114" s="464">
        <v>1</v>
      </c>
      <c r="P114" s="463">
        <v>0</v>
      </c>
      <c r="Q114" s="464">
        <v>1</v>
      </c>
      <c r="R114" s="465">
        <v>0</v>
      </c>
      <c r="S114" s="173">
        <f t="shared" si="5"/>
        <v>15</v>
      </c>
      <c r="AT114" s="176" t="str">
        <f>VLOOKUP($E114,RESOURCES!$C:$E,3,FALSE)</f>
        <v>Web Designer</v>
      </c>
      <c r="AU114" s="176" t="str">
        <f t="shared" si="4"/>
        <v>TAGUILASO, DARYL B.</v>
      </c>
    </row>
    <row r="115" spans="1:47">
      <c r="A115" s="624" t="s">
        <v>663</v>
      </c>
      <c r="B115" s="624" t="s">
        <v>679</v>
      </c>
      <c r="C115" s="2" t="s">
        <v>665</v>
      </c>
      <c r="D115" s="460" t="s">
        <v>178</v>
      </c>
      <c r="E115" s="461">
        <v>10071268</v>
      </c>
      <c r="F115" s="461">
        <v>22</v>
      </c>
      <c r="G115" s="461">
        <v>165</v>
      </c>
      <c r="H115" s="461">
        <v>67.5</v>
      </c>
      <c r="I115" s="462">
        <v>0</v>
      </c>
      <c r="J115" s="462">
        <v>0</v>
      </c>
      <c r="K115" s="462">
        <v>0</v>
      </c>
      <c r="L115" s="462">
        <v>0</v>
      </c>
      <c r="M115" s="462">
        <v>0</v>
      </c>
      <c r="N115" s="463">
        <v>0</v>
      </c>
      <c r="O115" s="464">
        <v>1</v>
      </c>
      <c r="P115" s="463">
        <v>0</v>
      </c>
      <c r="Q115" s="464">
        <v>1</v>
      </c>
      <c r="R115" s="465">
        <v>0</v>
      </c>
      <c r="S115" s="173">
        <f t="shared" si="5"/>
        <v>13</v>
      </c>
      <c r="AT115" s="176" t="str">
        <f>VLOOKUP($E115,RESOURCES!$C:$E,3,FALSE)</f>
        <v>Web Designer</v>
      </c>
      <c r="AU115" s="176" t="str">
        <f t="shared" si="4"/>
        <v>TAGUILASO, DARYL B.</v>
      </c>
    </row>
    <row r="116" spans="1:47">
      <c r="A116" s="624" t="s">
        <v>663</v>
      </c>
      <c r="B116" s="624" t="s">
        <v>672</v>
      </c>
      <c r="C116" s="2" t="s">
        <v>673</v>
      </c>
      <c r="D116" s="460" t="s">
        <v>113</v>
      </c>
      <c r="E116" s="461">
        <v>10072077</v>
      </c>
      <c r="F116" s="461">
        <v>22</v>
      </c>
      <c r="G116" s="461">
        <v>165</v>
      </c>
      <c r="H116" s="461">
        <v>30</v>
      </c>
      <c r="I116" s="462">
        <v>0</v>
      </c>
      <c r="J116" s="462">
        <v>0</v>
      </c>
      <c r="K116" s="462">
        <v>0</v>
      </c>
      <c r="L116" s="462">
        <v>0</v>
      </c>
      <c r="M116" s="462">
        <v>0</v>
      </c>
      <c r="N116" s="463">
        <v>0</v>
      </c>
      <c r="O116" s="464">
        <v>1</v>
      </c>
      <c r="P116" s="463">
        <v>0</v>
      </c>
      <c r="Q116" s="464">
        <v>1</v>
      </c>
      <c r="R116" s="465">
        <v>0</v>
      </c>
      <c r="S116" s="173">
        <f t="shared" si="5"/>
        <v>18</v>
      </c>
      <c r="AT116" s="176" t="str">
        <f>VLOOKUP($E116,RESOURCES!$C:$E,3,FALSE)</f>
        <v>Proofreader</v>
      </c>
      <c r="AU116" s="176" t="str">
        <f t="shared" si="4"/>
        <v>PASQUIN, RYAN E.</v>
      </c>
    </row>
    <row r="117" spans="1:47">
      <c r="A117" s="624" t="s">
        <v>663</v>
      </c>
      <c r="B117" s="624" t="s">
        <v>669</v>
      </c>
      <c r="C117" s="2" t="s">
        <v>673</v>
      </c>
      <c r="D117" s="460" t="s">
        <v>228</v>
      </c>
      <c r="E117" s="461">
        <v>10071600</v>
      </c>
      <c r="F117" s="461">
        <v>22</v>
      </c>
      <c r="G117" s="461">
        <v>165</v>
      </c>
      <c r="H117" s="461">
        <v>37.5</v>
      </c>
      <c r="I117" s="462">
        <v>0</v>
      </c>
      <c r="J117" s="462">
        <v>0</v>
      </c>
      <c r="K117" s="462">
        <v>0</v>
      </c>
      <c r="L117" s="462">
        <v>0</v>
      </c>
      <c r="M117" s="462">
        <v>0</v>
      </c>
      <c r="N117" s="463">
        <v>0</v>
      </c>
      <c r="O117" s="464">
        <v>1</v>
      </c>
      <c r="P117" s="463">
        <v>0</v>
      </c>
      <c r="Q117" s="464">
        <v>1</v>
      </c>
      <c r="R117" s="465">
        <v>1</v>
      </c>
      <c r="S117" s="173">
        <f t="shared" si="5"/>
        <v>17</v>
      </c>
      <c r="AT117" s="176" t="str">
        <f>VLOOKUP($E117,RESOURCES!$C:$E,3,FALSE)</f>
        <v>Internal Mods (PSI)</v>
      </c>
      <c r="AU117" s="176" t="str">
        <f t="shared" si="4"/>
        <v>PASQUIN, RYAN E.</v>
      </c>
    </row>
    <row r="118" spans="1:47">
      <c r="A118" s="624" t="s">
        <v>663</v>
      </c>
      <c r="B118" s="624" t="s">
        <v>671</v>
      </c>
      <c r="C118" s="2" t="s">
        <v>14</v>
      </c>
      <c r="D118" s="460" t="s">
        <v>147</v>
      </c>
      <c r="E118" s="461">
        <v>10072233</v>
      </c>
      <c r="F118" s="461">
        <v>22</v>
      </c>
      <c r="G118" s="461">
        <v>165</v>
      </c>
      <c r="H118" s="461">
        <v>22.5</v>
      </c>
      <c r="I118" s="462">
        <v>0</v>
      </c>
      <c r="J118" s="462">
        <v>0.3666666666666667</v>
      </c>
      <c r="K118" s="462">
        <v>0</v>
      </c>
      <c r="L118" s="462">
        <v>0</v>
      </c>
      <c r="M118" s="462">
        <v>0.3666666666666667</v>
      </c>
      <c r="N118" s="463">
        <v>2.2222222222222222E-3</v>
      </c>
      <c r="O118" s="464">
        <v>0.99777777777777776</v>
      </c>
      <c r="P118" s="463">
        <v>0</v>
      </c>
      <c r="Q118" s="464">
        <v>1</v>
      </c>
      <c r="R118" s="465">
        <v>0</v>
      </c>
      <c r="S118" s="173">
        <f t="shared" si="5"/>
        <v>19</v>
      </c>
      <c r="AT118" s="176" t="str">
        <f>VLOOKUP($E118,RESOURCES!$C:$E,3,FALSE)</f>
        <v>Web Designer</v>
      </c>
      <c r="AU118" s="176" t="str">
        <f t="shared" si="4"/>
        <v>-</v>
      </c>
    </row>
    <row r="119" spans="1:47">
      <c r="A119" s="624" t="s">
        <v>663</v>
      </c>
      <c r="B119" s="624" t="s">
        <v>669</v>
      </c>
      <c r="C119" s="2" t="s">
        <v>673</v>
      </c>
      <c r="D119" s="460" t="s">
        <v>236</v>
      </c>
      <c r="E119" s="461">
        <v>10071729</v>
      </c>
      <c r="F119" s="461">
        <v>22</v>
      </c>
      <c r="G119" s="461">
        <v>165</v>
      </c>
      <c r="H119" s="461">
        <v>22.5</v>
      </c>
      <c r="I119" s="462">
        <v>0</v>
      </c>
      <c r="J119" s="462">
        <v>0</v>
      </c>
      <c r="K119" s="462">
        <v>0</v>
      </c>
      <c r="L119" s="462">
        <v>0</v>
      </c>
      <c r="M119" s="462">
        <v>0</v>
      </c>
      <c r="N119" s="463">
        <v>0</v>
      </c>
      <c r="O119" s="464">
        <v>1</v>
      </c>
      <c r="P119" s="463">
        <v>0</v>
      </c>
      <c r="Q119" s="464">
        <v>1</v>
      </c>
      <c r="R119" s="465">
        <v>3</v>
      </c>
      <c r="S119" s="173">
        <f t="shared" si="5"/>
        <v>19</v>
      </c>
      <c r="AT119" s="176" t="str">
        <f>VLOOKUP($E119,RESOURCES!$C:$E,3,FALSE)</f>
        <v>Internal Mods (PSI)</v>
      </c>
      <c r="AU119" s="176" t="str">
        <f t="shared" si="4"/>
        <v>PASQUIN, RYAN E.</v>
      </c>
    </row>
    <row r="120" spans="1:47">
      <c r="A120" s="624" t="s">
        <v>663</v>
      </c>
      <c r="B120" s="624" t="s">
        <v>664</v>
      </c>
      <c r="C120" s="2" t="s">
        <v>665</v>
      </c>
      <c r="D120" s="460" t="s">
        <v>692</v>
      </c>
      <c r="E120" s="461">
        <v>10071310</v>
      </c>
      <c r="F120" s="461">
        <v>22</v>
      </c>
      <c r="G120" s="461">
        <v>165</v>
      </c>
      <c r="H120" s="461">
        <v>45</v>
      </c>
      <c r="I120" s="462">
        <v>7.5</v>
      </c>
      <c r="J120" s="462">
        <v>0.66666666666666663</v>
      </c>
      <c r="K120" s="462">
        <v>0</v>
      </c>
      <c r="L120" s="462">
        <v>0</v>
      </c>
      <c r="M120" s="462">
        <v>8.1666666666666661</v>
      </c>
      <c r="N120" s="463">
        <v>4.9494949494949494E-2</v>
      </c>
      <c r="O120" s="464">
        <v>0.95050505050505052</v>
      </c>
      <c r="P120" s="463">
        <v>4.5454545454545456E-2</v>
      </c>
      <c r="Q120" s="464">
        <v>0.95454545454545459</v>
      </c>
      <c r="R120" s="465">
        <v>0</v>
      </c>
      <c r="S120" s="173">
        <f t="shared" si="5"/>
        <v>16</v>
      </c>
      <c r="AT120" s="176" t="str">
        <f>VLOOKUP($E120,RESOURCES!$C:$E,3,FALSE)</f>
        <v>Web Designer</v>
      </c>
      <c r="AU120" s="176" t="str">
        <f t="shared" si="4"/>
        <v>TAGUILASO, DARYL B.</v>
      </c>
    </row>
    <row r="121" spans="1:47">
      <c r="A121" s="624" t="s">
        <v>663</v>
      </c>
      <c r="B121" s="624" t="s">
        <v>676</v>
      </c>
      <c r="C121" s="2" t="s">
        <v>673</v>
      </c>
      <c r="D121" s="460" t="s">
        <v>693</v>
      </c>
      <c r="E121" s="461">
        <v>10072203</v>
      </c>
      <c r="F121" s="461">
        <v>22</v>
      </c>
      <c r="G121" s="461">
        <v>165</v>
      </c>
      <c r="H121" s="461">
        <v>30</v>
      </c>
      <c r="I121" s="462">
        <v>0</v>
      </c>
      <c r="J121" s="462">
        <v>0.55000000000000004</v>
      </c>
      <c r="K121" s="462">
        <v>0</v>
      </c>
      <c r="L121" s="462">
        <v>0</v>
      </c>
      <c r="M121" s="462">
        <v>0.55000000000000004</v>
      </c>
      <c r="N121" s="463">
        <v>3.3333333333333335E-3</v>
      </c>
      <c r="O121" s="464">
        <v>0.99666666666666659</v>
      </c>
      <c r="P121" s="463">
        <v>0</v>
      </c>
      <c r="Q121" s="464">
        <v>1</v>
      </c>
      <c r="R121" s="465">
        <v>0</v>
      </c>
      <c r="S121" s="173">
        <f t="shared" si="5"/>
        <v>18</v>
      </c>
      <c r="AT121" s="176" t="str">
        <f>VLOOKUP($E121,RESOURCES!$C:$E,3,FALSE)</f>
        <v>Voice QA</v>
      </c>
      <c r="AU121" s="176" t="str">
        <f t="shared" si="4"/>
        <v>PASQUIN, RYAN E.</v>
      </c>
    </row>
    <row r="122" spans="1:47">
      <c r="A122" s="624" t="s">
        <v>663</v>
      </c>
      <c r="B122" s="624" t="s">
        <v>672</v>
      </c>
      <c r="C122" s="2" t="s">
        <v>673</v>
      </c>
      <c r="D122" s="460" t="s">
        <v>114</v>
      </c>
      <c r="E122" s="461">
        <v>10071617</v>
      </c>
      <c r="F122" s="461">
        <v>22</v>
      </c>
      <c r="G122" s="461">
        <v>165</v>
      </c>
      <c r="H122" s="461">
        <v>30</v>
      </c>
      <c r="I122" s="462">
        <v>15</v>
      </c>
      <c r="J122" s="462">
        <v>0.21666666666666667</v>
      </c>
      <c r="K122" s="462">
        <v>0</v>
      </c>
      <c r="L122" s="462">
        <v>0</v>
      </c>
      <c r="M122" s="462">
        <v>15.216666666666667</v>
      </c>
      <c r="N122" s="463">
        <v>9.2222222222222219E-2</v>
      </c>
      <c r="O122" s="464">
        <v>0.90777777777777779</v>
      </c>
      <c r="P122" s="463">
        <v>9.0909090909090912E-2</v>
      </c>
      <c r="Q122" s="464">
        <v>0.90909090909090906</v>
      </c>
      <c r="R122" s="465">
        <v>0</v>
      </c>
      <c r="S122" s="173">
        <f t="shared" si="5"/>
        <v>18</v>
      </c>
      <c r="AT122" s="176" t="str">
        <f>VLOOKUP($E122,RESOURCES!$C:$E,3,FALSE)</f>
        <v>Proofreader</v>
      </c>
      <c r="AU122" s="176" t="str">
        <f t="shared" si="4"/>
        <v>PASQUIN, RYAN E.</v>
      </c>
    </row>
    <row r="123" spans="1:47">
      <c r="A123" s="624" t="s">
        <v>663</v>
      </c>
      <c r="B123" s="624" t="s">
        <v>672</v>
      </c>
      <c r="C123" s="2" t="s">
        <v>673</v>
      </c>
      <c r="D123" s="460" t="s">
        <v>115</v>
      </c>
      <c r="E123" s="461">
        <v>10072215</v>
      </c>
      <c r="F123" s="461">
        <v>22</v>
      </c>
      <c r="G123" s="461">
        <v>165</v>
      </c>
      <c r="H123" s="461">
        <v>30</v>
      </c>
      <c r="I123" s="462">
        <v>15</v>
      </c>
      <c r="J123" s="462">
        <v>1.1333333333333333</v>
      </c>
      <c r="K123" s="462">
        <v>0</v>
      </c>
      <c r="L123" s="462">
        <v>0</v>
      </c>
      <c r="M123" s="462">
        <v>16.133333333333333</v>
      </c>
      <c r="N123" s="463">
        <v>9.7777777777777769E-2</v>
      </c>
      <c r="O123" s="464">
        <v>0.90222222222222226</v>
      </c>
      <c r="P123" s="463">
        <v>9.0909090909090912E-2</v>
      </c>
      <c r="Q123" s="464">
        <v>0.90909090909090906</v>
      </c>
      <c r="R123" s="465">
        <v>0</v>
      </c>
      <c r="S123" s="173">
        <f t="shared" si="5"/>
        <v>18</v>
      </c>
      <c r="AT123" s="176" t="str">
        <f>VLOOKUP($E123,RESOURCES!$C:$E,3,FALSE)</f>
        <v>Proofreader</v>
      </c>
      <c r="AU123" s="176" t="str">
        <f t="shared" si="4"/>
        <v>PASQUIN, RYAN E.</v>
      </c>
    </row>
    <row r="124" spans="1:47">
      <c r="A124" s="624" t="s">
        <v>663</v>
      </c>
      <c r="B124" s="624" t="s">
        <v>668</v>
      </c>
      <c r="C124" s="2" t="s">
        <v>14</v>
      </c>
      <c r="D124" s="460" t="s">
        <v>161</v>
      </c>
      <c r="E124" s="461">
        <v>10071677</v>
      </c>
      <c r="F124" s="461">
        <v>22</v>
      </c>
      <c r="G124" s="461">
        <v>165</v>
      </c>
      <c r="H124" s="461">
        <v>37.5</v>
      </c>
      <c r="I124" s="462">
        <v>0</v>
      </c>
      <c r="J124" s="462">
        <v>0.2</v>
      </c>
      <c r="K124" s="462">
        <v>0</v>
      </c>
      <c r="L124" s="462">
        <v>0</v>
      </c>
      <c r="M124" s="462">
        <v>0.2</v>
      </c>
      <c r="N124" s="463">
        <v>1.2121212121212121E-3</v>
      </c>
      <c r="O124" s="464">
        <v>0.99878787878787889</v>
      </c>
      <c r="P124" s="463">
        <v>0</v>
      </c>
      <c r="Q124" s="464">
        <v>1</v>
      </c>
      <c r="R124" s="465">
        <v>0</v>
      </c>
      <c r="S124" s="173">
        <f t="shared" si="5"/>
        <v>17</v>
      </c>
      <c r="AT124" s="176" t="str">
        <f>VLOOKUP($E124,RESOURCES!$C:$E,3,FALSE)</f>
        <v>Web Designer</v>
      </c>
      <c r="AU124" s="176" t="str">
        <f t="shared" si="4"/>
        <v>-</v>
      </c>
    </row>
    <row r="125" spans="1:47">
      <c r="A125" s="624" t="s">
        <v>663</v>
      </c>
      <c r="B125" s="624" t="s">
        <v>675</v>
      </c>
      <c r="C125" s="2" t="s">
        <v>673</v>
      </c>
      <c r="D125" s="460" t="s">
        <v>131</v>
      </c>
      <c r="E125" s="461">
        <v>10072452</v>
      </c>
      <c r="F125" s="461">
        <v>22</v>
      </c>
      <c r="G125" s="461">
        <v>165</v>
      </c>
      <c r="H125" s="461">
        <v>22.5</v>
      </c>
      <c r="I125" s="462">
        <v>0</v>
      </c>
      <c r="J125" s="462">
        <v>0</v>
      </c>
      <c r="K125" s="462">
        <v>0</v>
      </c>
      <c r="L125" s="462">
        <v>0</v>
      </c>
      <c r="M125" s="462">
        <v>0</v>
      </c>
      <c r="N125" s="463">
        <v>0</v>
      </c>
      <c r="O125" s="464">
        <v>1</v>
      </c>
      <c r="P125" s="463">
        <v>0</v>
      </c>
      <c r="Q125" s="464">
        <v>1</v>
      </c>
      <c r="R125" s="465">
        <v>0</v>
      </c>
      <c r="S125" s="173">
        <f t="shared" si="5"/>
        <v>19</v>
      </c>
      <c r="AT125" s="176" t="str">
        <f>VLOOKUP($E125,RESOURCES!$C:$E,3,FALSE)</f>
        <v>Internal Mods (PSI)</v>
      </c>
      <c r="AU125" s="176" t="str">
        <f t="shared" si="4"/>
        <v>PASQUIN, RYAN E.</v>
      </c>
    </row>
    <row r="126" spans="1:47">
      <c r="A126" s="624" t="s">
        <v>663</v>
      </c>
      <c r="B126" s="624" t="s">
        <v>675</v>
      </c>
      <c r="C126" s="2" t="s">
        <v>673</v>
      </c>
      <c r="D126" s="460" t="s">
        <v>132</v>
      </c>
      <c r="E126" s="461">
        <v>10071178</v>
      </c>
      <c r="F126" s="461">
        <v>22</v>
      </c>
      <c r="G126" s="461">
        <v>165</v>
      </c>
      <c r="H126" s="461">
        <v>30</v>
      </c>
      <c r="I126" s="462">
        <v>0</v>
      </c>
      <c r="J126" s="462">
        <v>3.0500000000000003</v>
      </c>
      <c r="K126" s="462">
        <v>0</v>
      </c>
      <c r="L126" s="462">
        <v>0</v>
      </c>
      <c r="M126" s="462">
        <v>3.0500000000000003</v>
      </c>
      <c r="N126" s="463">
        <v>1.8484848484848486E-2</v>
      </c>
      <c r="O126" s="464">
        <v>0.98151515151515145</v>
      </c>
      <c r="P126" s="463">
        <v>0</v>
      </c>
      <c r="Q126" s="464">
        <v>1</v>
      </c>
      <c r="R126" s="465">
        <v>1</v>
      </c>
      <c r="S126" s="173">
        <f t="shared" si="5"/>
        <v>18</v>
      </c>
      <c r="AT126" s="176" t="str">
        <f>VLOOKUP($E126,RESOURCES!$C:$E,3,FALSE)</f>
        <v>Internal Mods (PSI)</v>
      </c>
      <c r="AU126" s="176" t="str">
        <f t="shared" si="4"/>
        <v>PASQUIN, RYAN E.</v>
      </c>
    </row>
    <row r="127" spans="1:47">
      <c r="A127" s="624" t="s">
        <v>663</v>
      </c>
      <c r="B127" s="624" t="s">
        <v>664</v>
      </c>
      <c r="C127" s="2" t="s">
        <v>665</v>
      </c>
      <c r="D127" s="460" t="s">
        <v>222</v>
      </c>
      <c r="E127" s="461">
        <v>10072515</v>
      </c>
      <c r="F127" s="461">
        <v>22</v>
      </c>
      <c r="G127" s="461">
        <v>165</v>
      </c>
      <c r="H127" s="461">
        <v>45</v>
      </c>
      <c r="I127" s="462">
        <v>15</v>
      </c>
      <c r="J127" s="462">
        <v>0</v>
      </c>
      <c r="K127" s="462">
        <v>0</v>
      </c>
      <c r="L127" s="462">
        <v>3.3333333333333333E-2</v>
      </c>
      <c r="M127" s="462">
        <v>15.033333333333333</v>
      </c>
      <c r="N127" s="463">
        <v>9.1111111111111115E-2</v>
      </c>
      <c r="O127" s="464">
        <v>0.90888888888888886</v>
      </c>
      <c r="P127" s="463">
        <v>9.0909090909090912E-2</v>
      </c>
      <c r="Q127" s="464">
        <v>0.90909090909090906</v>
      </c>
      <c r="R127" s="465">
        <v>0</v>
      </c>
      <c r="S127" s="173">
        <f t="shared" si="5"/>
        <v>16</v>
      </c>
      <c r="AT127" s="176" t="str">
        <f>VLOOKUP($E127,RESOURCES!$C:$E,3,FALSE)</f>
        <v>Web Designer</v>
      </c>
      <c r="AU127" s="176" t="str">
        <f t="shared" si="4"/>
        <v>TAGUILASO, DARYL B.</v>
      </c>
    </row>
    <row r="128" spans="1:47">
      <c r="A128" s="624" t="s">
        <v>663</v>
      </c>
      <c r="B128" s="624" t="s">
        <v>675</v>
      </c>
      <c r="C128" s="2" t="s">
        <v>673</v>
      </c>
      <c r="D128" s="460" t="s">
        <v>133</v>
      </c>
      <c r="E128" s="461">
        <v>10071439</v>
      </c>
      <c r="F128" s="461">
        <v>22</v>
      </c>
      <c r="G128" s="461">
        <v>165</v>
      </c>
      <c r="H128" s="461">
        <v>22.5</v>
      </c>
      <c r="I128" s="462">
        <v>0</v>
      </c>
      <c r="J128" s="462">
        <v>0.05</v>
      </c>
      <c r="K128" s="462">
        <v>0</v>
      </c>
      <c r="L128" s="462">
        <v>0</v>
      </c>
      <c r="M128" s="462">
        <v>0.05</v>
      </c>
      <c r="N128" s="463">
        <v>3.0303030303030303E-4</v>
      </c>
      <c r="O128" s="464">
        <v>0.99969696969696964</v>
      </c>
      <c r="P128" s="463">
        <v>0</v>
      </c>
      <c r="Q128" s="464">
        <v>1</v>
      </c>
      <c r="R128" s="465">
        <v>2</v>
      </c>
      <c r="S128" s="173">
        <f t="shared" si="5"/>
        <v>19</v>
      </c>
      <c r="AT128" s="176" t="str">
        <f>VLOOKUP($E128,RESOURCES!$C:$E,3,FALSE)</f>
        <v>Internal Mods (PSI)</v>
      </c>
      <c r="AU128" s="176" t="str">
        <f t="shared" si="4"/>
        <v>PASQUIN, RYAN E.</v>
      </c>
    </row>
    <row r="129" spans="1:47">
      <c r="A129" s="624" t="s">
        <v>663</v>
      </c>
      <c r="B129" s="624" t="s">
        <v>668</v>
      </c>
      <c r="C129" s="2" t="s">
        <v>14</v>
      </c>
      <c r="D129" s="460" t="s">
        <v>162</v>
      </c>
      <c r="E129" s="461">
        <v>10071253</v>
      </c>
      <c r="F129" s="461">
        <v>22</v>
      </c>
      <c r="G129" s="461">
        <v>165</v>
      </c>
      <c r="H129" s="461">
        <v>37.5</v>
      </c>
      <c r="I129" s="462">
        <v>0</v>
      </c>
      <c r="J129" s="462">
        <v>1.1000000000000001</v>
      </c>
      <c r="K129" s="462">
        <v>0</v>
      </c>
      <c r="L129" s="462">
        <v>0</v>
      </c>
      <c r="M129" s="462">
        <v>1.1000000000000001</v>
      </c>
      <c r="N129" s="463">
        <v>6.6666666666666671E-3</v>
      </c>
      <c r="O129" s="464">
        <v>0.9933333333333334</v>
      </c>
      <c r="P129" s="463">
        <v>0</v>
      </c>
      <c r="Q129" s="464">
        <v>1</v>
      </c>
      <c r="R129" s="465">
        <v>0</v>
      </c>
      <c r="S129" s="173">
        <f t="shared" si="5"/>
        <v>17</v>
      </c>
      <c r="AT129" s="176" t="str">
        <f>VLOOKUP($E129,RESOURCES!$C:$E,3,FALSE)</f>
        <v>Senior Web Designer</v>
      </c>
      <c r="AU129" s="176" t="str">
        <f t="shared" si="4"/>
        <v>-</v>
      </c>
    </row>
    <row r="130" spans="1:47">
      <c r="A130" s="624" t="s">
        <v>663</v>
      </c>
      <c r="B130" s="624" t="s">
        <v>674</v>
      </c>
      <c r="C130" s="2" t="s">
        <v>14</v>
      </c>
      <c r="D130" s="460" t="s">
        <v>99</v>
      </c>
      <c r="E130" s="461">
        <v>10072206</v>
      </c>
      <c r="F130" s="461">
        <v>22</v>
      </c>
      <c r="G130" s="461">
        <v>165</v>
      </c>
      <c r="H130" s="461">
        <v>22.5</v>
      </c>
      <c r="I130" s="462">
        <v>0</v>
      </c>
      <c r="J130" s="462">
        <v>0</v>
      </c>
      <c r="K130" s="462">
        <v>0</v>
      </c>
      <c r="L130" s="462">
        <v>0</v>
      </c>
      <c r="M130" s="462">
        <v>0</v>
      </c>
      <c r="N130" s="463">
        <v>0</v>
      </c>
      <c r="O130" s="464">
        <v>1</v>
      </c>
      <c r="P130" s="463">
        <v>0</v>
      </c>
      <c r="Q130" s="464">
        <v>1</v>
      </c>
      <c r="R130" s="465">
        <v>0</v>
      </c>
      <c r="S130" s="173">
        <f t="shared" si="5"/>
        <v>19</v>
      </c>
      <c r="AT130" s="176" t="str">
        <f>VLOOKUP($E130,RESOURCES!$C:$E,3,FALSE)</f>
        <v>Web Designer</v>
      </c>
      <c r="AU130" s="176" t="str">
        <f t="shared" si="4"/>
        <v>-</v>
      </c>
    </row>
    <row r="131" spans="1:47">
      <c r="A131" s="624" t="s">
        <v>663</v>
      </c>
      <c r="B131" s="624" t="s">
        <v>669</v>
      </c>
      <c r="C131" s="2" t="s">
        <v>673</v>
      </c>
      <c r="D131" s="460" t="s">
        <v>237</v>
      </c>
      <c r="E131" s="461">
        <v>10071151</v>
      </c>
      <c r="F131" s="461">
        <v>22</v>
      </c>
      <c r="G131" s="461">
        <v>165</v>
      </c>
      <c r="H131" s="461">
        <v>22.5</v>
      </c>
      <c r="I131" s="462">
        <v>37.5</v>
      </c>
      <c r="J131" s="462">
        <v>3.3333333333333333E-2</v>
      </c>
      <c r="K131" s="462">
        <v>0</v>
      </c>
      <c r="L131" s="462">
        <v>0</v>
      </c>
      <c r="M131" s="462">
        <v>37.533333333333331</v>
      </c>
      <c r="N131" s="463">
        <v>0.22747474747474747</v>
      </c>
      <c r="O131" s="464">
        <v>0.7725252525252525</v>
      </c>
      <c r="P131" s="463">
        <v>0.22727272727272727</v>
      </c>
      <c r="Q131" s="464">
        <v>0.77272727272727271</v>
      </c>
      <c r="R131" s="465">
        <v>0</v>
      </c>
      <c r="S131" s="173">
        <f t="shared" si="5"/>
        <v>19</v>
      </c>
      <c r="AT131" s="176" t="str">
        <f>VLOOKUP($E131,RESOURCES!$C:$E,3,FALSE)</f>
        <v>Internal Mods (PSI)</v>
      </c>
      <c r="AU131" s="176" t="str">
        <f t="shared" si="4"/>
        <v>PASQUIN, RYAN E.</v>
      </c>
    </row>
    <row r="132" spans="1:47">
      <c r="A132" s="624" t="s">
        <v>663</v>
      </c>
      <c r="B132" s="624" t="s">
        <v>672</v>
      </c>
      <c r="C132" s="2" t="s">
        <v>673</v>
      </c>
      <c r="D132" s="460" t="s">
        <v>116</v>
      </c>
      <c r="E132" s="461">
        <v>10072213</v>
      </c>
      <c r="F132" s="461">
        <v>22</v>
      </c>
      <c r="G132" s="461">
        <v>165</v>
      </c>
      <c r="H132" s="461">
        <v>45</v>
      </c>
      <c r="I132" s="462">
        <v>7.5</v>
      </c>
      <c r="J132" s="462">
        <v>0</v>
      </c>
      <c r="K132" s="462">
        <v>0</v>
      </c>
      <c r="L132" s="462">
        <v>0</v>
      </c>
      <c r="M132" s="462">
        <v>7.5</v>
      </c>
      <c r="N132" s="463">
        <v>4.5454545454545456E-2</v>
      </c>
      <c r="O132" s="464">
        <v>0.95454545454545459</v>
      </c>
      <c r="P132" s="463">
        <v>4.5454545454545456E-2</v>
      </c>
      <c r="Q132" s="464">
        <v>0.95454545454545459</v>
      </c>
      <c r="R132" s="465">
        <v>0</v>
      </c>
      <c r="S132" s="173">
        <f t="shared" si="5"/>
        <v>16</v>
      </c>
      <c r="AT132" s="176" t="str">
        <f>VLOOKUP($E132,RESOURCES!$C:$E,3,FALSE)</f>
        <v>Proofreader</v>
      </c>
      <c r="AU132" s="176" t="str">
        <f t="shared" si="4"/>
        <v>PASQUIN, RYAN E.</v>
      </c>
    </row>
    <row r="133" spans="1:47">
      <c r="A133" s="624" t="s">
        <v>663</v>
      </c>
      <c r="B133" s="624" t="s">
        <v>664</v>
      </c>
      <c r="C133" s="2" t="s">
        <v>665</v>
      </c>
      <c r="D133" s="460" t="s">
        <v>223</v>
      </c>
      <c r="E133" s="461">
        <v>10072211</v>
      </c>
      <c r="F133" s="461">
        <v>22</v>
      </c>
      <c r="G133" s="461">
        <v>165</v>
      </c>
      <c r="H133" s="461">
        <v>37.5</v>
      </c>
      <c r="I133" s="462">
        <v>0</v>
      </c>
      <c r="J133" s="462">
        <v>0</v>
      </c>
      <c r="K133" s="462">
        <v>0</v>
      </c>
      <c r="L133" s="462">
        <v>0</v>
      </c>
      <c r="M133" s="462">
        <v>0</v>
      </c>
      <c r="N133" s="463">
        <v>0</v>
      </c>
      <c r="O133" s="464">
        <v>1</v>
      </c>
      <c r="P133" s="463">
        <v>0</v>
      </c>
      <c r="Q133" s="464">
        <v>1</v>
      </c>
      <c r="R133" s="465">
        <v>0</v>
      </c>
      <c r="S133" s="173">
        <f t="shared" si="5"/>
        <v>17</v>
      </c>
      <c r="AT133" s="176" t="str">
        <f>VLOOKUP($E133,RESOURCES!$C:$E,3,FALSE)</f>
        <v>Web Designer</v>
      </c>
      <c r="AU133" s="176" t="str">
        <f t="shared" ref="AU133:AU196" si="6">C133</f>
        <v>TAGUILASO, DARYL B.</v>
      </c>
    </row>
    <row r="134" spans="1:47">
      <c r="A134" s="624" t="s">
        <v>663</v>
      </c>
      <c r="B134" s="624" t="s">
        <v>14</v>
      </c>
      <c r="C134" s="2" t="s">
        <v>673</v>
      </c>
      <c r="D134" s="460" t="s">
        <v>675</v>
      </c>
      <c r="E134" s="461">
        <v>10071245</v>
      </c>
      <c r="F134" s="461">
        <v>22</v>
      </c>
      <c r="G134" s="461">
        <v>165</v>
      </c>
      <c r="H134" s="461">
        <v>37.5</v>
      </c>
      <c r="I134" s="462">
        <v>0</v>
      </c>
      <c r="J134" s="462">
        <v>0</v>
      </c>
      <c r="K134" s="462">
        <v>0</v>
      </c>
      <c r="L134" s="462">
        <v>0</v>
      </c>
      <c r="M134" s="462">
        <v>0</v>
      </c>
      <c r="N134" s="463">
        <v>0</v>
      </c>
      <c r="O134" s="464">
        <v>1</v>
      </c>
      <c r="P134" s="463">
        <v>0</v>
      </c>
      <c r="Q134" s="464">
        <v>1</v>
      </c>
      <c r="R134" s="465">
        <v>0</v>
      </c>
      <c r="S134" s="173">
        <f t="shared" si="5"/>
        <v>17</v>
      </c>
      <c r="AT134" s="176" t="e">
        <f>VLOOKUP($E134,RESOURCES!$C:$E,3,FALSE)</f>
        <v>#N/A</v>
      </c>
      <c r="AU134" s="176" t="str">
        <f t="shared" si="6"/>
        <v>PASQUIN, RYAN E.</v>
      </c>
    </row>
    <row r="135" spans="1:47">
      <c r="A135" s="624" t="s">
        <v>663</v>
      </c>
      <c r="B135" s="624" t="s">
        <v>676</v>
      </c>
      <c r="C135" s="2" t="s">
        <v>673</v>
      </c>
      <c r="D135" s="460" t="s">
        <v>694</v>
      </c>
      <c r="E135" s="461">
        <v>10072613</v>
      </c>
      <c r="F135" s="461">
        <v>22</v>
      </c>
      <c r="G135" s="461">
        <v>165</v>
      </c>
      <c r="H135" s="461">
        <v>37.5</v>
      </c>
      <c r="I135" s="462">
        <v>0</v>
      </c>
      <c r="J135" s="462">
        <v>0</v>
      </c>
      <c r="K135" s="462">
        <v>0</v>
      </c>
      <c r="L135" s="462">
        <v>0</v>
      </c>
      <c r="M135" s="462">
        <v>0</v>
      </c>
      <c r="N135" s="463">
        <v>0</v>
      </c>
      <c r="O135" s="464">
        <v>1</v>
      </c>
      <c r="P135" s="463">
        <v>0</v>
      </c>
      <c r="Q135" s="464">
        <v>1</v>
      </c>
      <c r="R135" s="465">
        <v>0</v>
      </c>
      <c r="S135" s="173">
        <f t="shared" si="5"/>
        <v>17</v>
      </c>
      <c r="AT135" s="176" t="str">
        <f>VLOOKUP($E135,RESOURCES!$C:$E,3,FALSE)</f>
        <v>Voice QA</v>
      </c>
      <c r="AU135" s="176" t="str">
        <f t="shared" si="6"/>
        <v>PASQUIN, RYAN E.</v>
      </c>
    </row>
    <row r="136" spans="1:47">
      <c r="A136" s="624" t="s">
        <v>663</v>
      </c>
      <c r="B136" s="624" t="s">
        <v>14</v>
      </c>
      <c r="C136" s="2" t="s">
        <v>673</v>
      </c>
      <c r="D136" s="460" t="s">
        <v>672</v>
      </c>
      <c r="E136" s="461">
        <v>10070828</v>
      </c>
      <c r="F136" s="461">
        <v>22</v>
      </c>
      <c r="G136" s="461">
        <v>165</v>
      </c>
      <c r="H136" s="461">
        <v>30</v>
      </c>
      <c r="I136" s="462">
        <v>41.25</v>
      </c>
      <c r="J136" s="462">
        <v>0.53333333333333333</v>
      </c>
      <c r="K136" s="462">
        <v>0</v>
      </c>
      <c r="L136" s="462">
        <v>0</v>
      </c>
      <c r="M136" s="462">
        <v>41.783333333333331</v>
      </c>
      <c r="N136" s="463">
        <v>0.2532323232323232</v>
      </c>
      <c r="O136" s="464">
        <v>0.74676767676767675</v>
      </c>
      <c r="P136" s="463">
        <v>0.25</v>
      </c>
      <c r="Q136" s="464">
        <v>0.75</v>
      </c>
      <c r="R136" s="465">
        <v>0</v>
      </c>
      <c r="S136" s="173">
        <f t="shared" si="5"/>
        <v>18</v>
      </c>
      <c r="AT136" s="176" t="e">
        <f>VLOOKUP($E136,RESOURCES!$C:$E,3,FALSE)</f>
        <v>#N/A</v>
      </c>
      <c r="AU136" s="176" t="str">
        <f t="shared" si="6"/>
        <v>PASQUIN, RYAN E.</v>
      </c>
    </row>
    <row r="137" spans="1:47">
      <c r="A137" s="624" t="s">
        <v>663</v>
      </c>
      <c r="B137" s="624" t="s">
        <v>668</v>
      </c>
      <c r="C137" s="2" t="s">
        <v>14</v>
      </c>
      <c r="D137" s="460" t="s">
        <v>166</v>
      </c>
      <c r="E137" s="461">
        <v>10072255</v>
      </c>
      <c r="F137" s="461">
        <v>22</v>
      </c>
      <c r="G137" s="461">
        <v>165</v>
      </c>
      <c r="H137" s="461">
        <v>37.5</v>
      </c>
      <c r="I137" s="462">
        <v>7.5</v>
      </c>
      <c r="J137" s="462">
        <v>2.583333333333333</v>
      </c>
      <c r="K137" s="462">
        <v>0</v>
      </c>
      <c r="L137" s="462">
        <v>0</v>
      </c>
      <c r="M137" s="462">
        <v>10.083333333333332</v>
      </c>
      <c r="N137" s="463">
        <v>6.1111111111111102E-2</v>
      </c>
      <c r="O137" s="464">
        <v>0.93888888888888888</v>
      </c>
      <c r="P137" s="463">
        <v>4.5454545454545456E-2</v>
      </c>
      <c r="Q137" s="464">
        <v>0.95454545454545459</v>
      </c>
      <c r="R137" s="465">
        <v>0</v>
      </c>
      <c r="S137" s="173">
        <f t="shared" si="5"/>
        <v>17</v>
      </c>
      <c r="AT137" s="176" t="str">
        <f>VLOOKUP($E137,RESOURCES!$C:$E,3,FALSE)</f>
        <v>Web Designer</v>
      </c>
      <c r="AU137" s="176" t="str">
        <f t="shared" si="6"/>
        <v>-</v>
      </c>
    </row>
    <row r="138" spans="1:47">
      <c r="A138" s="624" t="s">
        <v>663</v>
      </c>
      <c r="B138" s="624" t="s">
        <v>14</v>
      </c>
      <c r="C138" s="2" t="s">
        <v>14</v>
      </c>
      <c r="D138" s="460" t="s">
        <v>674</v>
      </c>
      <c r="E138" s="461">
        <v>10070655</v>
      </c>
      <c r="F138" s="461">
        <v>22</v>
      </c>
      <c r="G138" s="461">
        <v>165</v>
      </c>
      <c r="H138" s="461">
        <v>30</v>
      </c>
      <c r="I138" s="462">
        <v>0</v>
      </c>
      <c r="J138" s="462">
        <v>1.75</v>
      </c>
      <c r="K138" s="462">
        <v>0</v>
      </c>
      <c r="L138" s="462">
        <v>1.9166666666666667</v>
      </c>
      <c r="M138" s="462">
        <v>3.666666666666667</v>
      </c>
      <c r="N138" s="463">
        <v>2.2222222222222223E-2</v>
      </c>
      <c r="O138" s="464">
        <v>0.97777777777777786</v>
      </c>
      <c r="P138" s="463">
        <v>0</v>
      </c>
      <c r="Q138" s="464">
        <v>1</v>
      </c>
      <c r="R138" s="465">
        <v>0</v>
      </c>
      <c r="S138" s="173">
        <f t="shared" si="5"/>
        <v>18</v>
      </c>
      <c r="AT138" s="176" t="e">
        <f>VLOOKUP($E138,RESOURCES!$C:$E,3,FALSE)</f>
        <v>#N/A</v>
      </c>
      <c r="AU138" s="176" t="str">
        <f t="shared" si="6"/>
        <v>-</v>
      </c>
    </row>
    <row r="139" spans="1:47">
      <c r="A139" s="624" t="s">
        <v>663</v>
      </c>
      <c r="B139" s="624" t="s">
        <v>676</v>
      </c>
      <c r="C139" s="2" t="s">
        <v>673</v>
      </c>
      <c r="D139" s="460" t="s">
        <v>695</v>
      </c>
      <c r="E139" s="461">
        <v>10071428</v>
      </c>
      <c r="F139" s="461">
        <v>22</v>
      </c>
      <c r="G139" s="461">
        <v>165</v>
      </c>
      <c r="H139" s="461">
        <v>37.5</v>
      </c>
      <c r="I139" s="462">
        <v>15</v>
      </c>
      <c r="J139" s="462">
        <v>0.55000000000000004</v>
      </c>
      <c r="K139" s="462">
        <v>0</v>
      </c>
      <c r="L139" s="462">
        <v>0</v>
      </c>
      <c r="M139" s="462">
        <v>15.55</v>
      </c>
      <c r="N139" s="463">
        <v>9.4242424242424253E-2</v>
      </c>
      <c r="O139" s="464">
        <v>0.90575757575757565</v>
      </c>
      <c r="P139" s="463">
        <v>9.0909090909090912E-2</v>
      </c>
      <c r="Q139" s="464">
        <v>0.90909090909090906</v>
      </c>
      <c r="R139" s="465">
        <v>0</v>
      </c>
      <c r="S139" s="173">
        <f t="shared" si="5"/>
        <v>17</v>
      </c>
      <c r="AT139" s="176" t="str">
        <f>VLOOKUP($E139,RESOURCES!$C:$E,3,FALSE)</f>
        <v>Voice QA</v>
      </c>
      <c r="AU139" s="176" t="str">
        <f t="shared" si="6"/>
        <v>PASQUIN, RYAN E.</v>
      </c>
    </row>
    <row r="140" spans="1:47">
      <c r="A140" s="624" t="s">
        <v>663</v>
      </c>
      <c r="B140" s="624" t="s">
        <v>679</v>
      </c>
      <c r="C140" s="2" t="s">
        <v>665</v>
      </c>
      <c r="D140" s="460" t="s">
        <v>179</v>
      </c>
      <c r="E140" s="461">
        <v>10071296</v>
      </c>
      <c r="F140" s="461">
        <v>22</v>
      </c>
      <c r="G140" s="461">
        <v>165</v>
      </c>
      <c r="H140" s="461">
        <v>22.5</v>
      </c>
      <c r="I140" s="462">
        <v>7.5</v>
      </c>
      <c r="J140" s="462">
        <v>0</v>
      </c>
      <c r="K140" s="462">
        <v>0</v>
      </c>
      <c r="L140" s="462">
        <v>0</v>
      </c>
      <c r="M140" s="462">
        <v>7.5</v>
      </c>
      <c r="N140" s="463">
        <v>4.5454545454545456E-2</v>
      </c>
      <c r="O140" s="464">
        <v>0.95454545454545459</v>
      </c>
      <c r="P140" s="463">
        <v>4.5454545454545456E-2</v>
      </c>
      <c r="Q140" s="464">
        <v>0.95454545454545459</v>
      </c>
      <c r="R140" s="465">
        <v>0</v>
      </c>
      <c r="S140" s="173">
        <f t="shared" si="5"/>
        <v>19</v>
      </c>
      <c r="AT140" s="176" t="str">
        <f>VLOOKUP($E140,RESOURCES!$C:$E,3,FALSE)</f>
        <v>Web Designer</v>
      </c>
      <c r="AU140" s="176" t="str">
        <f t="shared" si="6"/>
        <v>TAGUILASO, DARYL B.</v>
      </c>
    </row>
    <row r="141" spans="1:47">
      <c r="A141" s="624" t="s">
        <v>663</v>
      </c>
      <c r="B141" s="624" t="s">
        <v>670</v>
      </c>
      <c r="C141" s="2" t="s">
        <v>665</v>
      </c>
      <c r="D141" s="460" t="s">
        <v>203</v>
      </c>
      <c r="E141" s="461">
        <v>10072180</v>
      </c>
      <c r="F141" s="461">
        <v>22</v>
      </c>
      <c r="G141" s="461">
        <v>165</v>
      </c>
      <c r="H141" s="461">
        <v>45</v>
      </c>
      <c r="I141" s="462">
        <v>0</v>
      </c>
      <c r="J141" s="462">
        <v>0</v>
      </c>
      <c r="K141" s="462">
        <v>0</v>
      </c>
      <c r="L141" s="462">
        <v>0</v>
      </c>
      <c r="M141" s="462">
        <v>0</v>
      </c>
      <c r="N141" s="463">
        <v>0</v>
      </c>
      <c r="O141" s="464">
        <v>1</v>
      </c>
      <c r="P141" s="463">
        <v>0</v>
      </c>
      <c r="Q141" s="464">
        <v>1</v>
      </c>
      <c r="R141" s="465">
        <v>0</v>
      </c>
      <c r="S141" s="173">
        <f t="shared" ref="S141:S204" si="7">F141-(H141/7.5)</f>
        <v>16</v>
      </c>
      <c r="AT141" s="176" t="str">
        <f>VLOOKUP($E141,RESOURCES!$C:$E,3,FALSE)</f>
        <v>Web Designer</v>
      </c>
      <c r="AU141" s="176" t="str">
        <f t="shared" si="6"/>
        <v>TAGUILASO, DARYL B.</v>
      </c>
    </row>
    <row r="142" spans="1:47">
      <c r="A142" s="624" t="s">
        <v>663</v>
      </c>
      <c r="B142" s="624" t="s">
        <v>670</v>
      </c>
      <c r="C142" s="2" t="s">
        <v>665</v>
      </c>
      <c r="D142" s="460" t="s">
        <v>212</v>
      </c>
      <c r="E142" s="461">
        <v>10072073</v>
      </c>
      <c r="F142" s="461">
        <v>22</v>
      </c>
      <c r="G142" s="461">
        <v>165</v>
      </c>
      <c r="H142" s="461">
        <v>45</v>
      </c>
      <c r="I142" s="462">
        <v>15</v>
      </c>
      <c r="J142" s="462">
        <v>0</v>
      </c>
      <c r="K142" s="462">
        <v>0</v>
      </c>
      <c r="L142" s="462">
        <v>0</v>
      </c>
      <c r="M142" s="462">
        <v>15</v>
      </c>
      <c r="N142" s="463">
        <v>9.0909090909090912E-2</v>
      </c>
      <c r="O142" s="464">
        <v>0.90909090909090906</v>
      </c>
      <c r="P142" s="463">
        <v>9.0909090909090912E-2</v>
      </c>
      <c r="Q142" s="464">
        <v>0.90909090909090906</v>
      </c>
      <c r="R142" s="465">
        <v>0</v>
      </c>
      <c r="S142" s="173">
        <f t="shared" si="7"/>
        <v>16</v>
      </c>
      <c r="AT142" s="176" t="str">
        <f>VLOOKUP($E142,RESOURCES!$C:$E,3,FALSE)</f>
        <v>Web Designer</v>
      </c>
      <c r="AU142" s="176" t="str">
        <f t="shared" si="6"/>
        <v>TAGUILASO, DARYL B.</v>
      </c>
    </row>
    <row r="143" spans="1:47">
      <c r="A143" s="624" t="s">
        <v>663</v>
      </c>
      <c r="B143" s="624" t="s">
        <v>679</v>
      </c>
      <c r="C143" s="2" t="s">
        <v>665</v>
      </c>
      <c r="D143" s="460" t="s">
        <v>180</v>
      </c>
      <c r="E143" s="461">
        <v>10071972</v>
      </c>
      <c r="F143" s="461">
        <v>22</v>
      </c>
      <c r="G143" s="461">
        <v>165</v>
      </c>
      <c r="H143" s="461">
        <v>37.5</v>
      </c>
      <c r="I143" s="462">
        <v>0</v>
      </c>
      <c r="J143" s="462">
        <v>0</v>
      </c>
      <c r="K143" s="462">
        <v>0</v>
      </c>
      <c r="L143" s="462">
        <v>0</v>
      </c>
      <c r="M143" s="462">
        <v>0</v>
      </c>
      <c r="N143" s="463">
        <v>0</v>
      </c>
      <c r="O143" s="464">
        <v>1</v>
      </c>
      <c r="P143" s="463">
        <v>0</v>
      </c>
      <c r="Q143" s="464">
        <v>1</v>
      </c>
      <c r="R143" s="465">
        <v>0</v>
      </c>
      <c r="S143" s="173">
        <f t="shared" si="7"/>
        <v>17</v>
      </c>
      <c r="AT143" s="176" t="str">
        <f>VLOOKUP($E143,RESOURCES!$C:$E,3,FALSE)</f>
        <v>DBA</v>
      </c>
      <c r="AU143" s="176" t="str">
        <f t="shared" si="6"/>
        <v>TAGUILASO, DARYL B.</v>
      </c>
    </row>
    <row r="144" spans="1:47">
      <c r="A144" s="624" t="s">
        <v>663</v>
      </c>
      <c r="B144" s="624" t="s">
        <v>671</v>
      </c>
      <c r="C144" s="2" t="s">
        <v>14</v>
      </c>
      <c r="D144" s="460" t="s">
        <v>150</v>
      </c>
      <c r="E144" s="461">
        <v>10072159</v>
      </c>
      <c r="F144" s="461">
        <v>22</v>
      </c>
      <c r="G144" s="461">
        <v>165</v>
      </c>
      <c r="H144" s="461">
        <v>45</v>
      </c>
      <c r="I144" s="462">
        <v>0</v>
      </c>
      <c r="J144" s="462">
        <v>0.31666666666666665</v>
      </c>
      <c r="K144" s="462">
        <v>0</v>
      </c>
      <c r="L144" s="462">
        <v>0</v>
      </c>
      <c r="M144" s="462">
        <v>0.31666666666666665</v>
      </c>
      <c r="N144" s="463">
        <v>1.9191919191919192E-3</v>
      </c>
      <c r="O144" s="464">
        <v>0.99808080808080812</v>
      </c>
      <c r="P144" s="463">
        <v>0</v>
      </c>
      <c r="Q144" s="464">
        <v>1</v>
      </c>
      <c r="R144" s="465">
        <v>0</v>
      </c>
      <c r="S144" s="173">
        <f t="shared" si="7"/>
        <v>16</v>
      </c>
      <c r="AT144" s="176" t="str">
        <f>VLOOKUP($E144,RESOURCES!$C:$E,3,FALSE)</f>
        <v>Web Designer</v>
      </c>
      <c r="AU144" s="176" t="str">
        <f t="shared" si="6"/>
        <v>-</v>
      </c>
    </row>
    <row r="145" spans="1:47">
      <c r="A145" s="624" t="s">
        <v>663</v>
      </c>
      <c r="B145" s="624" t="s">
        <v>668</v>
      </c>
      <c r="C145" s="2" t="s">
        <v>14</v>
      </c>
      <c r="D145" s="460" t="s">
        <v>167</v>
      </c>
      <c r="E145" s="461">
        <v>10070729</v>
      </c>
      <c r="F145" s="461">
        <v>22</v>
      </c>
      <c r="G145" s="461">
        <v>165</v>
      </c>
      <c r="H145" s="461">
        <v>30</v>
      </c>
      <c r="I145" s="462">
        <v>22.5</v>
      </c>
      <c r="J145" s="462">
        <v>0</v>
      </c>
      <c r="K145" s="462">
        <v>0</v>
      </c>
      <c r="L145" s="462">
        <v>0</v>
      </c>
      <c r="M145" s="462">
        <v>22.5</v>
      </c>
      <c r="N145" s="463">
        <v>0.13636363636363635</v>
      </c>
      <c r="O145" s="464">
        <v>0.86363636363636365</v>
      </c>
      <c r="P145" s="463">
        <v>0.13636363636363635</v>
      </c>
      <c r="Q145" s="464">
        <v>0.86363636363636365</v>
      </c>
      <c r="R145" s="465">
        <v>0</v>
      </c>
      <c r="S145" s="173">
        <f t="shared" si="7"/>
        <v>18</v>
      </c>
      <c r="AT145" s="176" t="str">
        <f>VLOOKUP($E145,RESOURCES!$C:$E,3,FALSE)</f>
        <v>Senior Web Designer</v>
      </c>
      <c r="AU145" s="176" t="str">
        <f t="shared" si="6"/>
        <v>-</v>
      </c>
    </row>
    <row r="146" spans="1:47">
      <c r="A146" s="624" t="s">
        <v>663</v>
      </c>
      <c r="B146" s="624" t="s">
        <v>669</v>
      </c>
      <c r="C146" s="2" t="s">
        <v>673</v>
      </c>
      <c r="D146" s="460" t="s">
        <v>238</v>
      </c>
      <c r="E146" s="461">
        <v>10072439</v>
      </c>
      <c r="F146" s="461">
        <v>22</v>
      </c>
      <c r="G146" s="461">
        <v>165</v>
      </c>
      <c r="H146" s="461">
        <v>37.5</v>
      </c>
      <c r="I146" s="462">
        <v>30</v>
      </c>
      <c r="J146" s="462">
        <v>0.71666666666666656</v>
      </c>
      <c r="K146" s="462">
        <v>0</v>
      </c>
      <c r="L146" s="462">
        <v>0</v>
      </c>
      <c r="M146" s="462">
        <v>30.716666666666665</v>
      </c>
      <c r="N146" s="463">
        <v>0.18616161616161614</v>
      </c>
      <c r="O146" s="464">
        <v>0.81383838383838381</v>
      </c>
      <c r="P146" s="463">
        <v>0.18181818181818182</v>
      </c>
      <c r="Q146" s="464">
        <v>0.81818181818181823</v>
      </c>
      <c r="R146" s="465">
        <v>0</v>
      </c>
      <c r="S146" s="173">
        <f t="shared" si="7"/>
        <v>17</v>
      </c>
      <c r="AT146" s="176" t="str">
        <f>VLOOKUP($E146,RESOURCES!$C:$E,3,FALSE)</f>
        <v>Internal Mods (PSI)</v>
      </c>
      <c r="AU146" s="176" t="str">
        <f t="shared" si="6"/>
        <v>PASQUIN, RYAN E.</v>
      </c>
    </row>
    <row r="147" spans="1:47">
      <c r="A147" s="624" t="s">
        <v>663</v>
      </c>
      <c r="B147" s="624" t="s">
        <v>668</v>
      </c>
      <c r="C147" s="2" t="s">
        <v>14</v>
      </c>
      <c r="D147" s="460" t="s">
        <v>163</v>
      </c>
      <c r="E147" s="461">
        <v>10072450</v>
      </c>
      <c r="F147" s="461">
        <v>22</v>
      </c>
      <c r="G147" s="461">
        <v>165</v>
      </c>
      <c r="H147" s="461">
        <v>37.5</v>
      </c>
      <c r="I147" s="462">
        <v>15</v>
      </c>
      <c r="J147" s="462">
        <v>0.6</v>
      </c>
      <c r="K147" s="462">
        <v>0</v>
      </c>
      <c r="L147" s="462">
        <v>0</v>
      </c>
      <c r="M147" s="462">
        <v>15.6</v>
      </c>
      <c r="N147" s="463">
        <v>9.4545454545454544E-2</v>
      </c>
      <c r="O147" s="464">
        <v>0.90545454545454551</v>
      </c>
      <c r="P147" s="463">
        <v>9.0909090909090912E-2</v>
      </c>
      <c r="Q147" s="464">
        <v>0.90909090909090906</v>
      </c>
      <c r="R147" s="465">
        <v>0</v>
      </c>
      <c r="S147" s="173">
        <f t="shared" si="7"/>
        <v>17</v>
      </c>
      <c r="AT147" s="176" t="str">
        <f>VLOOKUP($E147,RESOURCES!$C:$E,3,FALSE)</f>
        <v>Web Designer</v>
      </c>
      <c r="AU147" s="176" t="str">
        <f t="shared" si="6"/>
        <v>-</v>
      </c>
    </row>
    <row r="148" spans="1:47">
      <c r="A148" s="624" t="s">
        <v>663</v>
      </c>
      <c r="B148" s="624" t="s">
        <v>676</v>
      </c>
      <c r="C148" s="2" t="s">
        <v>673</v>
      </c>
      <c r="D148" s="460" t="s">
        <v>696</v>
      </c>
      <c r="E148" s="461">
        <v>10072011</v>
      </c>
      <c r="F148" s="461">
        <v>22</v>
      </c>
      <c r="G148" s="461">
        <v>165</v>
      </c>
      <c r="H148" s="461">
        <v>37.5</v>
      </c>
      <c r="I148" s="462">
        <v>0</v>
      </c>
      <c r="J148" s="462">
        <v>3.3333333333333333E-2</v>
      </c>
      <c r="K148" s="462">
        <v>0</v>
      </c>
      <c r="L148" s="462">
        <v>0</v>
      </c>
      <c r="M148" s="462">
        <v>3.3333333333333333E-2</v>
      </c>
      <c r="N148" s="463">
        <v>2.0202020202020202E-4</v>
      </c>
      <c r="O148" s="464">
        <v>0.9997979797979798</v>
      </c>
      <c r="P148" s="463">
        <v>0</v>
      </c>
      <c r="Q148" s="464">
        <v>1</v>
      </c>
      <c r="R148" s="465">
        <v>0</v>
      </c>
      <c r="S148" s="173">
        <f t="shared" si="7"/>
        <v>17</v>
      </c>
      <c r="AT148" s="176" t="str">
        <f>VLOOKUP($E148,RESOURCES!$C:$E,3,FALSE)</f>
        <v>Voice QA</v>
      </c>
      <c r="AU148" s="176" t="str">
        <f t="shared" si="6"/>
        <v>PASQUIN, RYAN E.</v>
      </c>
    </row>
    <row r="149" spans="1:47">
      <c r="A149" s="624" t="s">
        <v>663</v>
      </c>
      <c r="B149" s="624" t="s">
        <v>680</v>
      </c>
      <c r="C149" s="2" t="s">
        <v>665</v>
      </c>
      <c r="D149" s="460" t="s">
        <v>195</v>
      </c>
      <c r="E149" s="461">
        <v>10072243</v>
      </c>
      <c r="F149" s="461">
        <v>22</v>
      </c>
      <c r="G149" s="461">
        <v>165</v>
      </c>
      <c r="H149" s="461">
        <v>37.5</v>
      </c>
      <c r="I149" s="462">
        <v>0</v>
      </c>
      <c r="J149" s="462">
        <v>0</v>
      </c>
      <c r="K149" s="462">
        <v>0</v>
      </c>
      <c r="L149" s="462">
        <v>0</v>
      </c>
      <c r="M149" s="462">
        <v>0</v>
      </c>
      <c r="N149" s="463">
        <v>0</v>
      </c>
      <c r="O149" s="464">
        <v>1</v>
      </c>
      <c r="P149" s="463">
        <v>0</v>
      </c>
      <c r="Q149" s="464">
        <v>1</v>
      </c>
      <c r="R149" s="465">
        <v>0</v>
      </c>
      <c r="S149" s="173">
        <f t="shared" si="7"/>
        <v>17</v>
      </c>
      <c r="AT149" s="176" t="str">
        <f>VLOOKUP($E149,RESOURCES!$C:$E,3,FALSE)</f>
        <v>Senior Web Designer</v>
      </c>
      <c r="AU149" s="176" t="str">
        <f t="shared" si="6"/>
        <v>TAGUILASO, DARYL B.</v>
      </c>
    </row>
    <row r="150" spans="1:47">
      <c r="A150" s="624" t="s">
        <v>663</v>
      </c>
      <c r="B150" s="624" t="s">
        <v>679</v>
      </c>
      <c r="C150" s="2" t="s">
        <v>665</v>
      </c>
      <c r="D150" s="460" t="s">
        <v>181</v>
      </c>
      <c r="E150" s="461">
        <v>10071283</v>
      </c>
      <c r="F150" s="461">
        <v>22</v>
      </c>
      <c r="G150" s="461">
        <v>165</v>
      </c>
      <c r="H150" s="461">
        <v>30</v>
      </c>
      <c r="I150" s="462">
        <v>0</v>
      </c>
      <c r="J150" s="462">
        <v>0</v>
      </c>
      <c r="K150" s="462">
        <v>0</v>
      </c>
      <c r="L150" s="462">
        <v>0</v>
      </c>
      <c r="M150" s="462">
        <v>0</v>
      </c>
      <c r="N150" s="463">
        <v>0</v>
      </c>
      <c r="O150" s="464">
        <v>1</v>
      </c>
      <c r="P150" s="463">
        <v>0</v>
      </c>
      <c r="Q150" s="464">
        <v>1</v>
      </c>
      <c r="R150" s="465">
        <v>0</v>
      </c>
      <c r="S150" s="173">
        <f t="shared" si="7"/>
        <v>18</v>
      </c>
      <c r="AT150" s="176" t="str">
        <f>VLOOKUP($E150,RESOURCES!$C:$E,3,FALSE)</f>
        <v>Web Designer</v>
      </c>
      <c r="AU150" s="176" t="str">
        <f t="shared" si="6"/>
        <v>TAGUILASO, DARYL B.</v>
      </c>
    </row>
    <row r="151" spans="1:47">
      <c r="A151" s="624" t="s">
        <v>663</v>
      </c>
      <c r="B151" s="624" t="s">
        <v>14</v>
      </c>
      <c r="C151" s="2" t="s">
        <v>14</v>
      </c>
      <c r="D151" s="460" t="s">
        <v>697</v>
      </c>
      <c r="E151" s="461">
        <v>10072818</v>
      </c>
      <c r="F151" s="461">
        <v>22</v>
      </c>
      <c r="G151" s="461">
        <v>165</v>
      </c>
      <c r="H151" s="461">
        <v>22.5</v>
      </c>
      <c r="I151" s="462">
        <v>0</v>
      </c>
      <c r="J151" s="462">
        <v>0</v>
      </c>
      <c r="K151" s="462">
        <v>0</v>
      </c>
      <c r="L151" s="462">
        <v>0</v>
      </c>
      <c r="M151" s="462">
        <v>0</v>
      </c>
      <c r="N151" s="463">
        <v>0</v>
      </c>
      <c r="O151" s="464">
        <v>1</v>
      </c>
      <c r="P151" s="463">
        <v>0</v>
      </c>
      <c r="Q151" s="464">
        <v>1</v>
      </c>
      <c r="R151" s="465">
        <v>0</v>
      </c>
      <c r="S151" s="173">
        <f t="shared" si="7"/>
        <v>19</v>
      </c>
      <c r="AT151" s="176" t="e">
        <f>VLOOKUP($E151,RESOURCES!$C:$E,3,FALSE)</f>
        <v>#N/A</v>
      </c>
      <c r="AU151" s="176" t="str">
        <f t="shared" si="6"/>
        <v>-</v>
      </c>
    </row>
    <row r="152" spans="1:47">
      <c r="A152" s="624" t="s">
        <v>663</v>
      </c>
      <c r="B152" s="624" t="s">
        <v>672</v>
      </c>
      <c r="C152" s="2" t="s">
        <v>673</v>
      </c>
      <c r="D152" s="460" t="s">
        <v>117</v>
      </c>
      <c r="E152" s="461">
        <v>10071055</v>
      </c>
      <c r="F152" s="461">
        <v>22</v>
      </c>
      <c r="G152" s="461">
        <v>165</v>
      </c>
      <c r="H152" s="461">
        <v>37.5</v>
      </c>
      <c r="I152" s="462">
        <v>0</v>
      </c>
      <c r="J152" s="462">
        <v>8.3333333333333329E-2</v>
      </c>
      <c r="K152" s="462">
        <v>0</v>
      </c>
      <c r="L152" s="462">
        <v>0</v>
      </c>
      <c r="M152" s="462">
        <v>8.3333333333333329E-2</v>
      </c>
      <c r="N152" s="463">
        <v>5.0505050505050505E-4</v>
      </c>
      <c r="O152" s="464">
        <v>0.99949494949494944</v>
      </c>
      <c r="P152" s="463">
        <v>0</v>
      </c>
      <c r="Q152" s="464">
        <v>1</v>
      </c>
      <c r="R152" s="465">
        <v>0</v>
      </c>
      <c r="S152" s="173">
        <f t="shared" si="7"/>
        <v>17</v>
      </c>
      <c r="AT152" s="176" t="str">
        <f>VLOOKUP($E152,RESOURCES!$C:$E,3,FALSE)</f>
        <v>Proofreader</v>
      </c>
      <c r="AU152" s="176" t="str">
        <f t="shared" si="6"/>
        <v>PASQUIN, RYAN E.</v>
      </c>
    </row>
    <row r="153" spans="1:47">
      <c r="A153" s="624" t="s">
        <v>663</v>
      </c>
      <c r="B153" s="624" t="s">
        <v>664</v>
      </c>
      <c r="C153" s="2" t="s">
        <v>665</v>
      </c>
      <c r="D153" s="460" t="s">
        <v>698</v>
      </c>
      <c r="E153" s="461">
        <v>10071903</v>
      </c>
      <c r="F153" s="461">
        <v>22</v>
      </c>
      <c r="G153" s="461">
        <v>165</v>
      </c>
      <c r="H153" s="461">
        <v>30</v>
      </c>
      <c r="I153" s="462">
        <v>0</v>
      </c>
      <c r="J153" s="462">
        <v>0</v>
      </c>
      <c r="K153" s="462">
        <v>0</v>
      </c>
      <c r="L153" s="462">
        <v>0</v>
      </c>
      <c r="M153" s="462">
        <v>0</v>
      </c>
      <c r="N153" s="463">
        <v>0</v>
      </c>
      <c r="O153" s="464">
        <v>1</v>
      </c>
      <c r="P153" s="463">
        <v>0</v>
      </c>
      <c r="Q153" s="464">
        <v>1</v>
      </c>
      <c r="R153" s="465">
        <v>0</v>
      </c>
      <c r="S153" s="173">
        <f t="shared" si="7"/>
        <v>18</v>
      </c>
      <c r="AT153" s="176" t="str">
        <f>VLOOKUP($E153,RESOURCES!$C:$E,3,FALSE)</f>
        <v>Web Designer</v>
      </c>
      <c r="AU153" s="176" t="str">
        <f t="shared" si="6"/>
        <v>TAGUILASO, DARYL B.</v>
      </c>
    </row>
    <row r="154" spans="1:47">
      <c r="A154" s="624" t="s">
        <v>663</v>
      </c>
      <c r="B154" s="624" t="s">
        <v>672</v>
      </c>
      <c r="C154" s="2" t="s">
        <v>673</v>
      </c>
      <c r="D154" s="460" t="s">
        <v>118</v>
      </c>
      <c r="E154" s="461">
        <v>10070996</v>
      </c>
      <c r="F154" s="461">
        <v>22</v>
      </c>
      <c r="G154" s="461">
        <v>165</v>
      </c>
      <c r="H154" s="461">
        <v>22.5</v>
      </c>
      <c r="I154" s="462">
        <v>15</v>
      </c>
      <c r="J154" s="462">
        <v>0.58333333333333337</v>
      </c>
      <c r="K154" s="462">
        <v>0</v>
      </c>
      <c r="L154" s="462">
        <v>0</v>
      </c>
      <c r="M154" s="462">
        <v>15.583333333333334</v>
      </c>
      <c r="N154" s="463">
        <v>9.4444444444444442E-2</v>
      </c>
      <c r="O154" s="464">
        <v>0.90555555555555545</v>
      </c>
      <c r="P154" s="463">
        <v>9.0909090909090912E-2</v>
      </c>
      <c r="Q154" s="464">
        <v>0.90909090909090906</v>
      </c>
      <c r="R154" s="465">
        <v>0</v>
      </c>
      <c r="S154" s="173">
        <f t="shared" si="7"/>
        <v>19</v>
      </c>
      <c r="AT154" s="176" t="str">
        <f>VLOOKUP($E154,RESOURCES!$C:$E,3,FALSE)</f>
        <v>Proofreader</v>
      </c>
      <c r="AU154" s="176" t="str">
        <f t="shared" si="6"/>
        <v>PASQUIN, RYAN E.</v>
      </c>
    </row>
    <row r="155" spans="1:47">
      <c r="A155" s="624" t="s">
        <v>663</v>
      </c>
      <c r="B155" s="624" t="s">
        <v>680</v>
      </c>
      <c r="C155" s="2" t="s">
        <v>665</v>
      </c>
      <c r="D155" s="460" t="s">
        <v>196</v>
      </c>
      <c r="E155" s="461">
        <v>10072096</v>
      </c>
      <c r="F155" s="461">
        <v>22</v>
      </c>
      <c r="G155" s="461">
        <v>165</v>
      </c>
      <c r="H155" s="461">
        <v>45</v>
      </c>
      <c r="I155" s="462">
        <v>0</v>
      </c>
      <c r="J155" s="462">
        <v>3.3333333333333333E-2</v>
      </c>
      <c r="K155" s="462">
        <v>0</v>
      </c>
      <c r="L155" s="462">
        <v>1.6666666666666666E-2</v>
      </c>
      <c r="M155" s="462">
        <v>0.05</v>
      </c>
      <c r="N155" s="463">
        <v>3.0303030303030303E-4</v>
      </c>
      <c r="O155" s="464">
        <v>0.99969696969696964</v>
      </c>
      <c r="P155" s="463">
        <v>0</v>
      </c>
      <c r="Q155" s="464">
        <v>1</v>
      </c>
      <c r="R155" s="465">
        <v>0</v>
      </c>
      <c r="S155" s="173">
        <f t="shared" si="7"/>
        <v>16</v>
      </c>
      <c r="AT155" s="176" t="str">
        <f>VLOOKUP($E155,RESOURCES!$C:$E,3,FALSE)</f>
        <v>Web Designer</v>
      </c>
      <c r="AU155" s="176" t="str">
        <f t="shared" si="6"/>
        <v>TAGUILASO, DARYL B.</v>
      </c>
    </row>
    <row r="156" spans="1:47">
      <c r="A156" s="624" t="s">
        <v>663</v>
      </c>
      <c r="B156" s="624" t="s">
        <v>672</v>
      </c>
      <c r="C156" s="2" t="s">
        <v>673</v>
      </c>
      <c r="D156" s="460" t="s">
        <v>120</v>
      </c>
      <c r="E156" s="461">
        <v>10071355</v>
      </c>
      <c r="F156" s="461">
        <v>22</v>
      </c>
      <c r="G156" s="461">
        <v>165</v>
      </c>
      <c r="H156" s="461">
        <v>26.25</v>
      </c>
      <c r="I156" s="462">
        <v>0</v>
      </c>
      <c r="J156" s="462">
        <v>0.33333333333333331</v>
      </c>
      <c r="K156" s="462">
        <v>0</v>
      </c>
      <c r="L156" s="462">
        <v>0</v>
      </c>
      <c r="M156" s="462">
        <v>0.33333333333333331</v>
      </c>
      <c r="N156" s="463">
        <v>2.0202020202020202E-3</v>
      </c>
      <c r="O156" s="464">
        <v>0.99797979797979797</v>
      </c>
      <c r="P156" s="463">
        <v>0</v>
      </c>
      <c r="Q156" s="464">
        <v>1</v>
      </c>
      <c r="R156" s="465">
        <v>0</v>
      </c>
      <c r="S156" s="173">
        <f t="shared" si="7"/>
        <v>18.5</v>
      </c>
      <c r="AT156" s="176" t="str">
        <f>VLOOKUP($E156,RESOURCES!$C:$E,3,FALSE)</f>
        <v>Proofreader</v>
      </c>
      <c r="AU156" s="176" t="str">
        <f t="shared" si="6"/>
        <v>PASQUIN, RYAN E.</v>
      </c>
    </row>
    <row r="157" spans="1:47">
      <c r="A157" s="624" t="s">
        <v>663</v>
      </c>
      <c r="B157" s="624" t="s">
        <v>668</v>
      </c>
      <c r="C157" s="2" t="s">
        <v>14</v>
      </c>
      <c r="D157" s="460" t="s">
        <v>164</v>
      </c>
      <c r="E157" s="461">
        <v>10072440</v>
      </c>
      <c r="F157" s="461">
        <v>22</v>
      </c>
      <c r="G157" s="461">
        <v>165</v>
      </c>
      <c r="H157" s="461">
        <v>30</v>
      </c>
      <c r="I157" s="462">
        <v>7.5</v>
      </c>
      <c r="J157" s="462">
        <v>0</v>
      </c>
      <c r="K157" s="462">
        <v>0</v>
      </c>
      <c r="L157" s="462">
        <v>0</v>
      </c>
      <c r="M157" s="462">
        <v>7.5</v>
      </c>
      <c r="N157" s="463">
        <v>4.5454545454545456E-2</v>
      </c>
      <c r="O157" s="464">
        <v>0.95454545454545459</v>
      </c>
      <c r="P157" s="463">
        <v>4.5454545454545456E-2</v>
      </c>
      <c r="Q157" s="464">
        <v>0.95454545454545459</v>
      </c>
      <c r="R157" s="465">
        <v>0</v>
      </c>
      <c r="S157" s="173">
        <f t="shared" si="7"/>
        <v>18</v>
      </c>
      <c r="AT157" s="176" t="str">
        <f>VLOOKUP($E157,RESOURCES!$C:$E,3,FALSE)</f>
        <v>Logo Designer</v>
      </c>
      <c r="AU157" s="176" t="str">
        <f t="shared" si="6"/>
        <v>-</v>
      </c>
    </row>
    <row r="158" spans="1:47">
      <c r="A158" s="624" t="s">
        <v>663</v>
      </c>
      <c r="B158" s="624" t="s">
        <v>672</v>
      </c>
      <c r="C158" s="2" t="s">
        <v>673</v>
      </c>
      <c r="D158" s="460" t="s">
        <v>121</v>
      </c>
      <c r="E158" s="461">
        <v>10072007</v>
      </c>
      <c r="F158" s="461">
        <v>22</v>
      </c>
      <c r="G158" s="461">
        <v>165</v>
      </c>
      <c r="H158" s="461">
        <v>30</v>
      </c>
      <c r="I158" s="462">
        <v>0</v>
      </c>
      <c r="J158" s="462">
        <v>0</v>
      </c>
      <c r="K158" s="462">
        <v>0</v>
      </c>
      <c r="L158" s="462">
        <v>0</v>
      </c>
      <c r="M158" s="462">
        <v>0</v>
      </c>
      <c r="N158" s="463">
        <v>0</v>
      </c>
      <c r="O158" s="464">
        <v>1</v>
      </c>
      <c r="P158" s="463">
        <v>0</v>
      </c>
      <c r="Q158" s="464">
        <v>1</v>
      </c>
      <c r="R158" s="465">
        <v>0</v>
      </c>
      <c r="S158" s="173">
        <f t="shared" si="7"/>
        <v>18</v>
      </c>
      <c r="AT158" s="176" t="str">
        <f>VLOOKUP($E158,RESOURCES!$C:$E,3,FALSE)</f>
        <v>Proofreader</v>
      </c>
      <c r="AU158" s="176" t="str">
        <f t="shared" si="6"/>
        <v>PASQUIN, RYAN E.</v>
      </c>
    </row>
    <row r="159" spans="1:47">
      <c r="A159" s="624" t="s">
        <v>663</v>
      </c>
      <c r="B159" s="624" t="s">
        <v>676</v>
      </c>
      <c r="C159" s="2" t="s">
        <v>673</v>
      </c>
      <c r="D159" s="460" t="s">
        <v>699</v>
      </c>
      <c r="E159" s="461">
        <v>10072010</v>
      </c>
      <c r="F159" s="461">
        <v>22</v>
      </c>
      <c r="G159" s="461">
        <v>165</v>
      </c>
      <c r="H159" s="461">
        <v>37.5</v>
      </c>
      <c r="I159" s="462">
        <v>7.5</v>
      </c>
      <c r="J159" s="462">
        <v>0</v>
      </c>
      <c r="K159" s="462">
        <v>0</v>
      </c>
      <c r="L159" s="462">
        <v>1.6666666666666666E-2</v>
      </c>
      <c r="M159" s="462">
        <v>7.5166666666666666</v>
      </c>
      <c r="N159" s="463">
        <v>4.5555555555555557E-2</v>
      </c>
      <c r="O159" s="464">
        <v>0.95444444444444432</v>
      </c>
      <c r="P159" s="463">
        <v>4.5454545454545456E-2</v>
      </c>
      <c r="Q159" s="464">
        <v>0.95454545454545459</v>
      </c>
      <c r="R159" s="465">
        <v>0</v>
      </c>
      <c r="S159" s="173">
        <f t="shared" si="7"/>
        <v>17</v>
      </c>
      <c r="AT159" s="176" t="str">
        <f>VLOOKUP($E159,RESOURCES!$C:$E,3,FALSE)</f>
        <v>Voice QA</v>
      </c>
      <c r="AU159" s="176" t="str">
        <f t="shared" si="6"/>
        <v>PASQUIN, RYAN E.</v>
      </c>
    </row>
    <row r="160" spans="1:47">
      <c r="A160" s="624" t="s">
        <v>663</v>
      </c>
      <c r="B160" s="624" t="s">
        <v>675</v>
      </c>
      <c r="C160" s="2" t="s">
        <v>673</v>
      </c>
      <c r="D160" s="460" t="s">
        <v>134</v>
      </c>
      <c r="E160" s="461">
        <v>10071314</v>
      </c>
      <c r="F160" s="461">
        <v>22</v>
      </c>
      <c r="G160" s="461">
        <v>165</v>
      </c>
      <c r="H160" s="461">
        <v>22.5</v>
      </c>
      <c r="I160" s="462">
        <v>22.5</v>
      </c>
      <c r="J160" s="462">
        <v>1.4333333333333333</v>
      </c>
      <c r="K160" s="462">
        <v>0</v>
      </c>
      <c r="L160" s="462">
        <v>0</v>
      </c>
      <c r="M160" s="462">
        <v>23.933333333333334</v>
      </c>
      <c r="N160" s="463">
        <v>0.14505050505050504</v>
      </c>
      <c r="O160" s="464">
        <v>0.8549494949494949</v>
      </c>
      <c r="P160" s="463">
        <v>0.13636363636363635</v>
      </c>
      <c r="Q160" s="464">
        <v>0.86363636363636365</v>
      </c>
      <c r="R160" s="465">
        <v>4.25</v>
      </c>
      <c r="S160" s="173">
        <f t="shared" si="7"/>
        <v>19</v>
      </c>
      <c r="AT160" s="176" t="str">
        <f>VLOOKUP($E160,RESOURCES!$C:$E,3,FALSE)</f>
        <v>Internal Mods (PSI)</v>
      </c>
      <c r="AU160" s="176" t="str">
        <f t="shared" si="6"/>
        <v>PASQUIN, RYAN E.</v>
      </c>
    </row>
    <row r="161" spans="1:53">
      <c r="A161" s="624" t="s">
        <v>663</v>
      </c>
      <c r="B161" s="624" t="s">
        <v>674</v>
      </c>
      <c r="C161" s="2" t="s">
        <v>14</v>
      </c>
      <c r="D161" s="460" t="s">
        <v>101</v>
      </c>
      <c r="E161" s="461">
        <v>10070976</v>
      </c>
      <c r="F161" s="461">
        <v>22</v>
      </c>
      <c r="G161" s="461">
        <v>165</v>
      </c>
      <c r="H161" s="461">
        <v>52.5</v>
      </c>
      <c r="I161" s="462">
        <v>0</v>
      </c>
      <c r="J161" s="462">
        <v>0.1</v>
      </c>
      <c r="K161" s="462">
        <v>0</v>
      </c>
      <c r="L161" s="462">
        <v>0</v>
      </c>
      <c r="M161" s="462">
        <v>0.1</v>
      </c>
      <c r="N161" s="463">
        <v>6.0606060606060606E-4</v>
      </c>
      <c r="O161" s="464">
        <v>0.99939393939393939</v>
      </c>
      <c r="P161" s="463">
        <v>0</v>
      </c>
      <c r="Q161" s="464">
        <v>1</v>
      </c>
      <c r="R161" s="465">
        <v>0</v>
      </c>
      <c r="S161" s="173">
        <f t="shared" si="7"/>
        <v>15</v>
      </c>
      <c r="AT161" s="176" t="str">
        <f>VLOOKUP($E161,RESOURCES!$C:$E,3,FALSE)</f>
        <v>Web Designer</v>
      </c>
      <c r="AU161" s="176" t="str">
        <f t="shared" si="6"/>
        <v>-</v>
      </c>
    </row>
    <row r="162" spans="1:53">
      <c r="A162" s="624" t="s">
        <v>663</v>
      </c>
      <c r="B162" s="624" t="s">
        <v>672</v>
      </c>
      <c r="C162" s="2" t="s">
        <v>673</v>
      </c>
      <c r="D162" s="460" t="s">
        <v>119</v>
      </c>
      <c r="E162" s="461">
        <v>10072184</v>
      </c>
      <c r="F162" s="461">
        <v>22</v>
      </c>
      <c r="G162" s="461">
        <v>165</v>
      </c>
      <c r="H162" s="461">
        <v>30</v>
      </c>
      <c r="I162" s="462">
        <v>0</v>
      </c>
      <c r="J162" s="462">
        <v>0</v>
      </c>
      <c r="K162" s="462">
        <v>0</v>
      </c>
      <c r="L162" s="462">
        <v>0.18333333333333332</v>
      </c>
      <c r="M162" s="462">
        <v>0.18333333333333332</v>
      </c>
      <c r="N162" s="463">
        <v>1.1111111111111111E-3</v>
      </c>
      <c r="O162" s="464">
        <v>0.99888888888888883</v>
      </c>
      <c r="P162" s="463">
        <v>0</v>
      </c>
      <c r="Q162" s="464">
        <v>1</v>
      </c>
      <c r="R162" s="465">
        <v>0</v>
      </c>
      <c r="S162" s="173">
        <f t="shared" si="7"/>
        <v>18</v>
      </c>
      <c r="AT162" s="176" t="str">
        <f>VLOOKUP($E162,RESOURCES!$C:$E,3,FALSE)</f>
        <v>Proofreader</v>
      </c>
      <c r="AU162" s="176" t="str">
        <f t="shared" si="6"/>
        <v>PASQUIN, RYAN E.</v>
      </c>
    </row>
    <row r="163" spans="1:53">
      <c r="A163" s="624" t="s">
        <v>663</v>
      </c>
      <c r="B163" s="624" t="s">
        <v>674</v>
      </c>
      <c r="C163" s="2" t="s">
        <v>14</v>
      </c>
      <c r="D163" s="460" t="s">
        <v>98</v>
      </c>
      <c r="E163" s="461">
        <v>10072105</v>
      </c>
      <c r="F163" s="461">
        <v>22</v>
      </c>
      <c r="G163" s="461">
        <v>165</v>
      </c>
      <c r="H163" s="461">
        <v>37.5</v>
      </c>
      <c r="I163" s="462">
        <v>15</v>
      </c>
      <c r="J163" s="462">
        <v>0.3</v>
      </c>
      <c r="K163" s="462">
        <v>0</v>
      </c>
      <c r="L163" s="462">
        <v>0</v>
      </c>
      <c r="M163" s="462">
        <v>15.3</v>
      </c>
      <c r="N163" s="463">
        <v>9.2727272727272728E-2</v>
      </c>
      <c r="O163" s="464">
        <v>0.90727272727272723</v>
      </c>
      <c r="P163" s="463">
        <v>9.0909090909090912E-2</v>
      </c>
      <c r="Q163" s="464">
        <v>0.90909090909090906</v>
      </c>
      <c r="R163" s="465">
        <v>0</v>
      </c>
      <c r="S163" s="173">
        <f t="shared" si="7"/>
        <v>17</v>
      </c>
      <c r="AT163" s="176" t="str">
        <f>VLOOKUP($E163,RESOURCES!$C:$E,3,FALSE)</f>
        <v>Web Designer</v>
      </c>
      <c r="AU163" s="176" t="str">
        <f t="shared" si="6"/>
        <v>-</v>
      </c>
    </row>
    <row r="164" spans="1:53">
      <c r="A164" s="624" t="s">
        <v>663</v>
      </c>
      <c r="B164" s="624" t="s">
        <v>670</v>
      </c>
      <c r="C164" s="2" t="s">
        <v>665</v>
      </c>
      <c r="D164" s="460" t="s">
        <v>209</v>
      </c>
      <c r="E164" s="461">
        <v>10072445</v>
      </c>
      <c r="F164" s="461">
        <v>22</v>
      </c>
      <c r="G164" s="461">
        <v>165</v>
      </c>
      <c r="H164" s="461">
        <v>37.5</v>
      </c>
      <c r="I164" s="462">
        <v>0</v>
      </c>
      <c r="J164" s="462">
        <v>0.13333333333333333</v>
      </c>
      <c r="K164" s="462">
        <v>0</v>
      </c>
      <c r="L164" s="462">
        <v>0</v>
      </c>
      <c r="M164" s="462">
        <v>0.13333333333333333</v>
      </c>
      <c r="N164" s="463">
        <v>8.0808080808080808E-4</v>
      </c>
      <c r="O164" s="464">
        <v>0.99919191919191919</v>
      </c>
      <c r="P164" s="463">
        <v>0</v>
      </c>
      <c r="Q164" s="464">
        <v>1</v>
      </c>
      <c r="R164" s="465">
        <v>0</v>
      </c>
      <c r="S164" s="173">
        <f t="shared" si="7"/>
        <v>17</v>
      </c>
      <c r="AT164" s="176" t="str">
        <f>VLOOKUP($E164,RESOURCES!$C:$E,3,FALSE)</f>
        <v>Web Designer</v>
      </c>
      <c r="AU164" s="176" t="str">
        <f t="shared" si="6"/>
        <v>TAGUILASO, DARYL B.</v>
      </c>
    </row>
    <row r="165" spans="1:53">
      <c r="A165" s="624" t="s">
        <v>663</v>
      </c>
      <c r="B165" s="624" t="s">
        <v>674</v>
      </c>
      <c r="C165" s="2" t="s">
        <v>14</v>
      </c>
      <c r="D165" s="460" t="s">
        <v>103</v>
      </c>
      <c r="E165" s="461">
        <v>10071750</v>
      </c>
      <c r="F165" s="461">
        <v>22</v>
      </c>
      <c r="G165" s="461">
        <v>165</v>
      </c>
      <c r="H165" s="461">
        <v>22.5</v>
      </c>
      <c r="I165" s="462">
        <v>0</v>
      </c>
      <c r="J165" s="462">
        <v>0.26666666666666666</v>
      </c>
      <c r="K165" s="462">
        <v>0</v>
      </c>
      <c r="L165" s="462">
        <v>0</v>
      </c>
      <c r="M165" s="462">
        <v>0.26666666666666666</v>
      </c>
      <c r="N165" s="463">
        <v>1.6161616161616162E-3</v>
      </c>
      <c r="O165" s="464">
        <v>0.99838383838383826</v>
      </c>
      <c r="P165" s="463">
        <v>0</v>
      </c>
      <c r="Q165" s="464">
        <v>1</v>
      </c>
      <c r="R165" s="465">
        <v>0</v>
      </c>
      <c r="S165" s="173">
        <f t="shared" si="7"/>
        <v>19</v>
      </c>
      <c r="AT165" s="176" t="str">
        <f>VLOOKUP($E165,RESOURCES!$C:$E,3,FALSE)</f>
        <v>Web Designer</v>
      </c>
      <c r="AU165" s="176" t="str">
        <f t="shared" si="6"/>
        <v>-</v>
      </c>
    </row>
    <row r="166" spans="1:53">
      <c r="A166" s="624" t="s">
        <v>663</v>
      </c>
      <c r="B166" s="624" t="s">
        <v>669</v>
      </c>
      <c r="C166" s="2" t="s">
        <v>673</v>
      </c>
      <c r="D166" s="460" t="s">
        <v>230</v>
      </c>
      <c r="E166" s="461">
        <v>10072512</v>
      </c>
      <c r="F166" s="461">
        <v>14</v>
      </c>
      <c r="G166" s="461">
        <v>105</v>
      </c>
      <c r="H166" s="461">
        <v>7.5</v>
      </c>
      <c r="I166" s="462">
        <v>75</v>
      </c>
      <c r="J166" s="462">
        <v>3.5166666666666666</v>
      </c>
      <c r="K166" s="462">
        <v>6.05</v>
      </c>
      <c r="L166" s="462">
        <v>0</v>
      </c>
      <c r="M166" s="462">
        <v>84.566666666666663</v>
      </c>
      <c r="N166" s="463">
        <v>0.80539682539682533</v>
      </c>
      <c r="O166" s="464">
        <v>0.19460317460317464</v>
      </c>
      <c r="P166" s="463">
        <v>0.7142857142857143</v>
      </c>
      <c r="Q166" s="464">
        <v>0.2857142857142857</v>
      </c>
      <c r="R166" s="465">
        <v>0</v>
      </c>
      <c r="S166" s="173">
        <f t="shared" si="7"/>
        <v>13</v>
      </c>
      <c r="AT166" s="176" t="str">
        <f>VLOOKUP($E166,RESOURCES!$C:$E,3,FALSE)</f>
        <v>Internal Mods (PSI)</v>
      </c>
      <c r="AU166" s="176" t="str">
        <f t="shared" si="6"/>
        <v>PASQUIN, RYAN E.</v>
      </c>
    </row>
    <row r="167" spans="1:53">
      <c r="A167" s="459"/>
      <c r="B167" s="459"/>
      <c r="C167" s="459"/>
      <c r="D167"/>
      <c r="E167" s="2"/>
      <c r="F167" s="461"/>
      <c r="G167" s="461"/>
      <c r="H167" s="461"/>
      <c r="I167" s="462"/>
      <c r="J167" s="462"/>
      <c r="K167" s="462"/>
      <c r="L167" s="462"/>
      <c r="M167" s="462"/>
      <c r="N167" s="463"/>
      <c r="O167" s="464"/>
      <c r="P167" s="463"/>
      <c r="Q167" s="464"/>
      <c r="R167" s="465"/>
      <c r="S167" s="173">
        <f t="shared" si="7"/>
        <v>0</v>
      </c>
      <c r="AT167" s="176" t="e">
        <f>VLOOKUP($E167,RESOURCES!$C:$E,3,FALSE)</f>
        <v>#N/A</v>
      </c>
      <c r="AU167" s="176">
        <f t="shared" si="6"/>
        <v>0</v>
      </c>
    </row>
    <row r="168" spans="1:53">
      <c r="A168" s="459"/>
      <c r="B168" s="459"/>
      <c r="C168" s="459"/>
      <c r="E168" s="461"/>
      <c r="F168" s="461"/>
      <c r="G168" s="461"/>
      <c r="H168" s="461"/>
      <c r="I168" s="462"/>
      <c r="J168" s="462"/>
      <c r="K168" s="462"/>
      <c r="L168" s="462"/>
      <c r="M168" s="462"/>
      <c r="N168" s="463"/>
      <c r="O168" s="464"/>
      <c r="P168" s="463"/>
      <c r="Q168" s="464"/>
      <c r="R168" s="465"/>
      <c r="S168" s="173">
        <f t="shared" si="7"/>
        <v>0</v>
      </c>
      <c r="AT168" s="176" t="e">
        <f>VLOOKUP($E168,RESOURCES!$C:$E,3,FALSE)</f>
        <v>#N/A</v>
      </c>
      <c r="AU168" s="176">
        <f t="shared" si="6"/>
        <v>0</v>
      </c>
    </row>
    <row r="169" spans="1:53">
      <c r="A169" s="459"/>
      <c r="B169" s="459"/>
      <c r="C169" s="459"/>
      <c r="E169" s="461"/>
      <c r="F169" s="461"/>
      <c r="G169" s="461"/>
      <c r="H169" s="461"/>
      <c r="I169" s="462"/>
      <c r="J169" s="462"/>
      <c r="K169" s="462"/>
      <c r="L169" s="462"/>
      <c r="M169" s="462"/>
      <c r="N169" s="463"/>
      <c r="O169" s="464"/>
      <c r="P169" s="463"/>
      <c r="Q169" s="464"/>
      <c r="R169" s="465"/>
      <c r="S169" s="173">
        <f t="shared" si="7"/>
        <v>0</v>
      </c>
      <c r="AT169" s="176" t="e">
        <f>VLOOKUP($E169,RESOURCES!$C:$E,3,FALSE)</f>
        <v>#N/A</v>
      </c>
      <c r="AU169" s="176">
        <f t="shared" si="6"/>
        <v>0</v>
      </c>
    </row>
    <row r="170" spans="1:53">
      <c r="A170" s="459"/>
      <c r="B170" s="459"/>
      <c r="C170" s="459"/>
      <c r="E170" s="461"/>
      <c r="F170" s="461"/>
      <c r="G170" s="461"/>
      <c r="H170" s="461"/>
      <c r="I170" s="462"/>
      <c r="J170" s="462"/>
      <c r="K170" s="462"/>
      <c r="L170" s="462"/>
      <c r="M170" s="462"/>
      <c r="N170" s="463"/>
      <c r="O170" s="464"/>
      <c r="P170" s="463"/>
      <c r="Q170" s="464"/>
      <c r="R170" s="465"/>
      <c r="S170" s="173">
        <f t="shared" si="7"/>
        <v>0</v>
      </c>
      <c r="AT170" s="176" t="e">
        <f>VLOOKUP($E170,RESOURCES!$C:$E,3,FALSE)</f>
        <v>#N/A</v>
      </c>
      <c r="AU170" s="176">
        <f t="shared" si="6"/>
        <v>0</v>
      </c>
    </row>
    <row r="171" spans="1:53">
      <c r="A171" s="459"/>
      <c r="B171" s="459"/>
      <c r="C171" s="459"/>
      <c r="E171" s="461"/>
      <c r="F171" s="461"/>
      <c r="G171" s="461"/>
      <c r="H171" s="461"/>
      <c r="I171" s="462"/>
      <c r="J171" s="462"/>
      <c r="K171" s="462"/>
      <c r="L171" s="462"/>
      <c r="M171" s="462"/>
      <c r="N171" s="463"/>
      <c r="O171" s="464"/>
      <c r="P171" s="463"/>
      <c r="Q171" s="464"/>
      <c r="R171" s="465"/>
      <c r="S171" s="173">
        <f t="shared" si="7"/>
        <v>0</v>
      </c>
      <c r="AT171" s="176" t="e">
        <f>VLOOKUP($E171,RESOURCES!$C:$E,3,FALSE)</f>
        <v>#N/A</v>
      </c>
      <c r="AU171" s="176">
        <f t="shared" si="6"/>
        <v>0</v>
      </c>
    </row>
    <row r="172" spans="1:53">
      <c r="A172" s="459"/>
      <c r="B172" s="459"/>
      <c r="C172" s="459"/>
      <c r="E172" s="461"/>
      <c r="F172" s="461"/>
      <c r="G172" s="461"/>
      <c r="H172" s="461"/>
      <c r="I172" s="462"/>
      <c r="J172" s="462"/>
      <c r="K172" s="462"/>
      <c r="L172" s="462"/>
      <c r="M172" s="462"/>
      <c r="N172" s="463"/>
      <c r="O172" s="464"/>
      <c r="P172" s="463"/>
      <c r="Q172" s="464"/>
      <c r="R172" s="465"/>
      <c r="S172" s="173">
        <f t="shared" si="7"/>
        <v>0</v>
      </c>
      <c r="AT172" s="176" t="e">
        <f>VLOOKUP($E172,RESOURCES!$C:$E,3,FALSE)</f>
        <v>#N/A</v>
      </c>
      <c r="AU172" s="176">
        <f t="shared" si="6"/>
        <v>0</v>
      </c>
    </row>
    <row r="173" spans="1:53">
      <c r="A173" s="459"/>
      <c r="B173" s="459"/>
      <c r="C173" s="459"/>
      <c r="E173" s="461"/>
      <c r="F173" s="461"/>
      <c r="G173" s="461"/>
      <c r="H173" s="461"/>
      <c r="I173" s="462"/>
      <c r="J173" s="462"/>
      <c r="K173" s="462"/>
      <c r="L173" s="462"/>
      <c r="M173" s="462"/>
      <c r="N173" s="463"/>
      <c r="O173" s="464"/>
      <c r="P173" s="463"/>
      <c r="Q173" s="464"/>
      <c r="R173" s="465"/>
      <c r="S173" s="173">
        <f t="shared" si="7"/>
        <v>0</v>
      </c>
      <c r="AT173" s="176" t="e">
        <f>VLOOKUP($E173,RESOURCES!$C:$E,3,FALSE)</f>
        <v>#N/A</v>
      </c>
      <c r="AU173" s="176">
        <f t="shared" si="6"/>
        <v>0</v>
      </c>
    </row>
    <row r="174" spans="1:53">
      <c r="A174" s="459"/>
      <c r="B174" s="459"/>
      <c r="C174" s="459"/>
      <c r="E174" s="461"/>
      <c r="F174" s="461"/>
      <c r="G174" s="461"/>
      <c r="H174" s="461"/>
      <c r="I174" s="462"/>
      <c r="J174" s="462"/>
      <c r="K174" s="462"/>
      <c r="L174" s="462"/>
      <c r="M174" s="462"/>
      <c r="N174" s="463"/>
      <c r="O174" s="464"/>
      <c r="P174" s="463"/>
      <c r="Q174" s="464"/>
      <c r="R174" s="465"/>
      <c r="S174" s="173">
        <f t="shared" si="7"/>
        <v>0</v>
      </c>
      <c r="AT174" s="176" t="e">
        <f>VLOOKUP($E174,RESOURCES!$C:$E,3,FALSE)</f>
        <v>#N/A</v>
      </c>
      <c r="AU174" s="176">
        <f t="shared" si="6"/>
        <v>0</v>
      </c>
    </row>
    <row r="175" spans="1:53">
      <c r="A175" s="459"/>
      <c r="B175" s="459"/>
      <c r="C175" s="459"/>
      <c r="E175" s="461"/>
      <c r="F175" s="461"/>
      <c r="G175" s="461"/>
      <c r="H175" s="461"/>
      <c r="I175" s="462"/>
      <c r="J175" s="462"/>
      <c r="K175" s="462"/>
      <c r="L175" s="462"/>
      <c r="M175" s="462"/>
      <c r="N175" s="463"/>
      <c r="O175" s="464"/>
      <c r="P175" s="463"/>
      <c r="Q175" s="464"/>
      <c r="R175" s="465"/>
      <c r="AT175" s="176" t="e">
        <f>VLOOKUP($E175,RESOURCES!$C:$E,3,FALSE)</f>
        <v>#N/A</v>
      </c>
      <c r="AU175" s="176">
        <f t="shared" si="6"/>
        <v>0</v>
      </c>
    </row>
    <row r="176" spans="1:53">
      <c r="A176" s="459"/>
      <c r="B176" s="459"/>
      <c r="C176" s="459"/>
      <c r="E176" s="461"/>
      <c r="F176" s="461"/>
      <c r="G176" s="461"/>
      <c r="H176" s="461"/>
      <c r="I176" s="462"/>
      <c r="J176" s="462"/>
      <c r="K176" s="462"/>
      <c r="L176" s="462"/>
      <c r="M176" s="462"/>
      <c r="N176" s="463"/>
      <c r="O176" s="464"/>
      <c r="P176" s="463"/>
      <c r="Q176" s="464"/>
      <c r="R176" s="465"/>
      <c r="S176" s="173">
        <f t="shared" si="7"/>
        <v>0</v>
      </c>
      <c r="AT176" s="176" t="e">
        <f>VLOOKUP($E176,RESOURCES!$C:$E,3,FALSE)</f>
        <v>#N/A</v>
      </c>
      <c r="AU176" s="176">
        <f t="shared" si="6"/>
        <v>0</v>
      </c>
      <c r="AZ176" t="s">
        <v>672</v>
      </c>
      <c r="BA176" t="s">
        <v>673</v>
      </c>
    </row>
    <row r="177" spans="1:47">
      <c r="A177" s="459"/>
      <c r="B177" s="459"/>
      <c r="C177" s="459"/>
      <c r="E177" s="461"/>
      <c r="F177" s="461"/>
      <c r="G177" s="461"/>
      <c r="H177" s="461"/>
      <c r="I177" s="462"/>
      <c r="J177" s="462"/>
      <c r="K177" s="462"/>
      <c r="L177" s="462"/>
      <c r="M177" s="462"/>
      <c r="N177" s="463"/>
      <c r="O177" s="464"/>
      <c r="P177" s="463"/>
      <c r="Q177" s="464"/>
      <c r="R177" s="465"/>
      <c r="S177" s="173">
        <f t="shared" si="7"/>
        <v>0</v>
      </c>
      <c r="AT177" s="176" t="e">
        <f>VLOOKUP($E177,RESOURCES!$C:$E,3,FALSE)</f>
        <v>#N/A</v>
      </c>
      <c r="AU177" s="176">
        <f t="shared" si="6"/>
        <v>0</v>
      </c>
    </row>
    <row r="178" spans="1:47">
      <c r="A178" s="459"/>
      <c r="B178" s="459"/>
      <c r="C178" s="459"/>
      <c r="E178" s="461"/>
      <c r="F178" s="461"/>
      <c r="G178" s="461"/>
      <c r="H178" s="461"/>
      <c r="I178" s="462"/>
      <c r="J178" s="462"/>
      <c r="K178" s="462"/>
      <c r="L178" s="462"/>
      <c r="M178" s="462"/>
      <c r="N178" s="463"/>
      <c r="O178" s="464"/>
      <c r="P178" s="463"/>
      <c r="Q178" s="464"/>
      <c r="R178" s="465"/>
      <c r="S178" s="173">
        <f t="shared" si="7"/>
        <v>0</v>
      </c>
      <c r="AT178" s="176" t="e">
        <f>VLOOKUP($E178,RESOURCES!$C:$E,3,FALSE)</f>
        <v>#N/A</v>
      </c>
      <c r="AU178" s="176">
        <f t="shared" si="6"/>
        <v>0</v>
      </c>
    </row>
    <row r="179" spans="1:47">
      <c r="A179" s="459"/>
      <c r="B179" s="459"/>
      <c r="C179" s="459"/>
      <c r="E179" s="461"/>
      <c r="F179" s="461"/>
      <c r="G179" s="461"/>
      <c r="H179" s="461"/>
      <c r="I179" s="462"/>
      <c r="J179" s="462"/>
      <c r="K179" s="462"/>
      <c r="L179" s="462"/>
      <c r="M179" s="462"/>
      <c r="N179" s="463"/>
      <c r="O179" s="464"/>
      <c r="P179" s="463"/>
      <c r="Q179" s="464"/>
      <c r="R179" s="465"/>
      <c r="S179" s="173">
        <f t="shared" si="7"/>
        <v>0</v>
      </c>
      <c r="AT179" s="176" t="e">
        <f>VLOOKUP($E179,RESOURCES!$C:$E,3,FALSE)</f>
        <v>#N/A</v>
      </c>
      <c r="AU179" s="176">
        <f t="shared" si="6"/>
        <v>0</v>
      </c>
    </row>
    <row r="180" spans="1:47">
      <c r="A180" s="459"/>
      <c r="B180" s="459"/>
      <c r="C180" s="459"/>
      <c r="E180" s="461"/>
      <c r="F180" s="461"/>
      <c r="G180" s="461"/>
      <c r="H180" s="461"/>
      <c r="I180" s="462"/>
      <c r="J180" s="462"/>
      <c r="K180" s="462"/>
      <c r="L180" s="462"/>
      <c r="M180" s="462"/>
      <c r="N180" s="463"/>
      <c r="O180" s="464"/>
      <c r="P180" s="463"/>
      <c r="Q180" s="464"/>
      <c r="R180" s="465"/>
      <c r="S180" s="173">
        <f t="shared" si="7"/>
        <v>0</v>
      </c>
      <c r="AT180" s="176" t="e">
        <f>VLOOKUP($E180,RESOURCES!$C:$E,3,FALSE)</f>
        <v>#N/A</v>
      </c>
      <c r="AU180" s="176">
        <f t="shared" si="6"/>
        <v>0</v>
      </c>
    </row>
    <row r="181" spans="1:47">
      <c r="A181" s="459"/>
      <c r="B181" s="459"/>
      <c r="C181" s="459"/>
      <c r="E181" s="461"/>
      <c r="F181" s="461"/>
      <c r="G181" s="461"/>
      <c r="H181" s="461"/>
      <c r="I181" s="462"/>
      <c r="J181" s="462"/>
      <c r="K181" s="462"/>
      <c r="L181" s="462"/>
      <c r="M181" s="462"/>
      <c r="N181" s="463"/>
      <c r="O181" s="464"/>
      <c r="P181" s="463"/>
      <c r="Q181" s="464"/>
      <c r="R181" s="465"/>
      <c r="S181" s="173">
        <f t="shared" si="7"/>
        <v>0</v>
      </c>
      <c r="AT181" s="176" t="e">
        <f>VLOOKUP($E181,RESOURCES!$C:$E,3,FALSE)</f>
        <v>#N/A</v>
      </c>
      <c r="AU181" s="176">
        <f t="shared" si="6"/>
        <v>0</v>
      </c>
    </row>
    <row r="182" spans="1:47">
      <c r="A182" s="459"/>
      <c r="B182" s="459"/>
      <c r="C182" s="459"/>
      <c r="E182" s="461"/>
      <c r="F182" s="461"/>
      <c r="G182" s="461"/>
      <c r="H182" s="461"/>
      <c r="I182" s="462"/>
      <c r="J182" s="462"/>
      <c r="K182" s="462"/>
      <c r="L182" s="462"/>
      <c r="M182" s="462"/>
      <c r="N182" s="463"/>
      <c r="O182" s="464"/>
      <c r="P182" s="463"/>
      <c r="Q182" s="464"/>
      <c r="R182" s="465"/>
      <c r="S182" s="173">
        <f t="shared" si="7"/>
        <v>0</v>
      </c>
      <c r="AT182" s="176" t="e">
        <f>VLOOKUP($E182,RESOURCES!$C:$E,3,FALSE)</f>
        <v>#N/A</v>
      </c>
      <c r="AU182" s="176">
        <f t="shared" si="6"/>
        <v>0</v>
      </c>
    </row>
    <row r="183" spans="1:47">
      <c r="A183" s="459"/>
      <c r="B183" s="459"/>
      <c r="C183" s="459"/>
      <c r="E183" s="461"/>
      <c r="F183" s="461"/>
      <c r="G183" s="461"/>
      <c r="H183" s="461"/>
      <c r="I183" s="462"/>
      <c r="J183" s="462"/>
      <c r="K183" s="462"/>
      <c r="L183" s="462"/>
      <c r="M183" s="462"/>
      <c r="N183" s="463"/>
      <c r="O183" s="464"/>
      <c r="P183" s="463"/>
      <c r="Q183" s="464"/>
      <c r="R183" s="465"/>
      <c r="S183" s="173">
        <f t="shared" si="7"/>
        <v>0</v>
      </c>
      <c r="AT183" s="176" t="e">
        <f>VLOOKUP($E183,RESOURCES!$C:$E,3,FALSE)</f>
        <v>#N/A</v>
      </c>
      <c r="AU183" s="176">
        <f t="shared" si="6"/>
        <v>0</v>
      </c>
    </row>
    <row r="184" spans="1:47">
      <c r="A184" s="459"/>
      <c r="B184" s="459"/>
      <c r="C184" s="459"/>
      <c r="E184" s="461"/>
      <c r="F184" s="461"/>
      <c r="G184" s="461"/>
      <c r="H184" s="461"/>
      <c r="I184" s="462"/>
      <c r="J184" s="462"/>
      <c r="K184" s="462"/>
      <c r="L184" s="462"/>
      <c r="M184" s="462"/>
      <c r="N184" s="463"/>
      <c r="O184" s="464"/>
      <c r="P184" s="463"/>
      <c r="Q184" s="464"/>
      <c r="R184" s="465"/>
      <c r="S184" s="173">
        <f t="shared" si="7"/>
        <v>0</v>
      </c>
      <c r="AT184" s="176" t="e">
        <f>VLOOKUP($E184,RESOURCES!$C:$E,3,FALSE)</f>
        <v>#N/A</v>
      </c>
      <c r="AU184" s="176">
        <f t="shared" si="6"/>
        <v>0</v>
      </c>
    </row>
    <row r="185" spans="1:47">
      <c r="A185" s="459"/>
      <c r="B185" s="459"/>
      <c r="C185" s="459"/>
      <c r="E185" s="461"/>
      <c r="F185" s="461"/>
      <c r="G185" s="461"/>
      <c r="H185" s="461"/>
      <c r="I185" s="462"/>
      <c r="J185" s="462"/>
      <c r="K185" s="462"/>
      <c r="L185" s="462"/>
      <c r="M185" s="462"/>
      <c r="N185" s="463"/>
      <c r="O185" s="464"/>
      <c r="P185" s="463"/>
      <c r="Q185" s="464"/>
      <c r="R185" s="465"/>
      <c r="S185" s="173">
        <f t="shared" si="7"/>
        <v>0</v>
      </c>
      <c r="AT185" s="176" t="e">
        <f>VLOOKUP($E185,RESOURCES!$C:$E,3,FALSE)</f>
        <v>#N/A</v>
      </c>
      <c r="AU185" s="176">
        <f t="shared" si="6"/>
        <v>0</v>
      </c>
    </row>
    <row r="186" spans="1:47">
      <c r="A186" s="459"/>
      <c r="B186" s="459"/>
      <c r="C186" s="459"/>
      <c r="E186" s="461"/>
      <c r="F186" s="461"/>
      <c r="G186" s="461"/>
      <c r="H186" s="461"/>
      <c r="I186" s="462"/>
      <c r="J186" s="462"/>
      <c r="K186" s="462"/>
      <c r="L186" s="462"/>
      <c r="M186" s="462"/>
      <c r="N186" s="463"/>
      <c r="O186" s="464"/>
      <c r="P186" s="463"/>
      <c r="Q186" s="464"/>
      <c r="R186" s="465"/>
      <c r="S186" s="173">
        <f t="shared" si="7"/>
        <v>0</v>
      </c>
      <c r="AT186" s="176" t="e">
        <f>VLOOKUP($E186,RESOURCES!$C:$E,3,FALSE)</f>
        <v>#N/A</v>
      </c>
      <c r="AU186" s="176">
        <f t="shared" si="6"/>
        <v>0</v>
      </c>
    </row>
    <row r="187" spans="1:47">
      <c r="A187" s="459"/>
      <c r="B187" s="459"/>
      <c r="C187" s="459"/>
      <c r="E187" s="461"/>
      <c r="F187" s="461"/>
      <c r="G187" s="461"/>
      <c r="H187" s="461"/>
      <c r="I187" s="462"/>
      <c r="J187" s="462"/>
      <c r="K187" s="462"/>
      <c r="L187" s="462"/>
      <c r="M187" s="462"/>
      <c r="N187" s="463"/>
      <c r="O187" s="464"/>
      <c r="P187" s="463"/>
      <c r="Q187" s="464"/>
      <c r="R187" s="465"/>
      <c r="S187" s="173">
        <f t="shared" si="7"/>
        <v>0</v>
      </c>
      <c r="AT187" s="176" t="e">
        <f>VLOOKUP($E187,RESOURCES!$C:$E,3,FALSE)</f>
        <v>#N/A</v>
      </c>
      <c r="AU187" s="176">
        <f t="shared" si="6"/>
        <v>0</v>
      </c>
    </row>
    <row r="188" spans="1:47">
      <c r="A188" s="459"/>
      <c r="B188" s="459"/>
      <c r="C188" s="459"/>
      <c r="E188" s="461"/>
      <c r="F188" s="461"/>
      <c r="G188" s="461"/>
      <c r="H188" s="461"/>
      <c r="I188" s="462"/>
      <c r="J188" s="462"/>
      <c r="K188" s="462"/>
      <c r="L188" s="462"/>
      <c r="M188" s="462"/>
      <c r="N188" s="463"/>
      <c r="O188" s="464"/>
      <c r="P188" s="463"/>
      <c r="Q188" s="464"/>
      <c r="R188" s="465"/>
      <c r="S188" s="173">
        <f t="shared" si="7"/>
        <v>0</v>
      </c>
      <c r="AT188" s="176" t="e">
        <f>VLOOKUP($E188,RESOURCES!$C:$E,3,FALSE)</f>
        <v>#N/A</v>
      </c>
      <c r="AU188" s="176">
        <f t="shared" si="6"/>
        <v>0</v>
      </c>
    </row>
    <row r="189" spans="1:47">
      <c r="A189" s="459"/>
      <c r="B189" s="459"/>
      <c r="C189" s="459"/>
      <c r="E189" s="461"/>
      <c r="F189" s="461"/>
      <c r="G189" s="461"/>
      <c r="H189" s="461"/>
      <c r="I189" s="462"/>
      <c r="J189" s="462"/>
      <c r="K189" s="462"/>
      <c r="L189" s="462"/>
      <c r="M189" s="462"/>
      <c r="N189" s="463"/>
      <c r="O189" s="464"/>
      <c r="P189" s="463"/>
      <c r="Q189" s="464"/>
      <c r="R189" s="465"/>
      <c r="S189" s="173">
        <f t="shared" si="7"/>
        <v>0</v>
      </c>
      <c r="AT189" s="176" t="e">
        <f>VLOOKUP($E189,RESOURCES!$C:$E,3,FALSE)</f>
        <v>#N/A</v>
      </c>
      <c r="AU189" s="176">
        <f t="shared" si="6"/>
        <v>0</v>
      </c>
    </row>
    <row r="190" spans="1:47">
      <c r="A190" s="459"/>
      <c r="B190" s="459"/>
      <c r="C190" s="459"/>
      <c r="E190" s="461"/>
      <c r="F190" s="461"/>
      <c r="G190" s="461"/>
      <c r="H190" s="461"/>
      <c r="I190" s="462"/>
      <c r="J190" s="462"/>
      <c r="K190" s="462"/>
      <c r="L190" s="462"/>
      <c r="M190" s="462"/>
      <c r="N190" s="463"/>
      <c r="O190" s="464"/>
      <c r="P190" s="463"/>
      <c r="Q190" s="464"/>
      <c r="R190" s="465"/>
      <c r="S190" s="173">
        <f t="shared" si="7"/>
        <v>0</v>
      </c>
      <c r="AT190" s="176" t="e">
        <f>VLOOKUP($E190,RESOURCES!$C:$E,3,FALSE)</f>
        <v>#N/A</v>
      </c>
      <c r="AU190" s="176">
        <f t="shared" si="6"/>
        <v>0</v>
      </c>
    </row>
    <row r="191" spans="1:47">
      <c r="A191" s="459"/>
      <c r="B191" s="459"/>
      <c r="C191" s="459"/>
      <c r="E191" s="461"/>
      <c r="F191" s="461"/>
      <c r="G191" s="461"/>
      <c r="H191" s="461"/>
      <c r="I191" s="462"/>
      <c r="J191" s="462"/>
      <c r="K191" s="462"/>
      <c r="L191" s="462"/>
      <c r="M191" s="462"/>
      <c r="N191" s="463"/>
      <c r="O191" s="464"/>
      <c r="P191" s="463"/>
      <c r="Q191" s="464"/>
      <c r="R191" s="465"/>
      <c r="S191" s="173">
        <f t="shared" si="7"/>
        <v>0</v>
      </c>
      <c r="AT191" s="176" t="e">
        <f>VLOOKUP($E191,RESOURCES!$C:$E,3,FALSE)</f>
        <v>#N/A</v>
      </c>
      <c r="AU191" s="176">
        <f t="shared" si="6"/>
        <v>0</v>
      </c>
    </row>
    <row r="192" spans="1:47">
      <c r="A192" s="459"/>
      <c r="B192" s="459"/>
      <c r="C192" s="459"/>
      <c r="E192" s="461"/>
      <c r="F192" s="461"/>
      <c r="G192" s="461"/>
      <c r="H192" s="461"/>
      <c r="I192" s="462"/>
      <c r="J192" s="462"/>
      <c r="K192" s="462"/>
      <c r="L192" s="462"/>
      <c r="M192" s="462"/>
      <c r="N192" s="463"/>
      <c r="O192" s="464"/>
      <c r="P192" s="463"/>
      <c r="Q192" s="464"/>
      <c r="R192" s="465"/>
      <c r="S192" s="173">
        <f t="shared" si="7"/>
        <v>0</v>
      </c>
      <c r="AT192" s="176" t="e">
        <f>VLOOKUP($E192,RESOURCES!$C:$E,3,FALSE)</f>
        <v>#N/A</v>
      </c>
      <c r="AU192" s="176">
        <f t="shared" si="6"/>
        <v>0</v>
      </c>
    </row>
    <row r="193" spans="1:47">
      <c r="A193" s="459"/>
      <c r="B193" s="459"/>
      <c r="C193" s="459"/>
      <c r="E193" s="461"/>
      <c r="F193" s="461"/>
      <c r="G193" s="461"/>
      <c r="H193" s="461"/>
      <c r="I193" s="462"/>
      <c r="J193" s="462"/>
      <c r="K193" s="462"/>
      <c r="L193" s="462"/>
      <c r="M193" s="462"/>
      <c r="N193" s="463"/>
      <c r="O193" s="464"/>
      <c r="P193" s="463"/>
      <c r="Q193" s="464"/>
      <c r="R193" s="465"/>
      <c r="S193" s="173">
        <f t="shared" si="7"/>
        <v>0</v>
      </c>
      <c r="AT193" s="176" t="e">
        <f>VLOOKUP($E193,RESOURCES!$C:$E,3,FALSE)</f>
        <v>#N/A</v>
      </c>
      <c r="AU193" s="176">
        <f t="shared" si="6"/>
        <v>0</v>
      </c>
    </row>
    <row r="194" spans="1:47">
      <c r="A194" s="459"/>
      <c r="B194" s="459"/>
      <c r="C194" s="459"/>
      <c r="E194" s="461"/>
      <c r="F194" s="461"/>
      <c r="G194" s="461"/>
      <c r="H194" s="461"/>
      <c r="I194" s="462"/>
      <c r="J194" s="462"/>
      <c r="K194" s="462"/>
      <c r="L194" s="462"/>
      <c r="M194" s="462"/>
      <c r="N194" s="463"/>
      <c r="O194" s="464"/>
      <c r="P194" s="463"/>
      <c r="Q194" s="464"/>
      <c r="R194" s="465"/>
      <c r="S194" s="173">
        <f t="shared" si="7"/>
        <v>0</v>
      </c>
      <c r="AT194" s="176" t="e">
        <f>VLOOKUP($E194,RESOURCES!$C:$E,3,FALSE)</f>
        <v>#N/A</v>
      </c>
      <c r="AU194" s="176">
        <f t="shared" si="6"/>
        <v>0</v>
      </c>
    </row>
    <row r="195" spans="1:47">
      <c r="A195" s="459"/>
      <c r="B195" s="459"/>
      <c r="C195" s="459"/>
      <c r="E195" s="461"/>
      <c r="F195" s="461"/>
      <c r="G195" s="461"/>
      <c r="H195" s="461"/>
      <c r="I195" s="462"/>
      <c r="J195" s="462"/>
      <c r="K195" s="462"/>
      <c r="L195" s="462"/>
      <c r="M195" s="462"/>
      <c r="N195" s="463"/>
      <c r="O195" s="464"/>
      <c r="P195" s="463"/>
      <c r="Q195" s="464"/>
      <c r="R195" s="465"/>
      <c r="S195" s="173">
        <f t="shared" si="7"/>
        <v>0</v>
      </c>
      <c r="AT195" s="176" t="e">
        <f>VLOOKUP($E195,RESOURCES!$C:$E,3,FALSE)</f>
        <v>#N/A</v>
      </c>
      <c r="AU195" s="176">
        <f t="shared" si="6"/>
        <v>0</v>
      </c>
    </row>
    <row r="196" spans="1:47">
      <c r="A196" s="459"/>
      <c r="B196" s="459"/>
      <c r="C196" s="459"/>
      <c r="E196" s="461"/>
      <c r="F196" s="461"/>
      <c r="G196" s="461"/>
      <c r="H196" s="461"/>
      <c r="I196" s="462"/>
      <c r="J196" s="462"/>
      <c r="K196" s="462"/>
      <c r="L196" s="462"/>
      <c r="M196" s="462"/>
      <c r="N196" s="463"/>
      <c r="O196" s="464"/>
      <c r="P196" s="463"/>
      <c r="Q196" s="464"/>
      <c r="R196" s="465"/>
      <c r="S196" s="173">
        <f t="shared" si="7"/>
        <v>0</v>
      </c>
      <c r="AT196" s="176" t="e">
        <f>VLOOKUP($E196,RESOURCES!$C:$E,3,FALSE)</f>
        <v>#N/A</v>
      </c>
      <c r="AU196" s="176">
        <f t="shared" si="6"/>
        <v>0</v>
      </c>
    </row>
    <row r="197" spans="1:47">
      <c r="A197" s="459"/>
      <c r="B197" s="459"/>
      <c r="C197" s="459"/>
      <c r="E197" s="461"/>
      <c r="F197" s="461"/>
      <c r="G197" s="461"/>
      <c r="H197" s="461"/>
      <c r="I197" s="462"/>
      <c r="J197" s="462"/>
      <c r="K197" s="462"/>
      <c r="L197" s="462"/>
      <c r="M197" s="462"/>
      <c r="N197" s="463"/>
      <c r="O197" s="464"/>
      <c r="P197" s="463"/>
      <c r="Q197" s="464"/>
      <c r="R197" s="465"/>
      <c r="S197" s="173">
        <f t="shared" si="7"/>
        <v>0</v>
      </c>
      <c r="AT197" s="176" t="e">
        <f>VLOOKUP($E197,RESOURCES!$C:$E,3,FALSE)</f>
        <v>#N/A</v>
      </c>
      <c r="AU197" s="176">
        <f t="shared" ref="AU197:AU260" si="8">C197</f>
        <v>0</v>
      </c>
    </row>
    <row r="198" spans="1:47">
      <c r="A198" s="459"/>
      <c r="B198" s="459"/>
      <c r="C198" s="459"/>
      <c r="E198" s="461"/>
      <c r="F198" s="461"/>
      <c r="G198" s="461"/>
      <c r="H198" s="461"/>
      <c r="I198" s="462"/>
      <c r="J198" s="462"/>
      <c r="K198" s="462"/>
      <c r="L198" s="462"/>
      <c r="M198" s="462"/>
      <c r="N198" s="463"/>
      <c r="O198" s="464"/>
      <c r="P198" s="463"/>
      <c r="Q198" s="464"/>
      <c r="R198" s="465"/>
      <c r="S198" s="173">
        <f t="shared" si="7"/>
        <v>0</v>
      </c>
      <c r="AT198" s="176" t="e">
        <f>VLOOKUP($E198,RESOURCES!$C:$E,3,FALSE)</f>
        <v>#N/A</v>
      </c>
      <c r="AU198" s="176">
        <f t="shared" si="8"/>
        <v>0</v>
      </c>
    </row>
    <row r="199" spans="1:47">
      <c r="A199" s="459"/>
      <c r="B199" s="459"/>
      <c r="C199" s="459"/>
      <c r="E199" s="461"/>
      <c r="F199" s="461"/>
      <c r="G199" s="461"/>
      <c r="H199" s="461"/>
      <c r="I199" s="462"/>
      <c r="J199" s="462"/>
      <c r="K199" s="462"/>
      <c r="L199" s="462"/>
      <c r="M199" s="462"/>
      <c r="N199" s="463"/>
      <c r="O199" s="464"/>
      <c r="P199" s="463"/>
      <c r="Q199" s="464"/>
      <c r="R199" s="465"/>
      <c r="S199" s="173">
        <f t="shared" si="7"/>
        <v>0</v>
      </c>
      <c r="AT199" s="176" t="e">
        <f>VLOOKUP($E199,RESOURCES!$C:$E,3,FALSE)</f>
        <v>#N/A</v>
      </c>
      <c r="AU199" s="176">
        <f t="shared" si="8"/>
        <v>0</v>
      </c>
    </row>
    <row r="200" spans="1:47">
      <c r="A200" s="459"/>
      <c r="B200" s="459"/>
      <c r="C200" s="459"/>
      <c r="E200" s="461"/>
      <c r="F200" s="461"/>
      <c r="G200" s="461"/>
      <c r="H200" s="461"/>
      <c r="I200" s="462"/>
      <c r="J200" s="462"/>
      <c r="K200" s="462"/>
      <c r="L200" s="462"/>
      <c r="M200" s="462"/>
      <c r="N200" s="463"/>
      <c r="O200" s="464"/>
      <c r="P200" s="463"/>
      <c r="Q200" s="464"/>
      <c r="R200" s="465"/>
      <c r="S200" s="173">
        <f t="shared" si="7"/>
        <v>0</v>
      </c>
      <c r="AT200" s="176" t="e">
        <f>VLOOKUP($E200,RESOURCES!$C:$E,3,FALSE)</f>
        <v>#N/A</v>
      </c>
      <c r="AU200" s="176">
        <f t="shared" si="8"/>
        <v>0</v>
      </c>
    </row>
    <row r="201" spans="1:47">
      <c r="A201" s="459"/>
      <c r="B201" s="459"/>
      <c r="C201" s="459"/>
      <c r="E201" s="461"/>
      <c r="F201" s="461"/>
      <c r="G201" s="461"/>
      <c r="H201" s="461"/>
      <c r="I201" s="462"/>
      <c r="J201" s="462"/>
      <c r="K201" s="462"/>
      <c r="L201" s="462"/>
      <c r="M201" s="462"/>
      <c r="N201" s="463"/>
      <c r="O201" s="464"/>
      <c r="P201" s="463"/>
      <c r="Q201" s="464"/>
      <c r="R201" s="465"/>
      <c r="S201" s="173">
        <f t="shared" si="7"/>
        <v>0</v>
      </c>
      <c r="AT201" s="176" t="e">
        <f>VLOOKUP($E201,RESOURCES!$C:$E,3,FALSE)</f>
        <v>#N/A</v>
      </c>
      <c r="AU201" s="176">
        <f t="shared" si="8"/>
        <v>0</v>
      </c>
    </row>
    <row r="202" spans="1:47">
      <c r="A202" s="459"/>
      <c r="B202" s="459"/>
      <c r="C202" s="459"/>
      <c r="E202" s="461"/>
      <c r="F202" s="461"/>
      <c r="G202" s="461"/>
      <c r="H202" s="461"/>
      <c r="I202" s="462"/>
      <c r="J202" s="462"/>
      <c r="K202" s="462"/>
      <c r="L202" s="462"/>
      <c r="M202" s="462"/>
      <c r="N202" s="463"/>
      <c r="O202" s="464"/>
      <c r="P202" s="463"/>
      <c r="Q202" s="464"/>
      <c r="R202" s="465"/>
      <c r="S202" s="173">
        <f t="shared" si="7"/>
        <v>0</v>
      </c>
      <c r="AT202" s="176" t="e">
        <f>VLOOKUP($E202,RESOURCES!$C:$E,3,FALSE)</f>
        <v>#N/A</v>
      </c>
      <c r="AU202" s="176">
        <f t="shared" si="8"/>
        <v>0</v>
      </c>
    </row>
    <row r="203" spans="1:47">
      <c r="A203" s="459"/>
      <c r="B203" s="459"/>
      <c r="C203" s="459"/>
      <c r="E203" s="461"/>
      <c r="F203" s="461"/>
      <c r="G203" s="461"/>
      <c r="H203" s="461"/>
      <c r="I203" s="462"/>
      <c r="J203" s="462"/>
      <c r="K203" s="462"/>
      <c r="L203" s="462"/>
      <c r="M203" s="462"/>
      <c r="N203" s="463"/>
      <c r="O203" s="464"/>
      <c r="P203" s="463"/>
      <c r="Q203" s="464"/>
      <c r="R203" s="465"/>
      <c r="S203" s="173">
        <f t="shared" si="7"/>
        <v>0</v>
      </c>
      <c r="AT203" s="176" t="e">
        <f>VLOOKUP($E203,RESOURCES!$C:$E,3,FALSE)</f>
        <v>#N/A</v>
      </c>
      <c r="AU203" s="176">
        <f t="shared" si="8"/>
        <v>0</v>
      </c>
    </row>
    <row r="204" spans="1:47">
      <c r="A204" s="459"/>
      <c r="B204" s="459"/>
      <c r="C204" s="459"/>
      <c r="E204" s="461"/>
      <c r="F204" s="461"/>
      <c r="G204" s="461"/>
      <c r="H204" s="461"/>
      <c r="I204" s="462"/>
      <c r="J204" s="462"/>
      <c r="K204" s="462"/>
      <c r="L204" s="462"/>
      <c r="M204" s="462"/>
      <c r="N204" s="463"/>
      <c r="O204" s="464"/>
      <c r="P204" s="463"/>
      <c r="Q204" s="464"/>
      <c r="R204" s="465"/>
      <c r="S204" s="173">
        <f t="shared" si="7"/>
        <v>0</v>
      </c>
      <c r="AT204" s="176" t="e">
        <f>VLOOKUP($E204,RESOURCES!$C:$E,3,FALSE)</f>
        <v>#N/A</v>
      </c>
      <c r="AU204" s="176">
        <f t="shared" si="8"/>
        <v>0</v>
      </c>
    </row>
    <row r="205" spans="1:47">
      <c r="A205" s="459"/>
      <c r="B205" s="459"/>
      <c r="C205" s="459"/>
      <c r="E205" s="461"/>
      <c r="F205" s="461"/>
      <c r="G205" s="461"/>
      <c r="H205" s="461"/>
      <c r="I205" s="462"/>
      <c r="J205" s="462"/>
      <c r="K205" s="462"/>
      <c r="L205" s="462"/>
      <c r="M205" s="462"/>
      <c r="N205" s="463"/>
      <c r="O205" s="464"/>
      <c r="P205" s="463"/>
      <c r="Q205" s="464"/>
      <c r="R205" s="465"/>
      <c r="S205" s="173">
        <f t="shared" ref="S205:S268" si="9">F205-(H205/7.5)</f>
        <v>0</v>
      </c>
      <c r="AT205" s="176" t="e">
        <f>VLOOKUP($E205,RESOURCES!$C:$E,3,FALSE)</f>
        <v>#N/A</v>
      </c>
      <c r="AU205" s="176">
        <f t="shared" si="8"/>
        <v>0</v>
      </c>
    </row>
    <row r="206" spans="1:47">
      <c r="A206" s="459"/>
      <c r="B206" s="459"/>
      <c r="C206" s="459"/>
      <c r="E206" s="461"/>
      <c r="F206" s="461"/>
      <c r="G206" s="461"/>
      <c r="H206" s="461"/>
      <c r="I206" s="462"/>
      <c r="J206" s="462"/>
      <c r="K206" s="462"/>
      <c r="L206" s="462"/>
      <c r="M206" s="462"/>
      <c r="N206" s="463"/>
      <c r="O206" s="464"/>
      <c r="P206" s="463"/>
      <c r="Q206" s="464"/>
      <c r="R206" s="465"/>
      <c r="S206" s="173">
        <f t="shared" si="9"/>
        <v>0</v>
      </c>
      <c r="AT206" s="176" t="e">
        <f>VLOOKUP($E206,RESOURCES!$C:$E,3,FALSE)</f>
        <v>#N/A</v>
      </c>
      <c r="AU206" s="176">
        <f t="shared" si="8"/>
        <v>0</v>
      </c>
    </row>
    <row r="207" spans="1:47">
      <c r="A207" s="459"/>
      <c r="B207" s="459"/>
      <c r="C207" s="459"/>
      <c r="E207" s="461"/>
      <c r="F207" s="461"/>
      <c r="G207" s="461"/>
      <c r="H207" s="461"/>
      <c r="I207" s="462"/>
      <c r="J207" s="462"/>
      <c r="K207" s="462"/>
      <c r="L207" s="462"/>
      <c r="M207" s="462"/>
      <c r="N207" s="463"/>
      <c r="O207" s="464"/>
      <c r="P207" s="463"/>
      <c r="Q207" s="464"/>
      <c r="R207" s="465"/>
      <c r="S207" s="173">
        <f t="shared" si="9"/>
        <v>0</v>
      </c>
      <c r="AT207" s="176" t="e">
        <f>VLOOKUP($E207,RESOURCES!$C:$E,3,FALSE)</f>
        <v>#N/A</v>
      </c>
      <c r="AU207" s="176">
        <f t="shared" si="8"/>
        <v>0</v>
      </c>
    </row>
    <row r="208" spans="1:47">
      <c r="A208" s="459"/>
      <c r="B208" s="459"/>
      <c r="C208" s="459"/>
      <c r="E208" s="461"/>
      <c r="F208" s="461"/>
      <c r="G208" s="461"/>
      <c r="H208" s="461"/>
      <c r="I208" s="462"/>
      <c r="J208" s="462"/>
      <c r="K208" s="462"/>
      <c r="L208" s="462"/>
      <c r="M208" s="462"/>
      <c r="N208" s="463"/>
      <c r="O208" s="464"/>
      <c r="P208" s="463"/>
      <c r="Q208" s="464"/>
      <c r="R208" s="465"/>
      <c r="S208" s="173">
        <f t="shared" si="9"/>
        <v>0</v>
      </c>
      <c r="AT208" s="176" t="e">
        <f>VLOOKUP($E208,RESOURCES!$C:$E,3,FALSE)</f>
        <v>#N/A</v>
      </c>
      <c r="AU208" s="176">
        <f t="shared" si="8"/>
        <v>0</v>
      </c>
    </row>
    <row r="209" spans="1:47">
      <c r="A209" s="459"/>
      <c r="B209" s="459"/>
      <c r="C209" s="459"/>
      <c r="E209" s="461"/>
      <c r="F209" s="461"/>
      <c r="G209" s="461"/>
      <c r="H209" s="461"/>
      <c r="I209" s="462"/>
      <c r="J209" s="462"/>
      <c r="K209" s="462"/>
      <c r="L209" s="462"/>
      <c r="M209" s="462"/>
      <c r="N209" s="463"/>
      <c r="O209" s="464"/>
      <c r="P209" s="463"/>
      <c r="Q209" s="464"/>
      <c r="R209" s="465"/>
      <c r="S209" s="173">
        <f t="shared" si="9"/>
        <v>0</v>
      </c>
      <c r="AT209" s="176" t="e">
        <f>VLOOKUP($E209,RESOURCES!$C:$E,3,FALSE)</f>
        <v>#N/A</v>
      </c>
      <c r="AU209" s="176">
        <f t="shared" si="8"/>
        <v>0</v>
      </c>
    </row>
    <row r="210" spans="1:47">
      <c r="A210" s="459"/>
      <c r="B210" s="459"/>
      <c r="C210" s="459"/>
      <c r="E210" s="461"/>
      <c r="F210" s="461"/>
      <c r="G210" s="461"/>
      <c r="H210" s="461"/>
      <c r="I210" s="462"/>
      <c r="J210" s="462"/>
      <c r="K210" s="462"/>
      <c r="L210" s="462"/>
      <c r="M210" s="462"/>
      <c r="N210" s="463"/>
      <c r="O210" s="464"/>
      <c r="P210" s="463"/>
      <c r="Q210" s="464"/>
      <c r="R210" s="465"/>
      <c r="S210" s="173">
        <f t="shared" si="9"/>
        <v>0</v>
      </c>
      <c r="AT210" s="176" t="e">
        <f>VLOOKUP($E210,RESOURCES!$C:$E,3,FALSE)</f>
        <v>#N/A</v>
      </c>
      <c r="AU210" s="176">
        <f t="shared" si="8"/>
        <v>0</v>
      </c>
    </row>
    <row r="211" spans="1:47">
      <c r="A211" s="459"/>
      <c r="B211" s="459"/>
      <c r="C211" s="459"/>
      <c r="E211" s="461"/>
      <c r="F211" s="461"/>
      <c r="G211" s="461"/>
      <c r="H211" s="461"/>
      <c r="I211" s="462"/>
      <c r="J211" s="462"/>
      <c r="K211" s="462"/>
      <c r="L211" s="462"/>
      <c r="M211" s="462"/>
      <c r="N211" s="463"/>
      <c r="O211" s="464"/>
      <c r="P211" s="463"/>
      <c r="Q211" s="464"/>
      <c r="R211" s="465"/>
      <c r="S211" s="173">
        <f t="shared" si="9"/>
        <v>0</v>
      </c>
      <c r="AT211" s="176" t="e">
        <f>VLOOKUP($E211,RESOURCES!$C:$E,3,FALSE)</f>
        <v>#N/A</v>
      </c>
      <c r="AU211" s="176">
        <f t="shared" si="8"/>
        <v>0</v>
      </c>
    </row>
    <row r="212" spans="1:47">
      <c r="A212" s="459"/>
      <c r="B212" s="459"/>
      <c r="C212" s="459"/>
      <c r="E212" s="461"/>
      <c r="F212" s="461"/>
      <c r="G212" s="461"/>
      <c r="H212" s="461"/>
      <c r="I212" s="462"/>
      <c r="J212" s="462"/>
      <c r="K212" s="462"/>
      <c r="L212" s="462"/>
      <c r="M212" s="462"/>
      <c r="N212" s="463"/>
      <c r="O212" s="464"/>
      <c r="P212" s="463"/>
      <c r="Q212" s="464"/>
      <c r="R212" s="465"/>
      <c r="S212" s="173">
        <f t="shared" si="9"/>
        <v>0</v>
      </c>
      <c r="AT212" s="176" t="e">
        <f>VLOOKUP($E212,RESOURCES!$C:$E,3,FALSE)</f>
        <v>#N/A</v>
      </c>
      <c r="AU212" s="176">
        <f t="shared" si="8"/>
        <v>0</v>
      </c>
    </row>
    <row r="213" spans="1:47">
      <c r="A213" s="459"/>
      <c r="B213" s="459"/>
      <c r="C213" s="459"/>
      <c r="E213" s="461"/>
      <c r="F213" s="461"/>
      <c r="G213" s="461"/>
      <c r="H213" s="461"/>
      <c r="I213" s="462"/>
      <c r="J213" s="462"/>
      <c r="K213" s="462"/>
      <c r="L213" s="462"/>
      <c r="M213" s="462"/>
      <c r="N213" s="463"/>
      <c r="O213" s="464"/>
      <c r="P213" s="463"/>
      <c r="Q213" s="464"/>
      <c r="R213" s="465"/>
      <c r="S213" s="173">
        <f t="shared" si="9"/>
        <v>0</v>
      </c>
      <c r="AT213" s="176" t="e">
        <f>VLOOKUP($E213,RESOURCES!$C:$E,3,FALSE)</f>
        <v>#N/A</v>
      </c>
      <c r="AU213" s="176">
        <f t="shared" si="8"/>
        <v>0</v>
      </c>
    </row>
    <row r="214" spans="1:47">
      <c r="A214" s="459"/>
      <c r="B214" s="459"/>
      <c r="C214" s="459"/>
      <c r="E214" s="461"/>
      <c r="F214" s="461"/>
      <c r="G214" s="461"/>
      <c r="H214" s="461"/>
      <c r="I214" s="462"/>
      <c r="J214" s="462"/>
      <c r="K214" s="462"/>
      <c r="L214" s="462"/>
      <c r="M214" s="462"/>
      <c r="N214" s="463"/>
      <c r="O214" s="464"/>
      <c r="P214" s="463"/>
      <c r="Q214" s="464"/>
      <c r="R214" s="465"/>
      <c r="S214" s="173">
        <f t="shared" si="9"/>
        <v>0</v>
      </c>
      <c r="AT214" s="176" t="e">
        <f>VLOOKUP($E214,RESOURCES!$C:$E,3,FALSE)</f>
        <v>#N/A</v>
      </c>
      <c r="AU214" s="176">
        <f t="shared" si="8"/>
        <v>0</v>
      </c>
    </row>
    <row r="215" spans="1:47">
      <c r="A215" s="459"/>
      <c r="B215" s="459"/>
      <c r="C215" s="459"/>
      <c r="E215" s="461"/>
      <c r="F215" s="461"/>
      <c r="G215" s="461"/>
      <c r="H215" s="461"/>
      <c r="I215" s="462"/>
      <c r="J215" s="462"/>
      <c r="K215" s="462"/>
      <c r="L215" s="462"/>
      <c r="M215" s="462"/>
      <c r="N215" s="463"/>
      <c r="O215" s="464"/>
      <c r="P215" s="463"/>
      <c r="Q215" s="464"/>
      <c r="R215" s="465"/>
      <c r="S215" s="173">
        <f t="shared" si="9"/>
        <v>0</v>
      </c>
      <c r="AT215" s="176" t="e">
        <f>VLOOKUP($E215,RESOURCES!$C:$E,3,FALSE)</f>
        <v>#N/A</v>
      </c>
      <c r="AU215" s="176">
        <f t="shared" si="8"/>
        <v>0</v>
      </c>
    </row>
    <row r="216" spans="1:47">
      <c r="A216" s="459"/>
      <c r="B216" s="459"/>
      <c r="C216" s="459"/>
      <c r="E216" s="461"/>
      <c r="F216" s="461"/>
      <c r="G216" s="461"/>
      <c r="H216" s="461"/>
      <c r="I216" s="462"/>
      <c r="J216" s="462"/>
      <c r="K216" s="462"/>
      <c r="L216" s="462"/>
      <c r="M216" s="462"/>
      <c r="N216" s="463"/>
      <c r="O216" s="464"/>
      <c r="P216" s="463"/>
      <c r="Q216" s="464"/>
      <c r="R216" s="465"/>
      <c r="S216" s="173">
        <f t="shared" si="9"/>
        <v>0</v>
      </c>
      <c r="AT216" s="176" t="e">
        <f>VLOOKUP($E216,RESOURCES!$C:$E,3,FALSE)</f>
        <v>#N/A</v>
      </c>
      <c r="AU216" s="176">
        <f t="shared" si="8"/>
        <v>0</v>
      </c>
    </row>
    <row r="217" spans="1:47">
      <c r="A217" s="459"/>
      <c r="B217" s="459"/>
      <c r="C217" s="459"/>
      <c r="E217" s="461"/>
      <c r="F217" s="461"/>
      <c r="G217" s="461"/>
      <c r="H217" s="461"/>
      <c r="I217" s="462"/>
      <c r="J217" s="462"/>
      <c r="K217" s="462"/>
      <c r="L217" s="462"/>
      <c r="M217" s="462"/>
      <c r="N217" s="463"/>
      <c r="O217" s="464"/>
      <c r="P217" s="463"/>
      <c r="Q217" s="464"/>
      <c r="R217" s="465"/>
      <c r="S217" s="173">
        <f t="shared" si="9"/>
        <v>0</v>
      </c>
      <c r="Y217"/>
      <c r="AA217"/>
      <c r="AI217"/>
      <c r="AK217"/>
      <c r="AL217"/>
      <c r="AN217"/>
      <c r="AO217"/>
      <c r="AP217"/>
      <c r="AT217" s="176" t="e">
        <f>VLOOKUP($E217,RESOURCES!$C:$E,3,FALSE)</f>
        <v>#N/A</v>
      </c>
      <c r="AU217" s="176">
        <f t="shared" si="8"/>
        <v>0</v>
      </c>
    </row>
    <row r="218" spans="1:47">
      <c r="A218" s="459"/>
      <c r="B218" s="459"/>
      <c r="C218" s="459"/>
      <c r="E218" s="461"/>
      <c r="F218" s="461"/>
      <c r="G218" s="461"/>
      <c r="H218" s="461"/>
      <c r="I218" s="462"/>
      <c r="J218" s="462"/>
      <c r="K218" s="462"/>
      <c r="L218" s="462"/>
      <c r="M218" s="462"/>
      <c r="N218" s="463"/>
      <c r="O218" s="464"/>
      <c r="P218" s="463"/>
      <c r="Q218" s="464"/>
      <c r="R218" s="465"/>
      <c r="S218" s="173">
        <f t="shared" si="9"/>
        <v>0</v>
      </c>
      <c r="Y218"/>
      <c r="AA218"/>
      <c r="AI218"/>
      <c r="AK218"/>
      <c r="AL218"/>
      <c r="AN218"/>
      <c r="AO218"/>
      <c r="AP218"/>
      <c r="AT218" s="176" t="e">
        <f>VLOOKUP($E218,RESOURCES!$C:$E,3,FALSE)</f>
        <v>#N/A</v>
      </c>
      <c r="AU218" s="176">
        <f t="shared" si="8"/>
        <v>0</v>
      </c>
    </row>
    <row r="219" spans="1:47">
      <c r="A219" s="459"/>
      <c r="B219" s="459"/>
      <c r="C219" s="459"/>
      <c r="E219" s="461"/>
      <c r="F219" s="461"/>
      <c r="G219" s="461"/>
      <c r="H219" s="461"/>
      <c r="I219" s="462"/>
      <c r="J219" s="462"/>
      <c r="K219" s="462"/>
      <c r="L219" s="462"/>
      <c r="M219" s="462"/>
      <c r="N219" s="463"/>
      <c r="O219" s="464"/>
      <c r="P219" s="463"/>
      <c r="Q219" s="464"/>
      <c r="R219" s="465"/>
      <c r="S219" s="173">
        <f t="shared" si="9"/>
        <v>0</v>
      </c>
      <c r="AT219" s="176" t="e">
        <f>VLOOKUP($E219,RESOURCES!$C:$E,3,FALSE)</f>
        <v>#N/A</v>
      </c>
      <c r="AU219" s="176">
        <f t="shared" si="8"/>
        <v>0</v>
      </c>
    </row>
    <row r="220" spans="1:47">
      <c r="A220" s="459"/>
      <c r="B220" s="459"/>
      <c r="C220" s="459"/>
      <c r="E220" s="461"/>
      <c r="F220" s="461"/>
      <c r="G220" s="461"/>
      <c r="H220" s="461"/>
      <c r="I220" s="462"/>
      <c r="J220" s="462"/>
      <c r="K220" s="462"/>
      <c r="L220" s="462"/>
      <c r="M220" s="462"/>
      <c r="N220" s="463"/>
      <c r="O220" s="464"/>
      <c r="P220" s="463"/>
      <c r="Q220" s="464"/>
      <c r="R220" s="465"/>
      <c r="S220" s="173">
        <f t="shared" si="9"/>
        <v>0</v>
      </c>
      <c r="AT220" s="176" t="e">
        <f>VLOOKUP($E220,RESOURCES!$C:$E,3,FALSE)</f>
        <v>#N/A</v>
      </c>
      <c r="AU220" s="176">
        <f t="shared" si="8"/>
        <v>0</v>
      </c>
    </row>
    <row r="221" spans="1:47">
      <c r="A221" s="459"/>
      <c r="B221" s="459"/>
      <c r="C221" s="459"/>
      <c r="E221" s="461"/>
      <c r="F221" s="461"/>
      <c r="G221" s="461"/>
      <c r="H221" s="461"/>
      <c r="I221" s="462"/>
      <c r="J221" s="462"/>
      <c r="K221" s="462"/>
      <c r="L221" s="462"/>
      <c r="M221" s="462"/>
      <c r="N221" s="463"/>
      <c r="O221" s="464"/>
      <c r="P221" s="463"/>
      <c r="Q221" s="464"/>
      <c r="R221" s="465"/>
      <c r="S221" s="173">
        <f t="shared" si="9"/>
        <v>0</v>
      </c>
      <c r="AT221" s="176" t="e">
        <f>VLOOKUP($E221,RESOURCES!$C:$E,3,FALSE)</f>
        <v>#N/A</v>
      </c>
      <c r="AU221" s="176">
        <f t="shared" si="8"/>
        <v>0</v>
      </c>
    </row>
    <row r="222" spans="1:47">
      <c r="A222" s="459"/>
      <c r="B222" s="459"/>
      <c r="C222" s="459"/>
      <c r="E222" s="461"/>
      <c r="F222" s="461"/>
      <c r="G222" s="461"/>
      <c r="H222" s="461"/>
      <c r="I222" s="462"/>
      <c r="J222" s="462"/>
      <c r="K222" s="462"/>
      <c r="L222" s="462"/>
      <c r="M222" s="462"/>
      <c r="N222" s="463"/>
      <c r="O222" s="464"/>
      <c r="P222" s="463"/>
      <c r="Q222" s="464"/>
      <c r="R222" s="465"/>
      <c r="S222" s="173">
        <f t="shared" si="9"/>
        <v>0</v>
      </c>
      <c r="AT222" s="176" t="e">
        <f>VLOOKUP($E222,RESOURCES!$C:$E,3,FALSE)</f>
        <v>#N/A</v>
      </c>
      <c r="AU222" s="176">
        <f t="shared" si="8"/>
        <v>0</v>
      </c>
    </row>
    <row r="223" spans="1:47">
      <c r="A223" s="459"/>
      <c r="B223" s="459"/>
      <c r="C223" s="459"/>
      <c r="E223" s="461"/>
      <c r="F223" s="461"/>
      <c r="G223" s="461"/>
      <c r="H223" s="461"/>
      <c r="I223" s="462"/>
      <c r="J223" s="462"/>
      <c r="K223" s="462"/>
      <c r="L223" s="462"/>
      <c r="M223" s="462"/>
      <c r="N223" s="463"/>
      <c r="O223" s="464"/>
      <c r="P223" s="463"/>
      <c r="Q223" s="464"/>
      <c r="R223" s="465"/>
      <c r="S223" s="173">
        <f t="shared" si="9"/>
        <v>0</v>
      </c>
      <c r="AT223" s="176" t="e">
        <f>VLOOKUP($E223,RESOURCES!$C:$E,3,FALSE)</f>
        <v>#N/A</v>
      </c>
      <c r="AU223" s="176">
        <f t="shared" si="8"/>
        <v>0</v>
      </c>
    </row>
    <row r="224" spans="1:47">
      <c r="A224" s="459"/>
      <c r="B224" s="459"/>
      <c r="C224" s="459"/>
      <c r="E224" s="461"/>
      <c r="F224" s="461"/>
      <c r="G224" s="461"/>
      <c r="H224" s="461"/>
      <c r="I224" s="462"/>
      <c r="J224" s="462"/>
      <c r="K224" s="462"/>
      <c r="L224" s="462"/>
      <c r="M224" s="462"/>
      <c r="N224" s="463"/>
      <c r="O224" s="464"/>
      <c r="P224" s="463"/>
      <c r="Q224" s="464"/>
      <c r="R224" s="465"/>
      <c r="S224" s="173">
        <f t="shared" si="9"/>
        <v>0</v>
      </c>
      <c r="AT224" s="176" t="e">
        <f>VLOOKUP($E224,RESOURCES!$C:$E,3,FALSE)</f>
        <v>#N/A</v>
      </c>
      <c r="AU224" s="176">
        <f t="shared" si="8"/>
        <v>0</v>
      </c>
    </row>
    <row r="225" spans="1:47">
      <c r="A225" s="459"/>
      <c r="B225" s="459"/>
      <c r="C225" s="459"/>
      <c r="E225" s="461"/>
      <c r="F225" s="461"/>
      <c r="G225" s="461"/>
      <c r="H225" s="461"/>
      <c r="I225" s="462"/>
      <c r="J225" s="462"/>
      <c r="K225" s="462"/>
      <c r="L225" s="462"/>
      <c r="M225" s="462"/>
      <c r="N225" s="463"/>
      <c r="O225" s="464"/>
      <c r="P225" s="463"/>
      <c r="Q225" s="464"/>
      <c r="R225" s="465"/>
      <c r="S225" s="173">
        <f t="shared" si="9"/>
        <v>0</v>
      </c>
      <c r="AT225" s="176" t="e">
        <f>VLOOKUP($E225,RESOURCES!$C:$E,3,FALSE)</f>
        <v>#N/A</v>
      </c>
      <c r="AU225" s="176">
        <f t="shared" si="8"/>
        <v>0</v>
      </c>
    </row>
    <row r="226" spans="1:47">
      <c r="A226" s="459"/>
      <c r="B226" s="459"/>
      <c r="C226" s="459"/>
      <c r="E226" s="461"/>
      <c r="F226" s="461"/>
      <c r="G226" s="461"/>
      <c r="H226" s="461"/>
      <c r="I226" s="462"/>
      <c r="J226" s="462"/>
      <c r="K226" s="462"/>
      <c r="L226" s="462"/>
      <c r="M226" s="462"/>
      <c r="N226" s="463"/>
      <c r="O226" s="464"/>
      <c r="P226" s="463"/>
      <c r="Q226" s="464"/>
      <c r="R226" s="465"/>
      <c r="S226" s="173">
        <f t="shared" si="9"/>
        <v>0</v>
      </c>
      <c r="AT226" s="176" t="e">
        <f>VLOOKUP($E226,RESOURCES!$C:$E,3,FALSE)</f>
        <v>#N/A</v>
      </c>
      <c r="AU226" s="176">
        <f t="shared" si="8"/>
        <v>0</v>
      </c>
    </row>
    <row r="227" spans="1:47">
      <c r="A227" s="459"/>
      <c r="B227" s="459"/>
      <c r="C227" s="459"/>
      <c r="E227" s="461"/>
      <c r="F227" s="461"/>
      <c r="G227" s="461"/>
      <c r="H227" s="461"/>
      <c r="I227" s="462"/>
      <c r="J227" s="462"/>
      <c r="K227" s="462"/>
      <c r="L227" s="462"/>
      <c r="M227" s="462"/>
      <c r="N227" s="463"/>
      <c r="O227" s="464"/>
      <c r="P227" s="463"/>
      <c r="Q227" s="464"/>
      <c r="R227" s="465"/>
      <c r="S227" s="173">
        <f t="shared" si="9"/>
        <v>0</v>
      </c>
      <c r="AT227" s="176" t="e">
        <f>VLOOKUP($E227,RESOURCES!$C:$E,3,FALSE)</f>
        <v>#N/A</v>
      </c>
      <c r="AU227" s="176">
        <f t="shared" si="8"/>
        <v>0</v>
      </c>
    </row>
    <row r="228" spans="1:47">
      <c r="A228" s="459"/>
      <c r="B228" s="459"/>
      <c r="C228" s="459"/>
      <c r="E228" s="461"/>
      <c r="F228" s="461"/>
      <c r="G228" s="461"/>
      <c r="H228" s="461"/>
      <c r="I228" s="462"/>
      <c r="J228" s="462"/>
      <c r="K228" s="462"/>
      <c r="L228" s="462"/>
      <c r="M228" s="462"/>
      <c r="N228" s="463"/>
      <c r="O228" s="464"/>
      <c r="P228" s="463"/>
      <c r="Q228" s="464"/>
      <c r="R228" s="465"/>
      <c r="S228" s="173">
        <f t="shared" si="9"/>
        <v>0</v>
      </c>
      <c r="AT228" s="176" t="e">
        <f>VLOOKUP($E228,RESOURCES!$C:$E,3,FALSE)</f>
        <v>#N/A</v>
      </c>
      <c r="AU228" s="176">
        <f t="shared" si="8"/>
        <v>0</v>
      </c>
    </row>
    <row r="229" spans="1:47">
      <c r="A229" s="459"/>
      <c r="B229" s="459"/>
      <c r="C229" s="459"/>
      <c r="E229" s="461"/>
      <c r="F229" s="461"/>
      <c r="G229" s="461"/>
      <c r="H229" s="461"/>
      <c r="I229" s="462"/>
      <c r="J229" s="462"/>
      <c r="K229" s="462"/>
      <c r="L229" s="462"/>
      <c r="M229" s="462"/>
      <c r="N229" s="463"/>
      <c r="O229" s="464"/>
      <c r="P229" s="463"/>
      <c r="Q229" s="464"/>
      <c r="R229" s="465"/>
      <c r="S229" s="173">
        <f t="shared" si="9"/>
        <v>0</v>
      </c>
      <c r="AT229" s="176" t="e">
        <f>VLOOKUP($E229,RESOURCES!$C:$E,3,FALSE)</f>
        <v>#N/A</v>
      </c>
      <c r="AU229" s="176">
        <f t="shared" si="8"/>
        <v>0</v>
      </c>
    </row>
    <row r="230" spans="1:47">
      <c r="A230" s="459"/>
      <c r="B230" s="459"/>
      <c r="C230" s="459"/>
      <c r="E230" s="461"/>
      <c r="F230" s="461"/>
      <c r="G230" s="461"/>
      <c r="H230" s="461"/>
      <c r="I230" s="462"/>
      <c r="J230" s="462"/>
      <c r="K230" s="462"/>
      <c r="L230" s="462"/>
      <c r="M230" s="462"/>
      <c r="N230" s="463"/>
      <c r="O230" s="464"/>
      <c r="P230" s="463"/>
      <c r="Q230" s="464"/>
      <c r="R230" s="465"/>
      <c r="S230" s="173">
        <f t="shared" si="9"/>
        <v>0</v>
      </c>
      <c r="AT230" s="176" t="e">
        <f>VLOOKUP($E230,RESOURCES!$C:$E,3,FALSE)</f>
        <v>#N/A</v>
      </c>
      <c r="AU230" s="176">
        <f t="shared" si="8"/>
        <v>0</v>
      </c>
    </row>
    <row r="231" spans="1:47">
      <c r="A231" s="459"/>
      <c r="B231" s="459"/>
      <c r="C231" s="459"/>
      <c r="E231" s="461"/>
      <c r="F231" s="461"/>
      <c r="G231" s="461"/>
      <c r="H231" s="461"/>
      <c r="I231" s="462"/>
      <c r="J231" s="462"/>
      <c r="K231" s="462"/>
      <c r="L231" s="462"/>
      <c r="M231" s="462"/>
      <c r="N231" s="463"/>
      <c r="O231" s="464"/>
      <c r="P231" s="463"/>
      <c r="Q231" s="464"/>
      <c r="R231" s="465"/>
      <c r="S231" s="173">
        <f t="shared" si="9"/>
        <v>0</v>
      </c>
      <c r="AT231" s="176" t="e">
        <f>VLOOKUP($E231,RESOURCES!$C:$E,3,FALSE)</f>
        <v>#N/A</v>
      </c>
      <c r="AU231" s="176">
        <f t="shared" si="8"/>
        <v>0</v>
      </c>
    </row>
    <row r="232" spans="1:47">
      <c r="A232" s="459"/>
      <c r="B232" s="459"/>
      <c r="C232" s="459"/>
      <c r="E232" s="461"/>
      <c r="F232" s="461"/>
      <c r="G232" s="461"/>
      <c r="H232" s="461"/>
      <c r="I232" s="462"/>
      <c r="J232" s="462"/>
      <c r="K232" s="462"/>
      <c r="L232" s="462"/>
      <c r="M232" s="462"/>
      <c r="N232" s="463"/>
      <c r="O232" s="464"/>
      <c r="P232" s="463"/>
      <c r="Q232" s="464"/>
      <c r="R232" s="465"/>
      <c r="S232" s="173">
        <f t="shared" si="9"/>
        <v>0</v>
      </c>
      <c r="AT232" s="176" t="e">
        <f>VLOOKUP($E232,RESOURCES!$C:$E,3,FALSE)</f>
        <v>#N/A</v>
      </c>
      <c r="AU232" s="176">
        <f t="shared" si="8"/>
        <v>0</v>
      </c>
    </row>
    <row r="233" spans="1:47">
      <c r="A233" s="459"/>
      <c r="B233" s="459"/>
      <c r="C233" s="459"/>
      <c r="E233" s="461"/>
      <c r="F233" s="461"/>
      <c r="G233" s="461"/>
      <c r="H233" s="461"/>
      <c r="I233" s="462"/>
      <c r="J233" s="462"/>
      <c r="K233" s="462"/>
      <c r="L233" s="462"/>
      <c r="M233" s="462"/>
      <c r="N233" s="463"/>
      <c r="O233" s="464"/>
      <c r="P233" s="463"/>
      <c r="Q233" s="464"/>
      <c r="R233" s="465"/>
      <c r="S233" s="173">
        <f t="shared" si="9"/>
        <v>0</v>
      </c>
      <c r="AT233" s="176" t="e">
        <f>VLOOKUP($E233,RESOURCES!$C:$E,3,FALSE)</f>
        <v>#N/A</v>
      </c>
      <c r="AU233" s="176">
        <f t="shared" si="8"/>
        <v>0</v>
      </c>
    </row>
    <row r="234" spans="1:47">
      <c r="A234" s="459"/>
      <c r="B234" s="459"/>
      <c r="C234" s="459"/>
      <c r="E234" s="461"/>
      <c r="F234" s="461"/>
      <c r="G234" s="461"/>
      <c r="H234" s="461"/>
      <c r="I234" s="462"/>
      <c r="J234" s="462"/>
      <c r="K234" s="462"/>
      <c r="L234" s="462"/>
      <c r="M234" s="462"/>
      <c r="N234" s="463"/>
      <c r="O234" s="464"/>
      <c r="P234" s="463"/>
      <c r="Q234" s="464"/>
      <c r="R234" s="465"/>
      <c r="S234" s="173">
        <f t="shared" si="9"/>
        <v>0</v>
      </c>
      <c r="AT234" s="176" t="e">
        <f>VLOOKUP($E234,RESOURCES!$C:$E,3,FALSE)</f>
        <v>#N/A</v>
      </c>
      <c r="AU234" s="176">
        <f t="shared" si="8"/>
        <v>0</v>
      </c>
    </row>
    <row r="235" spans="1:47">
      <c r="A235" s="459"/>
      <c r="B235" s="459"/>
      <c r="C235" s="459"/>
      <c r="E235" s="461"/>
      <c r="F235" s="461"/>
      <c r="G235" s="461"/>
      <c r="H235" s="461"/>
      <c r="I235" s="462"/>
      <c r="J235" s="462"/>
      <c r="K235" s="462"/>
      <c r="L235" s="462"/>
      <c r="M235" s="462"/>
      <c r="N235" s="463"/>
      <c r="O235" s="464"/>
      <c r="P235" s="463"/>
      <c r="Q235" s="464"/>
      <c r="R235" s="465"/>
      <c r="S235" s="173">
        <f t="shared" si="9"/>
        <v>0</v>
      </c>
      <c r="AT235" s="176" t="e">
        <f>VLOOKUP($E235,RESOURCES!$C:$E,3,FALSE)</f>
        <v>#N/A</v>
      </c>
      <c r="AU235" s="176">
        <f t="shared" si="8"/>
        <v>0</v>
      </c>
    </row>
    <row r="236" spans="1:47">
      <c r="A236" s="459"/>
      <c r="B236" s="459"/>
      <c r="C236" s="459"/>
      <c r="E236" s="461"/>
      <c r="F236" s="461"/>
      <c r="G236" s="461"/>
      <c r="H236" s="461"/>
      <c r="I236" s="462"/>
      <c r="J236" s="462"/>
      <c r="K236" s="462"/>
      <c r="L236" s="462"/>
      <c r="M236" s="462"/>
      <c r="N236" s="463"/>
      <c r="O236" s="464"/>
      <c r="P236" s="463"/>
      <c r="Q236" s="464"/>
      <c r="R236" s="465"/>
      <c r="S236" s="173">
        <f t="shared" si="9"/>
        <v>0</v>
      </c>
      <c r="AT236" s="176" t="e">
        <f>VLOOKUP($E236,RESOURCES!$C:$E,3,FALSE)</f>
        <v>#N/A</v>
      </c>
      <c r="AU236" s="176">
        <f t="shared" si="8"/>
        <v>0</v>
      </c>
    </row>
    <row r="237" spans="1:47">
      <c r="A237" s="459"/>
      <c r="B237" s="459"/>
      <c r="C237" s="459"/>
      <c r="E237" s="461"/>
      <c r="F237" s="461"/>
      <c r="G237" s="461"/>
      <c r="H237" s="461"/>
      <c r="I237" s="462"/>
      <c r="J237" s="462"/>
      <c r="K237" s="462"/>
      <c r="L237" s="462"/>
      <c r="M237" s="462"/>
      <c r="N237" s="463"/>
      <c r="O237" s="464"/>
      <c r="P237" s="463"/>
      <c r="Q237" s="464"/>
      <c r="R237" s="465"/>
      <c r="S237" s="173">
        <f t="shared" si="9"/>
        <v>0</v>
      </c>
      <c r="AT237" s="176" t="e">
        <f>VLOOKUP($E237,RESOURCES!$C:$E,3,FALSE)</f>
        <v>#N/A</v>
      </c>
      <c r="AU237" s="176">
        <f t="shared" si="8"/>
        <v>0</v>
      </c>
    </row>
    <row r="238" spans="1:47">
      <c r="A238" s="459"/>
      <c r="B238" s="459"/>
      <c r="C238" s="459"/>
      <c r="E238" s="461"/>
      <c r="F238" s="461"/>
      <c r="G238" s="461"/>
      <c r="H238" s="461"/>
      <c r="I238" s="462"/>
      <c r="J238" s="462"/>
      <c r="K238" s="462"/>
      <c r="L238" s="462"/>
      <c r="M238" s="462"/>
      <c r="N238" s="463"/>
      <c r="O238" s="464"/>
      <c r="P238" s="463"/>
      <c r="Q238" s="464"/>
      <c r="R238" s="465"/>
      <c r="S238" s="173">
        <f t="shared" si="9"/>
        <v>0</v>
      </c>
      <c r="AT238" s="176" t="e">
        <f>VLOOKUP($E238,RESOURCES!$C:$E,3,FALSE)</f>
        <v>#N/A</v>
      </c>
      <c r="AU238" s="176">
        <f t="shared" si="8"/>
        <v>0</v>
      </c>
    </row>
    <row r="239" spans="1:47">
      <c r="A239" s="459"/>
      <c r="B239" s="459"/>
      <c r="C239" s="459"/>
      <c r="E239" s="461"/>
      <c r="F239" s="461"/>
      <c r="G239" s="461"/>
      <c r="H239" s="461"/>
      <c r="I239" s="462"/>
      <c r="J239" s="462"/>
      <c r="K239" s="462"/>
      <c r="L239" s="462"/>
      <c r="M239" s="462"/>
      <c r="N239" s="463"/>
      <c r="O239" s="464"/>
      <c r="P239" s="463"/>
      <c r="Q239" s="464"/>
      <c r="R239" s="465"/>
      <c r="S239" s="173">
        <f t="shared" si="9"/>
        <v>0</v>
      </c>
      <c r="AT239" s="176" t="e">
        <f>VLOOKUP($E239,RESOURCES!$C:$E,3,FALSE)</f>
        <v>#N/A</v>
      </c>
      <c r="AU239" s="176">
        <f t="shared" si="8"/>
        <v>0</v>
      </c>
    </row>
    <row r="240" spans="1:47">
      <c r="A240" s="459"/>
      <c r="B240" s="459"/>
      <c r="C240" s="459"/>
      <c r="E240" s="461"/>
      <c r="F240" s="461"/>
      <c r="G240" s="461"/>
      <c r="H240" s="461"/>
      <c r="I240" s="462"/>
      <c r="J240" s="462"/>
      <c r="K240" s="462"/>
      <c r="L240" s="462"/>
      <c r="M240" s="462"/>
      <c r="N240" s="463"/>
      <c r="O240" s="464"/>
      <c r="P240" s="463"/>
      <c r="Q240" s="464"/>
      <c r="R240" s="465"/>
      <c r="S240" s="173">
        <f t="shared" si="9"/>
        <v>0</v>
      </c>
      <c r="AT240" s="176" t="e">
        <f>VLOOKUP($E240,RESOURCES!$C:$E,3,FALSE)</f>
        <v>#N/A</v>
      </c>
      <c r="AU240" s="176">
        <f t="shared" si="8"/>
        <v>0</v>
      </c>
    </row>
    <row r="241" spans="1:47">
      <c r="A241" s="459"/>
      <c r="B241" s="459"/>
      <c r="C241" s="459"/>
      <c r="E241" s="461"/>
      <c r="F241" s="461"/>
      <c r="G241" s="461"/>
      <c r="H241" s="461"/>
      <c r="I241" s="462"/>
      <c r="J241" s="462"/>
      <c r="K241" s="462"/>
      <c r="L241" s="462"/>
      <c r="M241" s="462"/>
      <c r="N241" s="463"/>
      <c r="O241" s="464"/>
      <c r="P241" s="463"/>
      <c r="Q241" s="464"/>
      <c r="R241" s="465"/>
      <c r="S241" s="173">
        <f t="shared" si="9"/>
        <v>0</v>
      </c>
      <c r="AT241" s="176" t="e">
        <f>VLOOKUP($E241,RESOURCES!$C:$E,3,FALSE)</f>
        <v>#N/A</v>
      </c>
      <c r="AU241" s="176">
        <f t="shared" si="8"/>
        <v>0</v>
      </c>
    </row>
    <row r="242" spans="1:47">
      <c r="A242" s="459"/>
      <c r="B242" s="459"/>
      <c r="C242" s="459"/>
      <c r="E242" s="461"/>
      <c r="F242" s="461"/>
      <c r="G242" s="461"/>
      <c r="H242" s="461"/>
      <c r="I242" s="462"/>
      <c r="J242" s="462"/>
      <c r="K242" s="462"/>
      <c r="L242" s="462"/>
      <c r="M242" s="462"/>
      <c r="N242" s="463"/>
      <c r="O242" s="464"/>
      <c r="P242" s="463"/>
      <c r="Q242" s="464"/>
      <c r="R242" s="465"/>
      <c r="S242" s="173">
        <f t="shared" si="9"/>
        <v>0</v>
      </c>
      <c r="AT242" s="176" t="e">
        <f>VLOOKUP($E242,RESOURCES!$C:$E,3,FALSE)</f>
        <v>#N/A</v>
      </c>
      <c r="AU242" s="176">
        <f t="shared" si="8"/>
        <v>0</v>
      </c>
    </row>
    <row r="243" spans="1:47">
      <c r="A243" s="459"/>
      <c r="B243" s="459"/>
      <c r="C243" s="459"/>
      <c r="E243" s="461"/>
      <c r="F243" s="461"/>
      <c r="G243" s="461"/>
      <c r="H243" s="461"/>
      <c r="I243" s="462"/>
      <c r="J243" s="462"/>
      <c r="K243" s="462"/>
      <c r="L243" s="462"/>
      <c r="M243" s="462"/>
      <c r="N243" s="463"/>
      <c r="O243" s="464"/>
      <c r="P243" s="463"/>
      <c r="Q243" s="464"/>
      <c r="R243" s="465"/>
      <c r="S243" s="173">
        <f t="shared" si="9"/>
        <v>0</v>
      </c>
      <c r="AT243" s="176" t="e">
        <f>VLOOKUP($E243,RESOURCES!$C:$E,3,FALSE)</f>
        <v>#N/A</v>
      </c>
      <c r="AU243" s="176">
        <f t="shared" si="8"/>
        <v>0</v>
      </c>
    </row>
    <row r="244" spans="1:47">
      <c r="A244" s="459"/>
      <c r="B244" s="459"/>
      <c r="C244" s="459"/>
      <c r="E244" s="461"/>
      <c r="F244" s="461"/>
      <c r="G244" s="461"/>
      <c r="H244" s="461"/>
      <c r="I244" s="462"/>
      <c r="J244" s="462"/>
      <c r="K244" s="462"/>
      <c r="L244" s="462"/>
      <c r="M244" s="462"/>
      <c r="N244" s="463"/>
      <c r="O244" s="464"/>
      <c r="P244" s="463"/>
      <c r="Q244" s="464"/>
      <c r="R244" s="465"/>
      <c r="S244" s="173">
        <f t="shared" si="9"/>
        <v>0</v>
      </c>
      <c r="AT244" s="176" t="e">
        <f>VLOOKUP($E244,RESOURCES!$C:$E,3,FALSE)</f>
        <v>#N/A</v>
      </c>
      <c r="AU244" s="176">
        <f t="shared" si="8"/>
        <v>0</v>
      </c>
    </row>
    <row r="245" spans="1:47">
      <c r="A245" s="459"/>
      <c r="B245" s="459"/>
      <c r="C245" s="459"/>
      <c r="E245" s="461"/>
      <c r="F245" s="461"/>
      <c r="G245" s="461"/>
      <c r="H245" s="461"/>
      <c r="I245" s="462"/>
      <c r="J245" s="462"/>
      <c r="K245" s="462"/>
      <c r="L245" s="462"/>
      <c r="M245" s="462"/>
      <c r="N245" s="463"/>
      <c r="O245" s="464"/>
      <c r="P245" s="463"/>
      <c r="Q245" s="464"/>
      <c r="R245" s="465"/>
      <c r="S245" s="173">
        <f t="shared" si="9"/>
        <v>0</v>
      </c>
      <c r="AT245" s="176" t="e">
        <f>VLOOKUP($E245,RESOURCES!$C:$E,3,FALSE)</f>
        <v>#N/A</v>
      </c>
      <c r="AU245" s="176">
        <f t="shared" si="8"/>
        <v>0</v>
      </c>
    </row>
    <row r="246" spans="1:47">
      <c r="A246" s="459"/>
      <c r="B246" s="459"/>
      <c r="C246" s="459"/>
      <c r="E246" s="461"/>
      <c r="F246" s="461"/>
      <c r="G246" s="461"/>
      <c r="H246" s="461"/>
      <c r="I246" s="462"/>
      <c r="J246" s="462"/>
      <c r="K246" s="462"/>
      <c r="L246" s="462"/>
      <c r="M246" s="462"/>
      <c r="N246" s="463"/>
      <c r="O246" s="464"/>
      <c r="P246" s="463"/>
      <c r="Q246" s="464"/>
      <c r="R246" s="465"/>
      <c r="S246" s="173">
        <f t="shared" si="9"/>
        <v>0</v>
      </c>
      <c r="AT246" s="176" t="e">
        <f>VLOOKUP($E246,RESOURCES!$C:$E,3,FALSE)</f>
        <v>#N/A</v>
      </c>
      <c r="AU246" s="176">
        <f t="shared" si="8"/>
        <v>0</v>
      </c>
    </row>
    <row r="247" spans="1:47">
      <c r="A247" s="459"/>
      <c r="B247" s="459"/>
      <c r="C247" s="459"/>
      <c r="E247" s="461"/>
      <c r="F247" s="461"/>
      <c r="G247" s="461"/>
      <c r="H247" s="461"/>
      <c r="I247" s="462"/>
      <c r="J247" s="462"/>
      <c r="K247" s="462"/>
      <c r="L247" s="462"/>
      <c r="M247" s="462"/>
      <c r="N247" s="463"/>
      <c r="O247" s="464"/>
      <c r="P247" s="463"/>
      <c r="Q247" s="464"/>
      <c r="R247" s="465"/>
      <c r="S247" s="173">
        <f t="shared" si="9"/>
        <v>0</v>
      </c>
      <c r="AT247" s="176" t="e">
        <f>VLOOKUP($E247,RESOURCES!$C:$E,3,FALSE)</f>
        <v>#N/A</v>
      </c>
      <c r="AU247" s="176">
        <f t="shared" si="8"/>
        <v>0</v>
      </c>
    </row>
    <row r="248" spans="1:47">
      <c r="A248" s="459"/>
      <c r="B248" s="459"/>
      <c r="C248" s="459"/>
      <c r="E248" s="461"/>
      <c r="F248" s="461"/>
      <c r="G248" s="461"/>
      <c r="H248" s="461"/>
      <c r="I248" s="462"/>
      <c r="J248" s="462"/>
      <c r="K248" s="462"/>
      <c r="L248" s="462"/>
      <c r="M248" s="462"/>
      <c r="N248" s="463"/>
      <c r="O248" s="464"/>
      <c r="P248" s="463"/>
      <c r="Q248" s="464"/>
      <c r="R248" s="465"/>
      <c r="S248" s="173">
        <f t="shared" si="9"/>
        <v>0</v>
      </c>
      <c r="AT248" s="176" t="e">
        <f>VLOOKUP($E248,RESOURCES!$C:$E,3,FALSE)</f>
        <v>#N/A</v>
      </c>
      <c r="AU248" s="176">
        <f t="shared" si="8"/>
        <v>0</v>
      </c>
    </row>
    <row r="249" spans="1:47">
      <c r="A249" s="459"/>
      <c r="B249" s="459"/>
      <c r="C249" s="459"/>
      <c r="E249" s="461"/>
      <c r="F249" s="461"/>
      <c r="G249" s="461"/>
      <c r="H249" s="461"/>
      <c r="I249" s="462"/>
      <c r="J249" s="462"/>
      <c r="K249" s="462"/>
      <c r="L249" s="462"/>
      <c r="M249" s="462"/>
      <c r="N249" s="463"/>
      <c r="O249" s="464"/>
      <c r="P249" s="463"/>
      <c r="Q249" s="464"/>
      <c r="R249" s="465"/>
      <c r="S249" s="173">
        <f t="shared" si="9"/>
        <v>0</v>
      </c>
      <c r="AT249" s="176" t="e">
        <f>VLOOKUP($E249,RESOURCES!$C:$E,3,FALSE)</f>
        <v>#N/A</v>
      </c>
      <c r="AU249" s="176">
        <f t="shared" si="8"/>
        <v>0</v>
      </c>
    </row>
    <row r="250" spans="1:47">
      <c r="A250" s="459"/>
      <c r="B250" s="459"/>
      <c r="C250" s="459"/>
      <c r="E250" s="461"/>
      <c r="F250" s="461"/>
      <c r="G250" s="461"/>
      <c r="H250" s="461"/>
      <c r="I250" s="462"/>
      <c r="J250" s="462"/>
      <c r="K250" s="462"/>
      <c r="L250" s="462"/>
      <c r="M250" s="462"/>
      <c r="N250" s="463"/>
      <c r="O250" s="464"/>
      <c r="P250" s="463"/>
      <c r="Q250" s="464"/>
      <c r="R250" s="465"/>
      <c r="S250" s="173">
        <f t="shared" si="9"/>
        <v>0</v>
      </c>
      <c r="AT250" s="176" t="e">
        <f>VLOOKUP($E250,RESOURCES!$C:$E,3,FALSE)</f>
        <v>#N/A</v>
      </c>
      <c r="AU250" s="176">
        <f t="shared" si="8"/>
        <v>0</v>
      </c>
    </row>
    <row r="251" spans="1:47">
      <c r="A251" s="459"/>
      <c r="B251" s="459"/>
      <c r="C251" s="459"/>
      <c r="E251" s="461"/>
      <c r="F251" s="461"/>
      <c r="G251" s="461"/>
      <c r="H251" s="461"/>
      <c r="I251" s="462"/>
      <c r="J251" s="462"/>
      <c r="K251" s="462"/>
      <c r="L251" s="462"/>
      <c r="M251" s="462"/>
      <c r="N251" s="463"/>
      <c r="O251" s="464"/>
      <c r="P251" s="463"/>
      <c r="Q251" s="464"/>
      <c r="R251" s="465"/>
      <c r="S251" s="173">
        <f t="shared" si="9"/>
        <v>0</v>
      </c>
      <c r="AT251" s="176" t="e">
        <f>VLOOKUP($E251,RESOURCES!$C:$E,3,FALSE)</f>
        <v>#N/A</v>
      </c>
      <c r="AU251" s="176">
        <f t="shared" si="8"/>
        <v>0</v>
      </c>
    </row>
    <row r="252" spans="1:47">
      <c r="A252" s="459"/>
      <c r="B252" s="459"/>
      <c r="C252" s="459"/>
      <c r="E252" s="461"/>
      <c r="F252" s="461"/>
      <c r="G252" s="461"/>
      <c r="H252" s="461"/>
      <c r="I252" s="462"/>
      <c r="J252" s="462"/>
      <c r="K252" s="462"/>
      <c r="L252" s="462"/>
      <c r="M252" s="462"/>
      <c r="N252" s="463"/>
      <c r="O252" s="464"/>
      <c r="P252" s="463"/>
      <c r="Q252" s="464"/>
      <c r="R252" s="465"/>
      <c r="S252" s="173">
        <f t="shared" si="9"/>
        <v>0</v>
      </c>
      <c r="AT252" s="176" t="e">
        <f>VLOOKUP($E252,RESOURCES!$C:$E,3,FALSE)</f>
        <v>#N/A</v>
      </c>
      <c r="AU252" s="176">
        <f t="shared" si="8"/>
        <v>0</v>
      </c>
    </row>
    <row r="253" spans="1:47">
      <c r="A253" s="459"/>
      <c r="B253" s="459"/>
      <c r="C253" s="459"/>
      <c r="E253" s="461"/>
      <c r="F253" s="461"/>
      <c r="G253" s="461"/>
      <c r="H253" s="461"/>
      <c r="I253" s="462"/>
      <c r="J253" s="462"/>
      <c r="K253" s="462"/>
      <c r="L253" s="462"/>
      <c r="M253" s="462"/>
      <c r="N253" s="463"/>
      <c r="O253" s="464"/>
      <c r="P253" s="463"/>
      <c r="Q253" s="464"/>
      <c r="R253" s="465"/>
      <c r="S253" s="173">
        <f t="shared" si="9"/>
        <v>0</v>
      </c>
      <c r="AT253" s="176" t="e">
        <f>VLOOKUP($E253,RESOURCES!$C:$E,3,FALSE)</f>
        <v>#N/A</v>
      </c>
      <c r="AU253" s="176">
        <f t="shared" si="8"/>
        <v>0</v>
      </c>
    </row>
    <row r="254" spans="1:47">
      <c r="A254" s="459"/>
      <c r="B254" s="459"/>
      <c r="C254" s="459"/>
      <c r="E254" s="461"/>
      <c r="F254" s="461"/>
      <c r="G254" s="461"/>
      <c r="H254" s="461"/>
      <c r="I254" s="462"/>
      <c r="J254" s="462"/>
      <c r="K254" s="462"/>
      <c r="L254" s="462"/>
      <c r="M254" s="462"/>
      <c r="N254" s="463"/>
      <c r="O254" s="464"/>
      <c r="P254" s="463"/>
      <c r="Q254" s="464"/>
      <c r="R254" s="465"/>
      <c r="S254" s="173">
        <f t="shared" si="9"/>
        <v>0</v>
      </c>
      <c r="AT254" s="176" t="e">
        <f>VLOOKUP($E254,RESOURCES!$C:$E,3,FALSE)</f>
        <v>#N/A</v>
      </c>
      <c r="AU254" s="176">
        <f t="shared" si="8"/>
        <v>0</v>
      </c>
    </row>
    <row r="255" spans="1:47">
      <c r="A255" s="459"/>
      <c r="B255" s="459"/>
      <c r="C255" s="459"/>
      <c r="E255" s="461"/>
      <c r="F255" s="461"/>
      <c r="G255" s="461"/>
      <c r="H255" s="461"/>
      <c r="I255" s="462"/>
      <c r="J255" s="462"/>
      <c r="K255" s="462"/>
      <c r="L255" s="462"/>
      <c r="M255" s="462"/>
      <c r="N255" s="463"/>
      <c r="O255" s="464"/>
      <c r="P255" s="463"/>
      <c r="Q255" s="464"/>
      <c r="R255" s="465"/>
      <c r="S255" s="173">
        <f t="shared" si="9"/>
        <v>0</v>
      </c>
      <c r="AT255" s="176" t="e">
        <f>VLOOKUP($E255,RESOURCES!$C:$E,3,FALSE)</f>
        <v>#N/A</v>
      </c>
      <c r="AU255" s="176">
        <f t="shared" si="8"/>
        <v>0</v>
      </c>
    </row>
    <row r="256" spans="1:47">
      <c r="A256" s="459"/>
      <c r="B256" s="459"/>
      <c r="C256" s="459"/>
      <c r="E256" s="461"/>
      <c r="F256" s="461"/>
      <c r="G256" s="461"/>
      <c r="H256" s="461"/>
      <c r="I256" s="462"/>
      <c r="J256" s="462"/>
      <c r="K256" s="462"/>
      <c r="L256" s="462"/>
      <c r="M256" s="462"/>
      <c r="N256" s="463"/>
      <c r="O256" s="464"/>
      <c r="P256" s="463"/>
      <c r="Q256" s="464"/>
      <c r="R256" s="465"/>
      <c r="S256" s="173">
        <f t="shared" si="9"/>
        <v>0</v>
      </c>
      <c r="AT256" s="176" t="e">
        <f>VLOOKUP($E256,RESOURCES!$C:$E,3,FALSE)</f>
        <v>#N/A</v>
      </c>
      <c r="AU256" s="176">
        <f t="shared" si="8"/>
        <v>0</v>
      </c>
    </row>
    <row r="257" spans="1:47">
      <c r="A257" s="459"/>
      <c r="B257" s="459"/>
      <c r="C257" s="459"/>
      <c r="E257" s="461"/>
      <c r="F257" s="461"/>
      <c r="G257" s="461"/>
      <c r="H257" s="461"/>
      <c r="I257" s="462"/>
      <c r="J257" s="462"/>
      <c r="K257" s="462"/>
      <c r="L257" s="462"/>
      <c r="M257" s="462"/>
      <c r="N257" s="463"/>
      <c r="O257" s="464"/>
      <c r="P257" s="463"/>
      <c r="Q257" s="464"/>
      <c r="R257" s="465"/>
      <c r="S257" s="173">
        <f t="shared" si="9"/>
        <v>0</v>
      </c>
      <c r="AT257" s="176" t="e">
        <f>VLOOKUP($E257,RESOURCES!$C:$E,3,FALSE)</f>
        <v>#N/A</v>
      </c>
      <c r="AU257" s="176">
        <f t="shared" si="8"/>
        <v>0</v>
      </c>
    </row>
    <row r="258" spans="1:47">
      <c r="A258" s="459"/>
      <c r="B258" s="459"/>
      <c r="C258" s="459"/>
      <c r="E258" s="461"/>
      <c r="F258" s="461"/>
      <c r="G258" s="461"/>
      <c r="H258" s="461"/>
      <c r="I258" s="462"/>
      <c r="J258" s="462"/>
      <c r="K258" s="462"/>
      <c r="L258" s="462"/>
      <c r="M258" s="462"/>
      <c r="N258" s="463"/>
      <c r="O258" s="464"/>
      <c r="P258" s="463"/>
      <c r="Q258" s="464"/>
      <c r="R258" s="465"/>
      <c r="S258" s="173">
        <f t="shared" si="9"/>
        <v>0</v>
      </c>
      <c r="AT258" s="176" t="e">
        <f>VLOOKUP($E258,RESOURCES!$C:$E,3,FALSE)</f>
        <v>#N/A</v>
      </c>
      <c r="AU258" s="176">
        <f t="shared" si="8"/>
        <v>0</v>
      </c>
    </row>
    <row r="259" spans="1:47">
      <c r="A259" s="459"/>
      <c r="B259" s="459"/>
      <c r="C259" s="459"/>
      <c r="E259" s="461"/>
      <c r="F259" s="461"/>
      <c r="G259" s="461"/>
      <c r="H259" s="461"/>
      <c r="I259" s="462"/>
      <c r="J259" s="462"/>
      <c r="K259" s="462"/>
      <c r="L259" s="462"/>
      <c r="M259" s="462"/>
      <c r="N259" s="463"/>
      <c r="O259" s="464"/>
      <c r="P259" s="463"/>
      <c r="Q259" s="464"/>
      <c r="R259" s="465"/>
      <c r="S259" s="173">
        <f t="shared" si="9"/>
        <v>0</v>
      </c>
      <c r="AT259" s="176" t="e">
        <f>VLOOKUP($E259,RESOURCES!$C:$E,3,FALSE)</f>
        <v>#N/A</v>
      </c>
      <c r="AU259" s="176">
        <f t="shared" si="8"/>
        <v>0</v>
      </c>
    </row>
    <row r="260" spans="1:47">
      <c r="A260" s="459"/>
      <c r="B260" s="459"/>
      <c r="C260" s="459"/>
      <c r="E260" s="461"/>
      <c r="F260" s="461"/>
      <c r="G260" s="461"/>
      <c r="H260" s="461"/>
      <c r="I260" s="462"/>
      <c r="J260" s="462"/>
      <c r="K260" s="462"/>
      <c r="L260" s="462"/>
      <c r="M260" s="462"/>
      <c r="N260" s="463"/>
      <c r="O260" s="464"/>
      <c r="P260" s="463"/>
      <c r="Q260" s="464"/>
      <c r="R260" s="465"/>
      <c r="S260" s="173">
        <f t="shared" si="9"/>
        <v>0</v>
      </c>
      <c r="AT260" s="176" t="e">
        <f>VLOOKUP($E260,RESOURCES!$C:$E,3,FALSE)</f>
        <v>#N/A</v>
      </c>
      <c r="AU260" s="176">
        <f t="shared" si="8"/>
        <v>0</v>
      </c>
    </row>
    <row r="261" spans="1:47">
      <c r="A261" s="459"/>
      <c r="B261" s="459"/>
      <c r="C261" s="459"/>
      <c r="E261" s="461"/>
      <c r="F261" s="461"/>
      <c r="G261" s="461"/>
      <c r="H261" s="461"/>
      <c r="I261" s="462"/>
      <c r="J261" s="462"/>
      <c r="K261" s="462"/>
      <c r="L261" s="462"/>
      <c r="M261" s="462"/>
      <c r="N261" s="463"/>
      <c r="O261" s="464"/>
      <c r="P261" s="463"/>
      <c r="Q261" s="464"/>
      <c r="R261" s="465"/>
      <c r="S261" s="173">
        <f t="shared" si="9"/>
        <v>0</v>
      </c>
      <c r="AT261" s="176" t="e">
        <f>VLOOKUP($E261,RESOURCES!$C:$E,3,FALSE)</f>
        <v>#N/A</v>
      </c>
      <c r="AU261" s="176">
        <f t="shared" ref="AU261:AU324" si="10">C261</f>
        <v>0</v>
      </c>
    </row>
    <row r="262" spans="1:47">
      <c r="A262" s="459"/>
      <c r="B262" s="459"/>
      <c r="C262" s="459"/>
      <c r="E262" s="461"/>
      <c r="F262" s="461"/>
      <c r="G262" s="461"/>
      <c r="H262" s="461"/>
      <c r="I262" s="462"/>
      <c r="J262" s="462"/>
      <c r="K262" s="462"/>
      <c r="L262" s="462"/>
      <c r="M262" s="462"/>
      <c r="N262" s="463"/>
      <c r="O262" s="464"/>
      <c r="P262" s="463"/>
      <c r="Q262" s="464"/>
      <c r="R262" s="465"/>
      <c r="S262" s="173">
        <f t="shared" si="9"/>
        <v>0</v>
      </c>
      <c r="AT262" s="176" t="e">
        <f>VLOOKUP($E262,RESOURCES!$C:$E,3,FALSE)</f>
        <v>#N/A</v>
      </c>
      <c r="AU262" s="176">
        <f t="shared" si="10"/>
        <v>0</v>
      </c>
    </row>
    <row r="263" spans="1:47">
      <c r="A263" s="459"/>
      <c r="B263" s="459"/>
      <c r="C263" s="459"/>
      <c r="E263" s="461"/>
      <c r="F263" s="461"/>
      <c r="G263" s="461"/>
      <c r="H263" s="461"/>
      <c r="I263" s="462"/>
      <c r="J263" s="462"/>
      <c r="K263" s="462"/>
      <c r="L263" s="462"/>
      <c r="M263" s="462"/>
      <c r="N263" s="463"/>
      <c r="O263" s="464"/>
      <c r="P263" s="463"/>
      <c r="Q263" s="464"/>
      <c r="R263" s="465"/>
      <c r="S263" s="173">
        <f t="shared" si="9"/>
        <v>0</v>
      </c>
      <c r="AT263" s="176" t="e">
        <f>VLOOKUP($E263,RESOURCES!$C:$E,3,FALSE)</f>
        <v>#N/A</v>
      </c>
      <c r="AU263" s="176">
        <f t="shared" si="10"/>
        <v>0</v>
      </c>
    </row>
    <row r="264" spans="1:47">
      <c r="A264" s="459"/>
      <c r="B264" s="459"/>
      <c r="C264" s="459"/>
      <c r="E264" s="461"/>
      <c r="F264" s="461"/>
      <c r="G264" s="461"/>
      <c r="H264" s="461"/>
      <c r="I264" s="462"/>
      <c r="J264" s="462"/>
      <c r="K264" s="462"/>
      <c r="L264" s="462"/>
      <c r="M264" s="462"/>
      <c r="N264" s="463"/>
      <c r="O264" s="464"/>
      <c r="P264" s="463"/>
      <c r="Q264" s="464"/>
      <c r="R264" s="465"/>
      <c r="S264" s="173">
        <f t="shared" si="9"/>
        <v>0</v>
      </c>
      <c r="AT264" s="176" t="e">
        <f>VLOOKUP($E264,RESOURCES!$C:$E,3,FALSE)</f>
        <v>#N/A</v>
      </c>
      <c r="AU264" s="176">
        <f t="shared" si="10"/>
        <v>0</v>
      </c>
    </row>
    <row r="265" spans="1:47">
      <c r="A265" s="459"/>
      <c r="B265" s="459"/>
      <c r="C265" s="459"/>
      <c r="E265" s="461"/>
      <c r="F265" s="461"/>
      <c r="G265" s="461"/>
      <c r="H265" s="461"/>
      <c r="I265" s="462"/>
      <c r="J265" s="462"/>
      <c r="K265" s="462"/>
      <c r="L265" s="462"/>
      <c r="M265" s="462"/>
      <c r="N265" s="463"/>
      <c r="O265" s="464"/>
      <c r="P265" s="463"/>
      <c r="Q265" s="464"/>
      <c r="R265" s="465"/>
      <c r="S265" s="173">
        <f t="shared" si="9"/>
        <v>0</v>
      </c>
      <c r="AT265" s="176" t="e">
        <f>VLOOKUP($E265,RESOURCES!$C:$E,3,FALSE)</f>
        <v>#N/A</v>
      </c>
      <c r="AU265" s="176">
        <f t="shared" si="10"/>
        <v>0</v>
      </c>
    </row>
    <row r="266" spans="1:47">
      <c r="A266" s="459"/>
      <c r="B266" s="459"/>
      <c r="C266" s="459"/>
      <c r="E266" s="461"/>
      <c r="F266" s="461"/>
      <c r="G266" s="461"/>
      <c r="H266" s="461"/>
      <c r="I266" s="462"/>
      <c r="J266" s="462"/>
      <c r="K266" s="462"/>
      <c r="L266" s="462"/>
      <c r="M266" s="462"/>
      <c r="N266" s="463"/>
      <c r="O266" s="464"/>
      <c r="P266" s="463"/>
      <c r="Q266" s="464"/>
      <c r="R266" s="465"/>
      <c r="S266" s="173">
        <f t="shared" si="9"/>
        <v>0</v>
      </c>
      <c r="AT266" s="176" t="e">
        <f>VLOOKUP($E266,RESOURCES!$C:$E,3,FALSE)</f>
        <v>#N/A</v>
      </c>
      <c r="AU266" s="176">
        <f t="shared" si="10"/>
        <v>0</v>
      </c>
    </row>
    <row r="267" spans="1:47">
      <c r="A267" s="459"/>
      <c r="B267" s="459"/>
      <c r="C267" s="459"/>
      <c r="E267" s="461"/>
      <c r="F267" s="461"/>
      <c r="G267" s="461"/>
      <c r="H267" s="461"/>
      <c r="I267" s="462"/>
      <c r="J267" s="462"/>
      <c r="K267" s="462"/>
      <c r="L267" s="462"/>
      <c r="M267" s="462"/>
      <c r="N267" s="463"/>
      <c r="O267" s="464"/>
      <c r="P267" s="463"/>
      <c r="Q267" s="464"/>
      <c r="R267" s="465"/>
      <c r="S267" s="173">
        <f t="shared" si="9"/>
        <v>0</v>
      </c>
      <c r="AT267" s="176" t="e">
        <f>VLOOKUP($E267,RESOURCES!$C:$E,3,FALSE)</f>
        <v>#N/A</v>
      </c>
      <c r="AU267" s="176">
        <f t="shared" si="10"/>
        <v>0</v>
      </c>
    </row>
    <row r="268" spans="1:47">
      <c r="A268" s="459"/>
      <c r="B268" s="459"/>
      <c r="C268" s="459"/>
      <c r="E268" s="461"/>
      <c r="F268" s="461"/>
      <c r="G268" s="461"/>
      <c r="H268" s="461"/>
      <c r="I268" s="462"/>
      <c r="J268" s="462"/>
      <c r="K268" s="462"/>
      <c r="L268" s="462"/>
      <c r="M268" s="462"/>
      <c r="N268" s="463"/>
      <c r="O268" s="464"/>
      <c r="P268" s="463"/>
      <c r="Q268" s="464"/>
      <c r="R268" s="465"/>
      <c r="S268" s="173">
        <f t="shared" si="9"/>
        <v>0</v>
      </c>
      <c r="AT268" s="176" t="e">
        <f>VLOOKUP($E268,RESOURCES!$C:$E,3,FALSE)</f>
        <v>#N/A</v>
      </c>
      <c r="AU268" s="176">
        <f t="shared" si="10"/>
        <v>0</v>
      </c>
    </row>
    <row r="269" spans="1:47">
      <c r="A269" s="459"/>
      <c r="B269" s="459"/>
      <c r="C269" s="459"/>
      <c r="E269" s="461"/>
      <c r="F269" s="461"/>
      <c r="G269" s="461"/>
      <c r="H269" s="461"/>
      <c r="I269" s="462"/>
      <c r="J269" s="462"/>
      <c r="K269" s="462"/>
      <c r="L269" s="462"/>
      <c r="M269" s="462"/>
      <c r="N269" s="463"/>
      <c r="O269" s="464"/>
      <c r="P269" s="463"/>
      <c r="Q269" s="464"/>
      <c r="R269" s="465"/>
      <c r="S269" s="173">
        <f t="shared" ref="S269:S332" si="11">F269-(H269/7.5)</f>
        <v>0</v>
      </c>
      <c r="AT269" s="176" t="e">
        <f>VLOOKUP($E269,RESOURCES!$C:$E,3,FALSE)</f>
        <v>#N/A</v>
      </c>
      <c r="AU269" s="176">
        <f t="shared" si="10"/>
        <v>0</v>
      </c>
    </row>
    <row r="270" spans="1:47">
      <c r="A270" s="459"/>
      <c r="B270" s="459"/>
      <c r="C270" s="459"/>
      <c r="E270" s="461"/>
      <c r="F270" s="461"/>
      <c r="G270" s="461"/>
      <c r="H270" s="461"/>
      <c r="I270" s="462"/>
      <c r="J270" s="462"/>
      <c r="K270" s="462"/>
      <c r="L270" s="462"/>
      <c r="M270" s="462"/>
      <c r="N270" s="463"/>
      <c r="O270" s="464"/>
      <c r="P270" s="463"/>
      <c r="Q270" s="464"/>
      <c r="R270" s="465"/>
      <c r="S270" s="173">
        <f t="shared" si="11"/>
        <v>0</v>
      </c>
      <c r="AT270" s="176" t="e">
        <f>VLOOKUP($E270,RESOURCES!$C:$E,3,FALSE)</f>
        <v>#N/A</v>
      </c>
      <c r="AU270" s="176">
        <f t="shared" si="10"/>
        <v>0</v>
      </c>
    </row>
    <row r="271" spans="1:47">
      <c r="A271" s="459"/>
      <c r="B271" s="459"/>
      <c r="C271" s="459"/>
      <c r="E271" s="461"/>
      <c r="F271" s="461"/>
      <c r="G271" s="461"/>
      <c r="H271" s="461"/>
      <c r="I271" s="462"/>
      <c r="J271" s="462"/>
      <c r="K271" s="462"/>
      <c r="L271" s="462"/>
      <c r="M271" s="462"/>
      <c r="N271" s="463"/>
      <c r="O271" s="464"/>
      <c r="P271" s="463"/>
      <c r="Q271" s="464"/>
      <c r="R271" s="465"/>
      <c r="S271" s="173">
        <f t="shared" si="11"/>
        <v>0</v>
      </c>
      <c r="AT271" s="176" t="e">
        <f>VLOOKUP($E271,RESOURCES!$C:$E,3,FALSE)</f>
        <v>#N/A</v>
      </c>
      <c r="AU271" s="176">
        <f t="shared" si="10"/>
        <v>0</v>
      </c>
    </row>
    <row r="272" spans="1:47">
      <c r="A272" s="459"/>
      <c r="B272" s="459"/>
      <c r="C272" s="459"/>
      <c r="E272" s="461"/>
      <c r="F272" s="461"/>
      <c r="G272" s="461"/>
      <c r="H272" s="461"/>
      <c r="I272" s="462"/>
      <c r="J272" s="462"/>
      <c r="K272" s="462"/>
      <c r="L272" s="462"/>
      <c r="M272" s="462"/>
      <c r="N272" s="463"/>
      <c r="O272" s="464"/>
      <c r="P272" s="463"/>
      <c r="Q272" s="464"/>
      <c r="R272" s="465"/>
      <c r="S272" s="173">
        <f t="shared" si="11"/>
        <v>0</v>
      </c>
      <c r="AT272" s="176" t="e">
        <f>VLOOKUP($E272,RESOURCES!$C:$E,3,FALSE)</f>
        <v>#N/A</v>
      </c>
      <c r="AU272" s="176">
        <f t="shared" si="10"/>
        <v>0</v>
      </c>
    </row>
    <row r="273" spans="1:47">
      <c r="A273" s="459"/>
      <c r="B273" s="459"/>
      <c r="C273" s="459"/>
      <c r="E273" s="461"/>
      <c r="F273" s="461"/>
      <c r="G273" s="461"/>
      <c r="H273" s="461"/>
      <c r="I273" s="462"/>
      <c r="J273" s="462"/>
      <c r="K273" s="462"/>
      <c r="L273" s="462"/>
      <c r="M273" s="462"/>
      <c r="N273" s="463"/>
      <c r="O273" s="464"/>
      <c r="P273" s="463"/>
      <c r="Q273" s="464"/>
      <c r="R273" s="465"/>
      <c r="S273" s="173">
        <f t="shared" si="11"/>
        <v>0</v>
      </c>
      <c r="AT273" s="176" t="e">
        <f>VLOOKUP($E273,RESOURCES!$C:$E,3,FALSE)</f>
        <v>#N/A</v>
      </c>
      <c r="AU273" s="176">
        <f t="shared" si="10"/>
        <v>0</v>
      </c>
    </row>
    <row r="274" spans="1:47">
      <c r="A274" s="459"/>
      <c r="B274" s="459"/>
      <c r="C274" s="459"/>
      <c r="E274" s="461"/>
      <c r="F274" s="461"/>
      <c r="G274" s="461"/>
      <c r="H274" s="461"/>
      <c r="I274" s="462"/>
      <c r="J274" s="462"/>
      <c r="K274" s="462"/>
      <c r="L274" s="462"/>
      <c r="M274" s="462"/>
      <c r="N274" s="463"/>
      <c r="O274" s="464"/>
      <c r="P274" s="463"/>
      <c r="Q274" s="464"/>
      <c r="R274" s="465"/>
      <c r="S274" s="173">
        <f t="shared" si="11"/>
        <v>0</v>
      </c>
      <c r="AT274" s="176" t="e">
        <f>VLOOKUP($E274,RESOURCES!$C:$E,3,FALSE)</f>
        <v>#N/A</v>
      </c>
      <c r="AU274" s="176">
        <f t="shared" si="10"/>
        <v>0</v>
      </c>
    </row>
    <row r="275" spans="1:47">
      <c r="A275" s="459"/>
      <c r="B275" s="459"/>
      <c r="C275" s="459"/>
      <c r="E275" s="461"/>
      <c r="F275" s="461"/>
      <c r="G275" s="461"/>
      <c r="H275" s="461"/>
      <c r="I275" s="462"/>
      <c r="J275" s="462"/>
      <c r="K275" s="462"/>
      <c r="L275" s="462"/>
      <c r="M275" s="462"/>
      <c r="N275" s="463"/>
      <c r="O275" s="464"/>
      <c r="P275" s="463"/>
      <c r="Q275" s="464"/>
      <c r="R275" s="465"/>
      <c r="S275" s="173">
        <f t="shared" si="11"/>
        <v>0</v>
      </c>
      <c r="AT275" s="176" t="e">
        <f>VLOOKUP($E275,RESOURCES!$C:$E,3,FALSE)</f>
        <v>#N/A</v>
      </c>
      <c r="AU275" s="176">
        <f t="shared" si="10"/>
        <v>0</v>
      </c>
    </row>
    <row r="276" spans="1:47">
      <c r="A276" s="459"/>
      <c r="B276" s="459"/>
      <c r="C276" s="459"/>
      <c r="E276" s="461"/>
      <c r="F276" s="461"/>
      <c r="G276" s="461"/>
      <c r="H276" s="461"/>
      <c r="I276" s="462"/>
      <c r="J276" s="462"/>
      <c r="K276" s="462"/>
      <c r="L276" s="462"/>
      <c r="M276" s="462"/>
      <c r="N276" s="463"/>
      <c r="O276" s="464"/>
      <c r="P276" s="463"/>
      <c r="Q276" s="464"/>
      <c r="R276" s="465"/>
      <c r="S276" s="173">
        <f t="shared" si="11"/>
        <v>0</v>
      </c>
      <c r="AT276" s="176" t="e">
        <f>VLOOKUP($E276,RESOURCES!$C:$E,3,FALSE)</f>
        <v>#N/A</v>
      </c>
      <c r="AU276" s="176">
        <f t="shared" si="10"/>
        <v>0</v>
      </c>
    </row>
    <row r="277" spans="1:47">
      <c r="A277" s="459"/>
      <c r="B277" s="459"/>
      <c r="C277" s="459"/>
      <c r="E277" s="461"/>
      <c r="F277" s="461"/>
      <c r="G277" s="461"/>
      <c r="H277" s="461"/>
      <c r="I277" s="462"/>
      <c r="J277" s="462"/>
      <c r="K277" s="462"/>
      <c r="L277" s="462"/>
      <c r="M277" s="462"/>
      <c r="N277" s="463"/>
      <c r="O277" s="464"/>
      <c r="P277" s="463"/>
      <c r="Q277" s="464"/>
      <c r="R277" s="465"/>
      <c r="S277" s="173">
        <f t="shared" si="11"/>
        <v>0</v>
      </c>
      <c r="AT277" s="176" t="e">
        <f>VLOOKUP($E277,RESOURCES!$C:$E,3,FALSE)</f>
        <v>#N/A</v>
      </c>
      <c r="AU277" s="176">
        <f t="shared" si="10"/>
        <v>0</v>
      </c>
    </row>
    <row r="278" spans="1:47">
      <c r="A278" s="459"/>
      <c r="B278" s="459"/>
      <c r="C278" s="459"/>
      <c r="E278" s="461"/>
      <c r="F278" s="461"/>
      <c r="G278" s="461"/>
      <c r="H278" s="461"/>
      <c r="I278" s="462"/>
      <c r="J278" s="462"/>
      <c r="K278" s="462"/>
      <c r="L278" s="462"/>
      <c r="M278" s="462"/>
      <c r="N278" s="463"/>
      <c r="O278" s="464"/>
      <c r="P278" s="463"/>
      <c r="Q278" s="464"/>
      <c r="R278" s="465"/>
      <c r="S278" s="173">
        <f t="shared" si="11"/>
        <v>0</v>
      </c>
      <c r="AT278" s="176" t="e">
        <f>VLOOKUP($E278,RESOURCES!$C:$E,3,FALSE)</f>
        <v>#N/A</v>
      </c>
      <c r="AU278" s="176">
        <f t="shared" si="10"/>
        <v>0</v>
      </c>
    </row>
    <row r="279" spans="1:47">
      <c r="A279" s="459"/>
      <c r="B279" s="459"/>
      <c r="C279" s="459"/>
      <c r="E279" s="461"/>
      <c r="F279" s="461"/>
      <c r="G279" s="461"/>
      <c r="H279" s="461"/>
      <c r="I279" s="462"/>
      <c r="J279" s="462"/>
      <c r="K279" s="462"/>
      <c r="L279" s="462"/>
      <c r="M279" s="462"/>
      <c r="N279" s="463"/>
      <c r="O279" s="464"/>
      <c r="P279" s="463"/>
      <c r="Q279" s="464"/>
      <c r="R279" s="465"/>
      <c r="S279" s="173">
        <f t="shared" si="11"/>
        <v>0</v>
      </c>
      <c r="AT279" s="176" t="e">
        <f>VLOOKUP($E279,RESOURCES!$C:$E,3,FALSE)</f>
        <v>#N/A</v>
      </c>
      <c r="AU279" s="176">
        <f t="shared" si="10"/>
        <v>0</v>
      </c>
    </row>
    <row r="280" spans="1:47">
      <c r="A280" s="459"/>
      <c r="B280" s="459"/>
      <c r="C280" s="459"/>
      <c r="E280" s="461"/>
      <c r="F280" s="461"/>
      <c r="G280" s="461"/>
      <c r="H280" s="461"/>
      <c r="I280" s="462"/>
      <c r="J280" s="462"/>
      <c r="K280" s="462"/>
      <c r="L280" s="462"/>
      <c r="M280" s="462"/>
      <c r="N280" s="463"/>
      <c r="O280" s="464"/>
      <c r="P280" s="463"/>
      <c r="Q280" s="464"/>
      <c r="R280" s="465"/>
      <c r="S280" s="173">
        <f t="shared" si="11"/>
        <v>0</v>
      </c>
      <c r="AT280" s="176" t="e">
        <f>VLOOKUP($E280,RESOURCES!$C:$E,3,FALSE)</f>
        <v>#N/A</v>
      </c>
      <c r="AU280" s="176">
        <f t="shared" si="10"/>
        <v>0</v>
      </c>
    </row>
    <row r="281" spans="1:47">
      <c r="A281" s="459"/>
      <c r="B281" s="459"/>
      <c r="C281" s="459"/>
      <c r="E281" s="461"/>
      <c r="F281" s="461"/>
      <c r="G281" s="461"/>
      <c r="H281" s="461"/>
      <c r="I281" s="462"/>
      <c r="J281" s="462"/>
      <c r="K281" s="462"/>
      <c r="L281" s="462"/>
      <c r="M281" s="462"/>
      <c r="N281" s="463"/>
      <c r="O281" s="464"/>
      <c r="P281" s="463"/>
      <c r="Q281" s="464"/>
      <c r="R281" s="465"/>
      <c r="S281" s="173">
        <f t="shared" si="11"/>
        <v>0</v>
      </c>
      <c r="AT281" s="176" t="e">
        <f>VLOOKUP($E281,RESOURCES!$C:$E,3,FALSE)</f>
        <v>#N/A</v>
      </c>
      <c r="AU281" s="176">
        <f t="shared" si="10"/>
        <v>0</v>
      </c>
    </row>
    <row r="282" spans="1:47">
      <c r="A282" s="459"/>
      <c r="B282" s="459"/>
      <c r="C282" s="459"/>
      <c r="E282" s="461"/>
      <c r="F282" s="461"/>
      <c r="G282" s="461"/>
      <c r="H282" s="461"/>
      <c r="I282" s="462"/>
      <c r="J282" s="462"/>
      <c r="K282" s="462"/>
      <c r="L282" s="462"/>
      <c r="M282" s="462"/>
      <c r="N282" s="463"/>
      <c r="O282" s="464"/>
      <c r="P282" s="463"/>
      <c r="Q282" s="464"/>
      <c r="R282" s="465"/>
      <c r="S282" s="173">
        <f t="shared" si="11"/>
        <v>0</v>
      </c>
      <c r="AT282" s="176" t="e">
        <f>VLOOKUP($E282,RESOURCES!$C:$E,3,FALSE)</f>
        <v>#N/A</v>
      </c>
      <c r="AU282" s="176">
        <f t="shared" si="10"/>
        <v>0</v>
      </c>
    </row>
    <row r="283" spans="1:47">
      <c r="A283" s="459"/>
      <c r="B283" s="459"/>
      <c r="C283" s="459"/>
      <c r="E283" s="461"/>
      <c r="F283" s="461"/>
      <c r="G283" s="461"/>
      <c r="H283" s="461"/>
      <c r="I283" s="462"/>
      <c r="J283" s="462"/>
      <c r="K283" s="462"/>
      <c r="L283" s="462"/>
      <c r="M283" s="462"/>
      <c r="N283" s="463"/>
      <c r="O283" s="464"/>
      <c r="P283" s="463"/>
      <c r="Q283" s="464"/>
      <c r="R283" s="465"/>
      <c r="S283" s="173">
        <f t="shared" si="11"/>
        <v>0</v>
      </c>
      <c r="AT283" s="176" t="e">
        <f>VLOOKUP($E283,RESOURCES!$C:$E,3,FALSE)</f>
        <v>#N/A</v>
      </c>
      <c r="AU283" s="176">
        <f t="shared" si="10"/>
        <v>0</v>
      </c>
    </row>
    <row r="284" spans="1:47">
      <c r="A284" s="459"/>
      <c r="B284" s="459"/>
      <c r="C284" s="459"/>
      <c r="E284" s="461"/>
      <c r="F284" s="461"/>
      <c r="G284" s="461"/>
      <c r="H284" s="461"/>
      <c r="I284" s="462"/>
      <c r="J284" s="462"/>
      <c r="K284" s="462"/>
      <c r="L284" s="462"/>
      <c r="M284" s="462"/>
      <c r="N284" s="463"/>
      <c r="O284" s="464"/>
      <c r="P284" s="463"/>
      <c r="Q284" s="464"/>
      <c r="R284" s="465"/>
      <c r="S284" s="173">
        <f t="shared" si="11"/>
        <v>0</v>
      </c>
      <c r="AT284" s="176" t="e">
        <f>VLOOKUP($E284,RESOURCES!$C:$E,3,FALSE)</f>
        <v>#N/A</v>
      </c>
      <c r="AU284" s="176">
        <f t="shared" si="10"/>
        <v>0</v>
      </c>
    </row>
    <row r="285" spans="1:47">
      <c r="A285" s="459"/>
      <c r="B285" s="459"/>
      <c r="C285" s="459"/>
      <c r="E285" s="461"/>
      <c r="F285" s="461"/>
      <c r="G285" s="461"/>
      <c r="H285" s="461"/>
      <c r="I285" s="462"/>
      <c r="J285" s="462"/>
      <c r="K285" s="462"/>
      <c r="L285" s="462"/>
      <c r="M285" s="462"/>
      <c r="N285" s="463"/>
      <c r="O285" s="464"/>
      <c r="P285" s="463"/>
      <c r="Q285" s="464"/>
      <c r="R285" s="465"/>
      <c r="S285" s="173">
        <f t="shared" si="11"/>
        <v>0</v>
      </c>
      <c r="AT285" s="176" t="e">
        <f>VLOOKUP($E285,RESOURCES!$C:$E,3,FALSE)</f>
        <v>#N/A</v>
      </c>
      <c r="AU285" s="176">
        <f t="shared" si="10"/>
        <v>0</v>
      </c>
    </row>
    <row r="286" spans="1:47">
      <c r="A286" s="459"/>
      <c r="B286" s="459"/>
      <c r="C286" s="459"/>
      <c r="E286" s="461"/>
      <c r="F286" s="461"/>
      <c r="G286" s="461"/>
      <c r="H286" s="461"/>
      <c r="I286" s="462"/>
      <c r="J286" s="462"/>
      <c r="K286" s="462"/>
      <c r="L286" s="462"/>
      <c r="M286" s="462"/>
      <c r="N286" s="463"/>
      <c r="O286" s="464"/>
      <c r="P286" s="463"/>
      <c r="Q286" s="464"/>
      <c r="R286" s="465"/>
      <c r="S286" s="173">
        <f t="shared" si="11"/>
        <v>0</v>
      </c>
      <c r="AT286" s="176" t="e">
        <f>VLOOKUP($E286,RESOURCES!$C:$E,3,FALSE)</f>
        <v>#N/A</v>
      </c>
      <c r="AU286" s="176">
        <f t="shared" si="10"/>
        <v>0</v>
      </c>
    </row>
    <row r="287" spans="1:47">
      <c r="A287" s="459"/>
      <c r="B287" s="459"/>
      <c r="C287" s="459"/>
      <c r="E287" s="461"/>
      <c r="F287" s="461"/>
      <c r="G287" s="461"/>
      <c r="H287" s="461"/>
      <c r="I287" s="462"/>
      <c r="J287" s="462"/>
      <c r="K287" s="462"/>
      <c r="L287" s="462"/>
      <c r="M287" s="462"/>
      <c r="N287" s="463"/>
      <c r="O287" s="464"/>
      <c r="P287" s="463"/>
      <c r="Q287" s="464"/>
      <c r="R287" s="465"/>
      <c r="S287" s="173">
        <f t="shared" si="11"/>
        <v>0</v>
      </c>
      <c r="AT287" s="176" t="e">
        <f>VLOOKUP($E287,RESOURCES!$C:$E,3,FALSE)</f>
        <v>#N/A</v>
      </c>
      <c r="AU287" s="176">
        <f t="shared" si="10"/>
        <v>0</v>
      </c>
    </row>
    <row r="288" spans="1:47">
      <c r="A288" s="459"/>
      <c r="B288" s="459"/>
      <c r="C288" s="459"/>
      <c r="E288" s="461"/>
      <c r="F288" s="461"/>
      <c r="G288" s="461"/>
      <c r="H288" s="461"/>
      <c r="I288" s="462"/>
      <c r="J288" s="462"/>
      <c r="K288" s="462"/>
      <c r="L288" s="462"/>
      <c r="M288" s="462"/>
      <c r="N288" s="463"/>
      <c r="O288" s="464"/>
      <c r="P288" s="463"/>
      <c r="Q288" s="464"/>
      <c r="R288" s="465"/>
      <c r="S288" s="173">
        <f t="shared" si="11"/>
        <v>0</v>
      </c>
      <c r="AT288" s="176" t="e">
        <f>VLOOKUP($E288,RESOURCES!$C:$E,3,FALSE)</f>
        <v>#N/A</v>
      </c>
      <c r="AU288" s="176">
        <f t="shared" si="10"/>
        <v>0</v>
      </c>
    </row>
    <row r="289" spans="1:47">
      <c r="A289" s="459"/>
      <c r="B289" s="459"/>
      <c r="C289" s="459"/>
      <c r="E289" s="461"/>
      <c r="F289" s="461"/>
      <c r="G289" s="461"/>
      <c r="H289" s="461"/>
      <c r="I289" s="462"/>
      <c r="J289" s="462"/>
      <c r="K289" s="462"/>
      <c r="L289" s="462"/>
      <c r="M289" s="462"/>
      <c r="N289" s="463"/>
      <c r="O289" s="464"/>
      <c r="P289" s="463"/>
      <c r="Q289" s="464"/>
      <c r="R289" s="465"/>
      <c r="S289" s="173">
        <f t="shared" si="11"/>
        <v>0</v>
      </c>
      <c r="AT289" s="176" t="e">
        <f>VLOOKUP($E289,RESOURCES!$C:$E,3,FALSE)</f>
        <v>#N/A</v>
      </c>
      <c r="AU289" s="176">
        <f t="shared" si="10"/>
        <v>0</v>
      </c>
    </row>
    <row r="290" spans="1:47">
      <c r="A290" s="459"/>
      <c r="B290" s="459"/>
      <c r="C290" s="459"/>
      <c r="E290" s="461"/>
      <c r="F290" s="461"/>
      <c r="G290" s="461"/>
      <c r="H290" s="461"/>
      <c r="I290" s="462"/>
      <c r="J290" s="462"/>
      <c r="K290" s="462"/>
      <c r="L290" s="462"/>
      <c r="M290" s="462"/>
      <c r="N290" s="463"/>
      <c r="O290" s="464"/>
      <c r="P290" s="463"/>
      <c r="Q290" s="464"/>
      <c r="R290" s="465"/>
      <c r="S290" s="173">
        <f t="shared" si="11"/>
        <v>0</v>
      </c>
      <c r="AT290" s="176" t="e">
        <f>VLOOKUP($E290,RESOURCES!$C:$E,3,FALSE)</f>
        <v>#N/A</v>
      </c>
      <c r="AU290" s="176">
        <f t="shared" si="10"/>
        <v>0</v>
      </c>
    </row>
    <row r="291" spans="1:47">
      <c r="A291" s="459"/>
      <c r="B291" s="459"/>
      <c r="C291" s="459"/>
      <c r="E291" s="461"/>
      <c r="F291" s="461"/>
      <c r="G291" s="461"/>
      <c r="H291" s="461"/>
      <c r="I291" s="462"/>
      <c r="J291" s="462"/>
      <c r="K291" s="462"/>
      <c r="L291" s="462"/>
      <c r="M291" s="462"/>
      <c r="N291" s="463"/>
      <c r="O291" s="464"/>
      <c r="P291" s="463"/>
      <c r="Q291" s="464"/>
      <c r="R291" s="465"/>
      <c r="S291" s="173">
        <f t="shared" si="11"/>
        <v>0</v>
      </c>
      <c r="AT291" s="176" t="e">
        <f>VLOOKUP($E291,RESOURCES!$C:$E,3,FALSE)</f>
        <v>#N/A</v>
      </c>
      <c r="AU291" s="176">
        <f t="shared" si="10"/>
        <v>0</v>
      </c>
    </row>
    <row r="292" spans="1:47">
      <c r="A292" s="459"/>
      <c r="B292" s="459"/>
      <c r="C292" s="459"/>
      <c r="E292" s="461"/>
      <c r="F292" s="461"/>
      <c r="G292" s="461"/>
      <c r="H292" s="461"/>
      <c r="I292" s="462"/>
      <c r="J292" s="462"/>
      <c r="K292" s="462"/>
      <c r="L292" s="462"/>
      <c r="M292" s="462"/>
      <c r="N292" s="463"/>
      <c r="O292" s="464"/>
      <c r="P292" s="463"/>
      <c r="Q292" s="464"/>
      <c r="R292" s="465"/>
      <c r="S292" s="173">
        <f t="shared" si="11"/>
        <v>0</v>
      </c>
      <c r="AT292" s="176" t="e">
        <f>VLOOKUP($E292,RESOURCES!$C:$E,3,FALSE)</f>
        <v>#N/A</v>
      </c>
      <c r="AU292" s="176">
        <f t="shared" si="10"/>
        <v>0</v>
      </c>
    </row>
    <row r="293" spans="1:47">
      <c r="A293" s="459"/>
      <c r="B293" s="459"/>
      <c r="C293" s="459"/>
      <c r="E293" s="461"/>
      <c r="F293" s="461"/>
      <c r="G293" s="461"/>
      <c r="H293" s="461"/>
      <c r="I293" s="462"/>
      <c r="J293" s="462"/>
      <c r="K293" s="462"/>
      <c r="L293" s="462"/>
      <c r="M293" s="462"/>
      <c r="N293" s="463"/>
      <c r="O293" s="464"/>
      <c r="P293" s="463"/>
      <c r="Q293" s="464"/>
      <c r="R293" s="465"/>
      <c r="S293" s="173">
        <f t="shared" si="11"/>
        <v>0</v>
      </c>
      <c r="AT293" s="176" t="e">
        <f>VLOOKUP($E293,RESOURCES!$C:$E,3,FALSE)</f>
        <v>#N/A</v>
      </c>
      <c r="AU293" s="176">
        <f t="shared" si="10"/>
        <v>0</v>
      </c>
    </row>
    <row r="294" spans="1:47">
      <c r="A294" s="459"/>
      <c r="B294" s="459"/>
      <c r="C294" s="459"/>
      <c r="E294" s="461"/>
      <c r="F294" s="461"/>
      <c r="G294" s="461"/>
      <c r="H294" s="461"/>
      <c r="I294" s="462"/>
      <c r="J294" s="462"/>
      <c r="K294" s="462"/>
      <c r="L294" s="462"/>
      <c r="M294" s="462"/>
      <c r="N294" s="463"/>
      <c r="O294" s="464"/>
      <c r="P294" s="463"/>
      <c r="Q294" s="464"/>
      <c r="R294" s="465"/>
      <c r="S294" s="173">
        <f t="shared" si="11"/>
        <v>0</v>
      </c>
      <c r="AT294" s="176" t="e">
        <f>VLOOKUP($E294,RESOURCES!$C:$E,3,FALSE)</f>
        <v>#N/A</v>
      </c>
      <c r="AU294" s="176">
        <f t="shared" si="10"/>
        <v>0</v>
      </c>
    </row>
    <row r="295" spans="1:47">
      <c r="A295" s="459"/>
      <c r="B295" s="459"/>
      <c r="C295" s="459"/>
      <c r="E295" s="461"/>
      <c r="F295" s="461"/>
      <c r="G295" s="461"/>
      <c r="H295" s="461"/>
      <c r="I295" s="462"/>
      <c r="J295" s="462"/>
      <c r="K295" s="462"/>
      <c r="L295" s="462"/>
      <c r="M295" s="462"/>
      <c r="N295" s="463"/>
      <c r="O295" s="464"/>
      <c r="P295" s="463"/>
      <c r="Q295" s="464"/>
      <c r="R295" s="465"/>
      <c r="S295" s="173">
        <f t="shared" si="11"/>
        <v>0</v>
      </c>
      <c r="AT295" s="176" t="e">
        <f>VLOOKUP($E295,RESOURCES!$C:$E,3,FALSE)</f>
        <v>#N/A</v>
      </c>
      <c r="AU295" s="176">
        <f t="shared" si="10"/>
        <v>0</v>
      </c>
    </row>
    <row r="296" spans="1:47">
      <c r="A296" s="459"/>
      <c r="B296" s="459"/>
      <c r="C296" s="459"/>
      <c r="E296" s="461"/>
      <c r="F296" s="461"/>
      <c r="G296" s="461"/>
      <c r="H296" s="461"/>
      <c r="I296" s="462"/>
      <c r="J296" s="462"/>
      <c r="K296" s="462"/>
      <c r="L296" s="462"/>
      <c r="M296" s="462"/>
      <c r="N296" s="463"/>
      <c r="O296" s="464"/>
      <c r="P296" s="463"/>
      <c r="Q296" s="464"/>
      <c r="R296" s="465"/>
      <c r="S296" s="173">
        <f t="shared" si="11"/>
        <v>0</v>
      </c>
      <c r="AT296" s="176" t="e">
        <f>VLOOKUP($E296,RESOURCES!$C:$E,3,FALSE)</f>
        <v>#N/A</v>
      </c>
      <c r="AU296" s="176">
        <f t="shared" si="10"/>
        <v>0</v>
      </c>
    </row>
    <row r="297" spans="1:47">
      <c r="A297" s="459"/>
      <c r="B297" s="459"/>
      <c r="C297" s="459"/>
      <c r="E297" s="461"/>
      <c r="F297" s="461"/>
      <c r="G297" s="461"/>
      <c r="H297" s="461"/>
      <c r="I297" s="462"/>
      <c r="J297" s="462"/>
      <c r="K297" s="462"/>
      <c r="L297" s="462"/>
      <c r="M297" s="462"/>
      <c r="N297" s="463"/>
      <c r="O297" s="464"/>
      <c r="P297" s="463"/>
      <c r="Q297" s="464"/>
      <c r="R297" s="465"/>
      <c r="S297" s="173">
        <f t="shared" si="11"/>
        <v>0</v>
      </c>
      <c r="AT297" s="176" t="e">
        <f>VLOOKUP($E297,RESOURCES!$C:$E,3,FALSE)</f>
        <v>#N/A</v>
      </c>
      <c r="AU297" s="176">
        <f t="shared" si="10"/>
        <v>0</v>
      </c>
    </row>
    <row r="298" spans="1:47">
      <c r="A298" s="459"/>
      <c r="B298" s="459"/>
      <c r="C298" s="459"/>
      <c r="E298" s="461"/>
      <c r="F298" s="461"/>
      <c r="G298" s="461"/>
      <c r="H298" s="461"/>
      <c r="I298" s="462"/>
      <c r="J298" s="462"/>
      <c r="K298" s="462"/>
      <c r="L298" s="462"/>
      <c r="M298" s="462"/>
      <c r="N298" s="463"/>
      <c r="O298" s="464"/>
      <c r="P298" s="463"/>
      <c r="Q298" s="464"/>
      <c r="R298" s="465"/>
      <c r="S298" s="173">
        <f t="shared" si="11"/>
        <v>0</v>
      </c>
      <c r="AT298" s="176" t="e">
        <f>VLOOKUP($E298,RESOURCES!$C:$E,3,FALSE)</f>
        <v>#N/A</v>
      </c>
      <c r="AU298" s="176">
        <f t="shared" si="10"/>
        <v>0</v>
      </c>
    </row>
    <row r="299" spans="1:47">
      <c r="A299" s="459"/>
      <c r="B299" s="459"/>
      <c r="C299" s="459"/>
      <c r="E299" s="461"/>
      <c r="F299" s="461"/>
      <c r="G299" s="461"/>
      <c r="H299" s="461"/>
      <c r="I299" s="462"/>
      <c r="J299" s="462"/>
      <c r="K299" s="462"/>
      <c r="L299" s="462"/>
      <c r="M299" s="462"/>
      <c r="N299" s="463"/>
      <c r="O299" s="464"/>
      <c r="P299" s="463"/>
      <c r="Q299" s="464"/>
      <c r="R299" s="465"/>
      <c r="S299" s="173">
        <f t="shared" si="11"/>
        <v>0</v>
      </c>
      <c r="AT299" s="176" t="e">
        <f>VLOOKUP($E299,RESOURCES!$C:$E,3,FALSE)</f>
        <v>#N/A</v>
      </c>
      <c r="AU299" s="176">
        <f t="shared" si="10"/>
        <v>0</v>
      </c>
    </row>
    <row r="300" spans="1:47">
      <c r="A300" s="459"/>
      <c r="B300" s="459"/>
      <c r="C300" s="459"/>
      <c r="E300" s="461"/>
      <c r="F300" s="461"/>
      <c r="G300" s="461"/>
      <c r="H300" s="461"/>
      <c r="I300" s="462"/>
      <c r="J300" s="462"/>
      <c r="K300" s="462"/>
      <c r="L300" s="462"/>
      <c r="M300" s="462"/>
      <c r="N300" s="463"/>
      <c r="O300" s="464"/>
      <c r="P300" s="463"/>
      <c r="Q300" s="464"/>
      <c r="R300" s="465"/>
      <c r="S300" s="173">
        <f t="shared" si="11"/>
        <v>0</v>
      </c>
      <c r="AT300" s="176" t="e">
        <f>VLOOKUP($E300,RESOURCES!$C:$E,3,FALSE)</f>
        <v>#N/A</v>
      </c>
      <c r="AU300" s="176">
        <f t="shared" si="10"/>
        <v>0</v>
      </c>
    </row>
    <row r="301" spans="1:47">
      <c r="A301" s="459"/>
      <c r="B301" s="459"/>
      <c r="C301" s="459"/>
      <c r="E301" s="461"/>
      <c r="F301" s="461"/>
      <c r="G301" s="461"/>
      <c r="H301" s="461"/>
      <c r="I301" s="462"/>
      <c r="J301" s="462"/>
      <c r="K301" s="462"/>
      <c r="L301" s="462"/>
      <c r="M301" s="462"/>
      <c r="N301" s="463"/>
      <c r="O301" s="464"/>
      <c r="P301" s="463"/>
      <c r="Q301" s="464"/>
      <c r="R301" s="465"/>
      <c r="S301" s="173">
        <f t="shared" si="11"/>
        <v>0</v>
      </c>
      <c r="AT301" s="176" t="e">
        <f>VLOOKUP($E301,RESOURCES!$C:$E,3,FALSE)</f>
        <v>#N/A</v>
      </c>
      <c r="AU301" s="176">
        <f t="shared" si="10"/>
        <v>0</v>
      </c>
    </row>
    <row r="302" spans="1:47">
      <c r="A302" s="459"/>
      <c r="B302" s="459"/>
      <c r="C302" s="459"/>
      <c r="E302" s="461"/>
      <c r="F302" s="461"/>
      <c r="G302" s="461"/>
      <c r="H302" s="461"/>
      <c r="I302" s="462"/>
      <c r="J302" s="462"/>
      <c r="K302" s="462"/>
      <c r="L302" s="462"/>
      <c r="M302" s="462"/>
      <c r="N302" s="463"/>
      <c r="O302" s="464"/>
      <c r="P302" s="463"/>
      <c r="Q302" s="464"/>
      <c r="R302" s="465"/>
      <c r="S302" s="173">
        <f t="shared" si="11"/>
        <v>0</v>
      </c>
      <c r="AT302" s="176" t="e">
        <f>VLOOKUP($E302,RESOURCES!$C:$E,3,FALSE)</f>
        <v>#N/A</v>
      </c>
      <c r="AU302" s="176">
        <f t="shared" si="10"/>
        <v>0</v>
      </c>
    </row>
    <row r="303" spans="1:47">
      <c r="A303" s="459"/>
      <c r="B303" s="459"/>
      <c r="C303" s="459"/>
      <c r="E303" s="461"/>
      <c r="F303" s="461"/>
      <c r="G303" s="461"/>
      <c r="H303" s="461"/>
      <c r="I303" s="462"/>
      <c r="J303" s="462"/>
      <c r="K303" s="462"/>
      <c r="L303" s="462"/>
      <c r="M303" s="462"/>
      <c r="N303" s="463"/>
      <c r="O303" s="464"/>
      <c r="P303" s="463"/>
      <c r="Q303" s="464"/>
      <c r="R303" s="465"/>
      <c r="S303" s="173">
        <f t="shared" si="11"/>
        <v>0</v>
      </c>
      <c r="AT303" s="176" t="e">
        <f>VLOOKUP($E303,RESOURCES!$C:$E,3,FALSE)</f>
        <v>#N/A</v>
      </c>
      <c r="AU303" s="176">
        <f t="shared" si="10"/>
        <v>0</v>
      </c>
    </row>
    <row r="304" spans="1:47">
      <c r="A304" s="459"/>
      <c r="B304" s="459"/>
      <c r="C304" s="459"/>
      <c r="E304" s="461"/>
      <c r="F304" s="461"/>
      <c r="G304" s="461"/>
      <c r="H304" s="461"/>
      <c r="I304" s="462"/>
      <c r="J304" s="462"/>
      <c r="K304" s="462"/>
      <c r="L304" s="462"/>
      <c r="M304" s="462"/>
      <c r="N304" s="463"/>
      <c r="O304" s="464"/>
      <c r="P304" s="463"/>
      <c r="Q304" s="464"/>
      <c r="R304" s="465"/>
      <c r="S304" s="173">
        <f t="shared" si="11"/>
        <v>0</v>
      </c>
      <c r="AT304" s="176" t="e">
        <f>VLOOKUP($E304,RESOURCES!$C:$E,3,FALSE)</f>
        <v>#N/A</v>
      </c>
      <c r="AU304" s="176">
        <f t="shared" si="10"/>
        <v>0</v>
      </c>
    </row>
    <row r="305" spans="1:47">
      <c r="A305" s="459"/>
      <c r="B305" s="459"/>
      <c r="C305" s="459"/>
      <c r="E305" s="461"/>
      <c r="F305" s="461"/>
      <c r="G305" s="461"/>
      <c r="H305" s="461"/>
      <c r="I305" s="462"/>
      <c r="J305" s="462"/>
      <c r="K305" s="462"/>
      <c r="L305" s="462"/>
      <c r="M305" s="462"/>
      <c r="N305" s="463"/>
      <c r="O305" s="464"/>
      <c r="P305" s="463"/>
      <c r="Q305" s="464"/>
      <c r="R305" s="465"/>
      <c r="S305" s="173">
        <f t="shared" si="11"/>
        <v>0</v>
      </c>
      <c r="AT305" s="176" t="e">
        <f>VLOOKUP($E305,RESOURCES!$C:$E,3,FALSE)</f>
        <v>#N/A</v>
      </c>
      <c r="AU305" s="176">
        <f t="shared" si="10"/>
        <v>0</v>
      </c>
    </row>
    <row r="306" spans="1:47">
      <c r="A306" s="459"/>
      <c r="B306" s="459"/>
      <c r="C306" s="459"/>
      <c r="E306" s="461"/>
      <c r="F306" s="461"/>
      <c r="G306" s="461"/>
      <c r="H306" s="461"/>
      <c r="I306" s="462"/>
      <c r="J306" s="462"/>
      <c r="K306" s="462"/>
      <c r="L306" s="462"/>
      <c r="M306" s="462"/>
      <c r="N306" s="463"/>
      <c r="O306" s="464"/>
      <c r="P306" s="463"/>
      <c r="Q306" s="464"/>
      <c r="R306" s="465"/>
      <c r="S306" s="173">
        <f t="shared" si="11"/>
        <v>0</v>
      </c>
      <c r="AT306" s="176" t="e">
        <f>VLOOKUP($E306,RESOURCES!$C:$E,3,FALSE)</f>
        <v>#N/A</v>
      </c>
      <c r="AU306" s="176">
        <f t="shared" si="10"/>
        <v>0</v>
      </c>
    </row>
    <row r="307" spans="1:47">
      <c r="A307" s="459"/>
      <c r="B307" s="459"/>
      <c r="C307" s="459"/>
      <c r="E307" s="461"/>
      <c r="F307" s="461"/>
      <c r="G307" s="461"/>
      <c r="H307" s="461"/>
      <c r="I307" s="462"/>
      <c r="J307" s="462"/>
      <c r="K307" s="462"/>
      <c r="L307" s="462"/>
      <c r="M307" s="462"/>
      <c r="N307" s="463"/>
      <c r="O307" s="464"/>
      <c r="P307" s="463"/>
      <c r="Q307" s="464"/>
      <c r="R307" s="465"/>
      <c r="S307" s="173">
        <f t="shared" si="11"/>
        <v>0</v>
      </c>
      <c r="AT307" s="176" t="e">
        <f>VLOOKUP($E307,RESOURCES!$C:$E,3,FALSE)</f>
        <v>#N/A</v>
      </c>
      <c r="AU307" s="176">
        <f t="shared" si="10"/>
        <v>0</v>
      </c>
    </row>
    <row r="308" spans="1:47">
      <c r="A308" s="459"/>
      <c r="B308" s="459"/>
      <c r="C308" s="459"/>
      <c r="E308" s="461"/>
      <c r="F308" s="461"/>
      <c r="G308" s="461"/>
      <c r="H308" s="461"/>
      <c r="I308" s="462"/>
      <c r="J308" s="462"/>
      <c r="K308" s="462"/>
      <c r="L308" s="462"/>
      <c r="M308" s="462"/>
      <c r="N308" s="463"/>
      <c r="O308" s="464"/>
      <c r="P308" s="463"/>
      <c r="Q308" s="464"/>
      <c r="R308" s="465"/>
      <c r="S308" s="173">
        <f t="shared" si="11"/>
        <v>0</v>
      </c>
      <c r="AT308" s="176" t="e">
        <f>VLOOKUP($E308,RESOURCES!$C:$E,3,FALSE)</f>
        <v>#N/A</v>
      </c>
      <c r="AU308" s="176">
        <f t="shared" si="10"/>
        <v>0</v>
      </c>
    </row>
    <row r="309" spans="1:47">
      <c r="A309" s="459"/>
      <c r="B309" s="459"/>
      <c r="C309" s="459"/>
      <c r="E309" s="461"/>
      <c r="F309" s="461"/>
      <c r="G309" s="461"/>
      <c r="H309" s="461"/>
      <c r="I309" s="462"/>
      <c r="J309" s="462"/>
      <c r="K309" s="462"/>
      <c r="L309" s="462"/>
      <c r="M309" s="462"/>
      <c r="N309" s="463"/>
      <c r="O309" s="464"/>
      <c r="P309" s="463"/>
      <c r="Q309" s="464"/>
      <c r="R309" s="465"/>
      <c r="S309" s="173">
        <f t="shared" si="11"/>
        <v>0</v>
      </c>
      <c r="AT309" s="176" t="e">
        <f>VLOOKUP($E309,RESOURCES!$C:$E,3,FALSE)</f>
        <v>#N/A</v>
      </c>
      <c r="AU309" s="176">
        <f t="shared" si="10"/>
        <v>0</v>
      </c>
    </row>
    <row r="310" spans="1:47">
      <c r="A310" s="459"/>
      <c r="B310" s="459"/>
      <c r="C310" s="459"/>
      <c r="E310" s="461"/>
      <c r="F310" s="461"/>
      <c r="G310" s="461"/>
      <c r="H310" s="461"/>
      <c r="I310" s="462"/>
      <c r="J310" s="462"/>
      <c r="K310" s="462"/>
      <c r="L310" s="462"/>
      <c r="M310" s="462"/>
      <c r="N310" s="463"/>
      <c r="O310" s="464"/>
      <c r="P310" s="463"/>
      <c r="Q310" s="464"/>
      <c r="R310" s="465"/>
      <c r="S310" s="173">
        <f t="shared" si="11"/>
        <v>0</v>
      </c>
      <c r="AT310" s="176" t="e">
        <f>VLOOKUP($E310,RESOURCES!$C:$E,3,FALSE)</f>
        <v>#N/A</v>
      </c>
      <c r="AU310" s="176">
        <f t="shared" si="10"/>
        <v>0</v>
      </c>
    </row>
    <row r="311" spans="1:47">
      <c r="A311" s="459"/>
      <c r="B311" s="459"/>
      <c r="C311" s="459"/>
      <c r="E311" s="461"/>
      <c r="F311" s="461"/>
      <c r="G311" s="461"/>
      <c r="H311" s="461"/>
      <c r="I311" s="462"/>
      <c r="J311" s="462"/>
      <c r="K311" s="462"/>
      <c r="L311" s="462"/>
      <c r="M311" s="462"/>
      <c r="N311" s="463"/>
      <c r="O311" s="464"/>
      <c r="P311" s="463"/>
      <c r="Q311" s="464"/>
      <c r="R311" s="465"/>
      <c r="S311" s="173">
        <f t="shared" si="11"/>
        <v>0</v>
      </c>
      <c r="AT311" s="176" t="e">
        <f>VLOOKUP($E311,RESOURCES!$C:$E,3,FALSE)</f>
        <v>#N/A</v>
      </c>
      <c r="AU311" s="176">
        <f t="shared" si="10"/>
        <v>0</v>
      </c>
    </row>
    <row r="312" spans="1:47">
      <c r="A312" s="459"/>
      <c r="B312" s="459"/>
      <c r="C312" s="459"/>
      <c r="E312" s="461"/>
      <c r="F312" s="461"/>
      <c r="G312" s="461"/>
      <c r="H312" s="461"/>
      <c r="I312" s="462"/>
      <c r="J312" s="462"/>
      <c r="K312" s="462"/>
      <c r="L312" s="462"/>
      <c r="M312" s="462"/>
      <c r="N312" s="463"/>
      <c r="O312" s="464"/>
      <c r="P312" s="463"/>
      <c r="Q312" s="464"/>
      <c r="R312" s="465"/>
      <c r="S312" s="173">
        <f t="shared" si="11"/>
        <v>0</v>
      </c>
      <c r="AT312" s="176" t="e">
        <f>VLOOKUP($E312,RESOURCES!$C:$E,3,FALSE)</f>
        <v>#N/A</v>
      </c>
      <c r="AU312" s="176">
        <f t="shared" si="10"/>
        <v>0</v>
      </c>
    </row>
    <row r="313" spans="1:47">
      <c r="A313" s="459"/>
      <c r="B313" s="459"/>
      <c r="C313" s="459"/>
      <c r="E313" s="461"/>
      <c r="F313" s="461"/>
      <c r="G313" s="461"/>
      <c r="H313" s="461"/>
      <c r="I313" s="462"/>
      <c r="J313" s="462"/>
      <c r="K313" s="462"/>
      <c r="L313" s="462"/>
      <c r="M313" s="462"/>
      <c r="N313" s="463"/>
      <c r="O313" s="464"/>
      <c r="P313" s="463"/>
      <c r="Q313" s="464"/>
      <c r="R313" s="465"/>
      <c r="S313" s="173">
        <f t="shared" si="11"/>
        <v>0</v>
      </c>
      <c r="AT313" s="176" t="e">
        <f>VLOOKUP($E313,RESOURCES!$C:$E,3,FALSE)</f>
        <v>#N/A</v>
      </c>
      <c r="AU313" s="176">
        <f t="shared" si="10"/>
        <v>0</v>
      </c>
    </row>
    <row r="314" spans="1:47">
      <c r="A314" s="459"/>
      <c r="B314" s="459"/>
      <c r="C314" s="459"/>
      <c r="E314" s="461"/>
      <c r="F314" s="461"/>
      <c r="G314" s="461"/>
      <c r="H314" s="461"/>
      <c r="I314" s="462"/>
      <c r="J314" s="462"/>
      <c r="K314" s="462"/>
      <c r="L314" s="462"/>
      <c r="M314" s="462"/>
      <c r="N314" s="463"/>
      <c r="O314" s="464"/>
      <c r="P314" s="463"/>
      <c r="Q314" s="464"/>
      <c r="R314" s="465"/>
      <c r="S314" s="173">
        <f t="shared" si="11"/>
        <v>0</v>
      </c>
      <c r="AT314" s="176" t="e">
        <f>VLOOKUP($E314,RESOURCES!$C:$E,3,FALSE)</f>
        <v>#N/A</v>
      </c>
      <c r="AU314" s="176">
        <f t="shared" si="10"/>
        <v>0</v>
      </c>
    </row>
    <row r="315" spans="1:47">
      <c r="A315" s="459"/>
      <c r="B315" s="459"/>
      <c r="C315" s="459"/>
      <c r="E315" s="461"/>
      <c r="F315" s="461"/>
      <c r="G315" s="461"/>
      <c r="H315" s="461"/>
      <c r="I315" s="462"/>
      <c r="J315" s="462"/>
      <c r="K315" s="462"/>
      <c r="L315" s="462"/>
      <c r="M315" s="462"/>
      <c r="N315" s="463"/>
      <c r="O315" s="464"/>
      <c r="P315" s="463"/>
      <c r="Q315" s="464"/>
      <c r="R315" s="465"/>
      <c r="S315" s="173">
        <f t="shared" si="11"/>
        <v>0</v>
      </c>
      <c r="AT315" s="176" t="e">
        <f>VLOOKUP($E315,RESOURCES!$C:$E,3,FALSE)</f>
        <v>#N/A</v>
      </c>
      <c r="AU315" s="176">
        <f t="shared" si="10"/>
        <v>0</v>
      </c>
    </row>
    <row r="316" spans="1:47">
      <c r="A316" s="459"/>
      <c r="B316" s="459"/>
      <c r="C316" s="459"/>
      <c r="E316" s="461"/>
      <c r="F316" s="461"/>
      <c r="G316" s="461"/>
      <c r="H316" s="461"/>
      <c r="I316" s="462"/>
      <c r="J316" s="462"/>
      <c r="K316" s="462"/>
      <c r="L316" s="462"/>
      <c r="M316" s="462"/>
      <c r="N316" s="463"/>
      <c r="O316" s="464"/>
      <c r="P316" s="463"/>
      <c r="Q316" s="464"/>
      <c r="R316" s="465"/>
      <c r="S316" s="173">
        <f t="shared" si="11"/>
        <v>0</v>
      </c>
      <c r="AT316" s="176" t="e">
        <f>VLOOKUP($E316,RESOURCES!$C:$E,3,FALSE)</f>
        <v>#N/A</v>
      </c>
      <c r="AU316" s="176">
        <f t="shared" si="10"/>
        <v>0</v>
      </c>
    </row>
    <row r="317" spans="1:47">
      <c r="A317" s="459"/>
      <c r="B317" s="459"/>
      <c r="C317" s="459"/>
      <c r="E317" s="461"/>
      <c r="F317" s="461"/>
      <c r="G317" s="461"/>
      <c r="H317" s="461"/>
      <c r="I317" s="462"/>
      <c r="J317" s="462"/>
      <c r="K317" s="462"/>
      <c r="L317" s="462"/>
      <c r="M317" s="462"/>
      <c r="N317" s="463"/>
      <c r="O317" s="464"/>
      <c r="P317" s="463"/>
      <c r="Q317" s="464"/>
      <c r="R317" s="465"/>
      <c r="S317" s="173">
        <f t="shared" si="11"/>
        <v>0</v>
      </c>
      <c r="AT317" s="176" t="e">
        <f>VLOOKUP($E317,RESOURCES!$C:$E,3,FALSE)</f>
        <v>#N/A</v>
      </c>
      <c r="AU317" s="176">
        <f t="shared" si="10"/>
        <v>0</v>
      </c>
    </row>
    <row r="318" spans="1:47">
      <c r="A318" s="459"/>
      <c r="B318" s="459"/>
      <c r="C318" s="459"/>
      <c r="E318" s="461"/>
      <c r="F318" s="461"/>
      <c r="G318" s="461"/>
      <c r="H318" s="461"/>
      <c r="I318" s="462"/>
      <c r="J318" s="462"/>
      <c r="K318" s="462"/>
      <c r="L318" s="462"/>
      <c r="M318" s="462"/>
      <c r="N318" s="463"/>
      <c r="O318" s="464"/>
      <c r="P318" s="463"/>
      <c r="Q318" s="464"/>
      <c r="R318" s="465"/>
      <c r="S318" s="173">
        <f t="shared" si="11"/>
        <v>0</v>
      </c>
      <c r="AT318" s="176" t="e">
        <f>VLOOKUP($E318,RESOURCES!$C:$E,3,FALSE)</f>
        <v>#N/A</v>
      </c>
      <c r="AU318" s="176">
        <f t="shared" si="10"/>
        <v>0</v>
      </c>
    </row>
    <row r="319" spans="1:47">
      <c r="A319" s="459"/>
      <c r="B319" s="459"/>
      <c r="C319" s="459"/>
      <c r="E319" s="461"/>
      <c r="F319" s="461"/>
      <c r="G319" s="461"/>
      <c r="H319" s="461"/>
      <c r="I319" s="462"/>
      <c r="J319" s="462"/>
      <c r="K319" s="462"/>
      <c r="L319" s="462"/>
      <c r="M319" s="462"/>
      <c r="N319" s="463"/>
      <c r="O319" s="464"/>
      <c r="P319" s="463"/>
      <c r="Q319" s="464"/>
      <c r="R319" s="465"/>
      <c r="S319" s="173">
        <f t="shared" si="11"/>
        <v>0</v>
      </c>
      <c r="AT319" s="176" t="e">
        <f>VLOOKUP($E319,RESOURCES!$C:$E,3,FALSE)</f>
        <v>#N/A</v>
      </c>
      <c r="AU319" s="176">
        <f t="shared" si="10"/>
        <v>0</v>
      </c>
    </row>
    <row r="320" spans="1:47">
      <c r="A320" s="459"/>
      <c r="B320" s="459"/>
      <c r="C320" s="459"/>
      <c r="E320" s="461"/>
      <c r="F320" s="461"/>
      <c r="G320" s="461"/>
      <c r="H320" s="461"/>
      <c r="I320" s="462"/>
      <c r="J320" s="462"/>
      <c r="K320" s="462"/>
      <c r="L320" s="462"/>
      <c r="M320" s="462"/>
      <c r="N320" s="463"/>
      <c r="O320" s="464"/>
      <c r="P320" s="463"/>
      <c r="Q320" s="464"/>
      <c r="R320" s="465"/>
      <c r="S320" s="173">
        <f t="shared" si="11"/>
        <v>0</v>
      </c>
      <c r="AT320" s="176" t="e">
        <f>VLOOKUP($E320,RESOURCES!$C:$E,3,FALSE)</f>
        <v>#N/A</v>
      </c>
      <c r="AU320" s="176">
        <f t="shared" si="10"/>
        <v>0</v>
      </c>
    </row>
    <row r="321" spans="1:47">
      <c r="A321" s="459"/>
      <c r="B321" s="459"/>
      <c r="C321" s="459"/>
      <c r="E321" s="461"/>
      <c r="F321" s="461"/>
      <c r="G321" s="461"/>
      <c r="H321" s="461"/>
      <c r="I321" s="462"/>
      <c r="J321" s="462"/>
      <c r="K321" s="462"/>
      <c r="L321" s="462"/>
      <c r="M321" s="462"/>
      <c r="N321" s="463"/>
      <c r="O321" s="464"/>
      <c r="P321" s="463"/>
      <c r="Q321" s="464"/>
      <c r="R321" s="465"/>
      <c r="S321" s="173">
        <f t="shared" si="11"/>
        <v>0</v>
      </c>
      <c r="AT321" s="176" t="e">
        <f>VLOOKUP($E321,RESOURCES!$C:$E,3,FALSE)</f>
        <v>#N/A</v>
      </c>
      <c r="AU321" s="176">
        <f t="shared" si="10"/>
        <v>0</v>
      </c>
    </row>
    <row r="322" spans="1:47">
      <c r="A322" s="459"/>
      <c r="B322" s="459"/>
      <c r="C322" s="459"/>
      <c r="E322" s="461"/>
      <c r="F322" s="461"/>
      <c r="G322" s="461"/>
      <c r="H322" s="461"/>
      <c r="I322" s="462"/>
      <c r="J322" s="462"/>
      <c r="K322" s="462"/>
      <c r="L322" s="462"/>
      <c r="M322" s="462"/>
      <c r="N322" s="463"/>
      <c r="O322" s="464"/>
      <c r="P322" s="463"/>
      <c r="Q322" s="464"/>
      <c r="R322" s="465"/>
      <c r="S322" s="173">
        <f t="shared" si="11"/>
        <v>0</v>
      </c>
      <c r="AT322" s="176" t="e">
        <f>VLOOKUP($E322,RESOURCES!$C:$E,3,FALSE)</f>
        <v>#N/A</v>
      </c>
      <c r="AU322" s="176">
        <f t="shared" si="10"/>
        <v>0</v>
      </c>
    </row>
    <row r="323" spans="1:47">
      <c r="A323" s="459"/>
      <c r="B323" s="459"/>
      <c r="C323" s="459"/>
      <c r="E323" s="461"/>
      <c r="F323" s="461"/>
      <c r="G323" s="461"/>
      <c r="H323" s="461"/>
      <c r="I323" s="462"/>
      <c r="J323" s="462"/>
      <c r="K323" s="462"/>
      <c r="L323" s="462"/>
      <c r="M323" s="462"/>
      <c r="N323" s="463"/>
      <c r="O323" s="464"/>
      <c r="P323" s="463"/>
      <c r="Q323" s="464"/>
      <c r="R323" s="465"/>
      <c r="S323" s="173">
        <f t="shared" si="11"/>
        <v>0</v>
      </c>
      <c r="AT323" s="176" t="e">
        <f>VLOOKUP($E323,RESOURCES!$C:$E,3,FALSE)</f>
        <v>#N/A</v>
      </c>
      <c r="AU323" s="176">
        <f t="shared" si="10"/>
        <v>0</v>
      </c>
    </row>
    <row r="324" spans="1:47">
      <c r="A324" s="459"/>
      <c r="B324" s="459"/>
      <c r="C324" s="459"/>
      <c r="E324" s="461"/>
      <c r="F324" s="461"/>
      <c r="G324" s="461"/>
      <c r="H324" s="461"/>
      <c r="I324" s="462"/>
      <c r="J324" s="462"/>
      <c r="K324" s="462"/>
      <c r="L324" s="462"/>
      <c r="M324" s="462"/>
      <c r="N324" s="463"/>
      <c r="O324" s="464"/>
      <c r="P324" s="463"/>
      <c r="Q324" s="464"/>
      <c r="R324" s="465"/>
      <c r="S324" s="173">
        <f t="shared" si="11"/>
        <v>0</v>
      </c>
      <c r="AT324" s="176" t="e">
        <f>VLOOKUP($E324,RESOURCES!$C:$E,3,FALSE)</f>
        <v>#N/A</v>
      </c>
      <c r="AU324" s="176">
        <f t="shared" si="10"/>
        <v>0</v>
      </c>
    </row>
    <row r="325" spans="1:47">
      <c r="A325" s="459"/>
      <c r="B325" s="459"/>
      <c r="C325" s="459"/>
      <c r="E325" s="461"/>
      <c r="F325" s="461"/>
      <c r="G325" s="461"/>
      <c r="H325" s="461"/>
      <c r="I325" s="462"/>
      <c r="J325" s="462"/>
      <c r="K325" s="462"/>
      <c r="L325" s="462"/>
      <c r="M325" s="462"/>
      <c r="N325" s="463"/>
      <c r="O325" s="464"/>
      <c r="P325" s="463"/>
      <c r="Q325" s="464"/>
      <c r="R325" s="465"/>
      <c r="S325" s="173">
        <f t="shared" si="11"/>
        <v>0</v>
      </c>
      <c r="AT325" s="176" t="e">
        <f>VLOOKUP($E325,RESOURCES!$C:$E,3,FALSE)</f>
        <v>#N/A</v>
      </c>
      <c r="AU325" s="176">
        <f t="shared" ref="AU325:AU388" si="12">C325</f>
        <v>0</v>
      </c>
    </row>
    <row r="326" spans="1:47">
      <c r="A326" s="459"/>
      <c r="B326" s="459"/>
      <c r="C326" s="459"/>
      <c r="E326" s="461"/>
      <c r="F326" s="461"/>
      <c r="G326" s="461"/>
      <c r="H326" s="461"/>
      <c r="I326" s="462"/>
      <c r="J326" s="462"/>
      <c r="K326" s="462"/>
      <c r="L326" s="462"/>
      <c r="M326" s="462"/>
      <c r="N326" s="463"/>
      <c r="O326" s="464"/>
      <c r="P326" s="463"/>
      <c r="Q326" s="464"/>
      <c r="R326" s="465"/>
      <c r="S326" s="173">
        <f t="shared" si="11"/>
        <v>0</v>
      </c>
      <c r="AT326" s="176" t="e">
        <f>VLOOKUP($E326,RESOURCES!$C:$E,3,FALSE)</f>
        <v>#N/A</v>
      </c>
      <c r="AU326" s="176">
        <f t="shared" si="12"/>
        <v>0</v>
      </c>
    </row>
    <row r="327" spans="1:47">
      <c r="A327" s="459"/>
      <c r="B327" s="459"/>
      <c r="C327" s="459"/>
      <c r="E327" s="461"/>
      <c r="F327" s="461"/>
      <c r="G327" s="461"/>
      <c r="H327" s="461"/>
      <c r="I327" s="462"/>
      <c r="J327" s="462"/>
      <c r="K327" s="462"/>
      <c r="L327" s="462"/>
      <c r="M327" s="462"/>
      <c r="N327" s="463"/>
      <c r="O327" s="464"/>
      <c r="P327" s="463"/>
      <c r="Q327" s="464"/>
      <c r="R327" s="465"/>
      <c r="S327" s="173">
        <f t="shared" si="11"/>
        <v>0</v>
      </c>
      <c r="AT327" s="176" t="e">
        <f>VLOOKUP($E327,RESOURCES!$C:$E,3,FALSE)</f>
        <v>#N/A</v>
      </c>
      <c r="AU327" s="176">
        <f t="shared" si="12"/>
        <v>0</v>
      </c>
    </row>
    <row r="328" spans="1:47">
      <c r="A328" s="459"/>
      <c r="B328" s="459"/>
      <c r="C328" s="459"/>
      <c r="E328" s="461"/>
      <c r="F328" s="461"/>
      <c r="G328" s="461"/>
      <c r="H328" s="461"/>
      <c r="I328" s="462"/>
      <c r="J328" s="462"/>
      <c r="K328" s="462"/>
      <c r="L328" s="462"/>
      <c r="M328" s="462"/>
      <c r="N328" s="463"/>
      <c r="O328" s="464"/>
      <c r="P328" s="463"/>
      <c r="Q328" s="464"/>
      <c r="R328" s="465"/>
      <c r="S328" s="173">
        <f t="shared" si="11"/>
        <v>0</v>
      </c>
      <c r="AT328" s="176" t="e">
        <f>VLOOKUP($E328,RESOURCES!$C:$E,3,FALSE)</f>
        <v>#N/A</v>
      </c>
      <c r="AU328" s="176">
        <f t="shared" si="12"/>
        <v>0</v>
      </c>
    </row>
    <row r="329" spans="1:47">
      <c r="A329" s="459"/>
      <c r="B329" s="459"/>
      <c r="C329" s="459"/>
      <c r="E329" s="461"/>
      <c r="F329" s="461"/>
      <c r="G329" s="461"/>
      <c r="H329" s="461"/>
      <c r="I329" s="462"/>
      <c r="J329" s="462"/>
      <c r="K329" s="462"/>
      <c r="L329" s="462"/>
      <c r="M329" s="462"/>
      <c r="N329" s="463"/>
      <c r="O329" s="464"/>
      <c r="P329" s="463"/>
      <c r="Q329" s="464"/>
      <c r="R329" s="465"/>
      <c r="S329" s="173">
        <f t="shared" si="11"/>
        <v>0</v>
      </c>
      <c r="AT329" s="176" t="e">
        <f>VLOOKUP($E329,RESOURCES!$C:$E,3,FALSE)</f>
        <v>#N/A</v>
      </c>
      <c r="AU329" s="176">
        <f t="shared" si="12"/>
        <v>0</v>
      </c>
    </row>
    <row r="330" spans="1:47">
      <c r="A330" s="459"/>
      <c r="B330" s="459"/>
      <c r="C330" s="459"/>
      <c r="E330" s="461"/>
      <c r="F330" s="461"/>
      <c r="G330" s="461"/>
      <c r="H330" s="461"/>
      <c r="I330" s="462"/>
      <c r="J330" s="462"/>
      <c r="K330" s="462"/>
      <c r="L330" s="462"/>
      <c r="M330" s="462"/>
      <c r="N330" s="463"/>
      <c r="O330" s="464"/>
      <c r="P330" s="463"/>
      <c r="Q330" s="464"/>
      <c r="R330" s="465"/>
      <c r="S330" s="173">
        <f t="shared" si="11"/>
        <v>0</v>
      </c>
      <c r="AT330" s="176" t="e">
        <f>VLOOKUP($E330,RESOURCES!$C:$E,3,FALSE)</f>
        <v>#N/A</v>
      </c>
      <c r="AU330" s="176">
        <f t="shared" si="12"/>
        <v>0</v>
      </c>
    </row>
    <row r="331" spans="1:47">
      <c r="A331" s="459"/>
      <c r="B331" s="459"/>
      <c r="C331" s="459"/>
      <c r="E331" s="461"/>
      <c r="F331" s="461"/>
      <c r="G331" s="461"/>
      <c r="H331" s="461"/>
      <c r="I331" s="462"/>
      <c r="J331" s="462"/>
      <c r="K331" s="462"/>
      <c r="L331" s="462"/>
      <c r="M331" s="462"/>
      <c r="N331" s="463"/>
      <c r="O331" s="464"/>
      <c r="P331" s="463"/>
      <c r="Q331" s="464"/>
      <c r="R331" s="465"/>
      <c r="S331" s="173">
        <f t="shared" si="11"/>
        <v>0</v>
      </c>
      <c r="AT331" s="176" t="e">
        <f>VLOOKUP($E331,RESOURCES!$C:$E,3,FALSE)</f>
        <v>#N/A</v>
      </c>
      <c r="AU331" s="176">
        <f t="shared" si="12"/>
        <v>0</v>
      </c>
    </row>
    <row r="332" spans="1:47">
      <c r="A332" s="459"/>
      <c r="B332" s="459"/>
      <c r="C332" s="459"/>
      <c r="E332" s="461"/>
      <c r="F332" s="461"/>
      <c r="G332" s="461"/>
      <c r="H332" s="461"/>
      <c r="I332" s="462"/>
      <c r="J332" s="462"/>
      <c r="K332" s="462"/>
      <c r="L332" s="462"/>
      <c r="M332" s="462"/>
      <c r="N332" s="463"/>
      <c r="O332" s="464"/>
      <c r="P332" s="463"/>
      <c r="Q332" s="464"/>
      <c r="R332" s="465"/>
      <c r="S332" s="173">
        <f t="shared" si="11"/>
        <v>0</v>
      </c>
      <c r="AT332" s="176" t="e">
        <f>VLOOKUP($E332,RESOURCES!$C:$E,3,FALSE)</f>
        <v>#N/A</v>
      </c>
      <c r="AU332" s="176">
        <f t="shared" si="12"/>
        <v>0</v>
      </c>
    </row>
    <row r="333" spans="1:47">
      <c r="A333" s="459"/>
      <c r="B333" s="459"/>
      <c r="C333" s="459"/>
      <c r="E333" s="461"/>
      <c r="F333" s="461"/>
      <c r="G333" s="461"/>
      <c r="H333" s="461"/>
      <c r="I333" s="462"/>
      <c r="J333" s="462"/>
      <c r="K333" s="462"/>
      <c r="L333" s="462"/>
      <c r="M333" s="462"/>
      <c r="N333" s="463"/>
      <c r="O333" s="464"/>
      <c r="P333" s="463"/>
      <c r="Q333" s="464"/>
      <c r="R333" s="465"/>
      <c r="S333" s="173">
        <f t="shared" ref="S333:S396" si="13">F333-(H333/7.5)</f>
        <v>0</v>
      </c>
      <c r="AT333" s="176" t="e">
        <f>VLOOKUP($E333,RESOURCES!$C:$E,3,FALSE)</f>
        <v>#N/A</v>
      </c>
      <c r="AU333" s="176">
        <f t="shared" si="12"/>
        <v>0</v>
      </c>
    </row>
    <row r="334" spans="1:47">
      <c r="A334" s="459"/>
      <c r="B334" s="459"/>
      <c r="C334" s="459"/>
      <c r="E334" s="461"/>
      <c r="F334" s="461"/>
      <c r="G334" s="461"/>
      <c r="H334" s="461"/>
      <c r="I334" s="462"/>
      <c r="J334" s="462"/>
      <c r="K334" s="462"/>
      <c r="L334" s="462"/>
      <c r="M334" s="462"/>
      <c r="N334" s="463"/>
      <c r="O334" s="464"/>
      <c r="P334" s="463"/>
      <c r="Q334" s="464"/>
      <c r="R334" s="465"/>
      <c r="S334" s="173">
        <f t="shared" si="13"/>
        <v>0</v>
      </c>
      <c r="AT334" s="176" t="e">
        <f>VLOOKUP($E334,RESOURCES!$C:$E,3,FALSE)</f>
        <v>#N/A</v>
      </c>
      <c r="AU334" s="176">
        <f t="shared" si="12"/>
        <v>0</v>
      </c>
    </row>
    <row r="335" spans="1:47">
      <c r="A335" s="459"/>
      <c r="B335" s="459"/>
      <c r="C335" s="459"/>
      <c r="E335" s="461"/>
      <c r="F335" s="461"/>
      <c r="G335" s="461"/>
      <c r="H335" s="461"/>
      <c r="I335" s="462"/>
      <c r="J335" s="462"/>
      <c r="K335" s="462"/>
      <c r="L335" s="462"/>
      <c r="M335" s="462"/>
      <c r="N335" s="463"/>
      <c r="O335" s="464"/>
      <c r="P335" s="463"/>
      <c r="Q335" s="464"/>
      <c r="R335" s="465"/>
      <c r="S335" s="173">
        <f t="shared" si="13"/>
        <v>0</v>
      </c>
      <c r="AT335" s="176" t="e">
        <f>VLOOKUP($E335,RESOURCES!$C:$E,3,FALSE)</f>
        <v>#N/A</v>
      </c>
      <c r="AU335" s="176">
        <f t="shared" si="12"/>
        <v>0</v>
      </c>
    </row>
    <row r="336" spans="1:47">
      <c r="A336" s="459"/>
      <c r="B336" s="459"/>
      <c r="C336" s="459"/>
      <c r="E336" s="461"/>
      <c r="F336" s="461"/>
      <c r="G336" s="461"/>
      <c r="H336" s="461"/>
      <c r="I336" s="462"/>
      <c r="J336" s="462"/>
      <c r="K336" s="462"/>
      <c r="L336" s="462"/>
      <c r="M336" s="462"/>
      <c r="N336" s="463"/>
      <c r="O336" s="464"/>
      <c r="P336" s="463"/>
      <c r="Q336" s="464"/>
      <c r="R336" s="465"/>
      <c r="S336" s="173">
        <f t="shared" si="13"/>
        <v>0</v>
      </c>
      <c r="AT336" s="176" t="e">
        <f>VLOOKUP($E336,RESOURCES!$C:$E,3,FALSE)</f>
        <v>#N/A</v>
      </c>
      <c r="AU336" s="176">
        <f t="shared" si="12"/>
        <v>0</v>
      </c>
    </row>
    <row r="337" spans="1:47">
      <c r="A337" s="459"/>
      <c r="B337" s="459"/>
      <c r="C337" s="459"/>
      <c r="E337" s="461"/>
      <c r="F337" s="461"/>
      <c r="G337" s="461"/>
      <c r="H337" s="461"/>
      <c r="I337" s="462"/>
      <c r="J337" s="462"/>
      <c r="K337" s="462"/>
      <c r="L337" s="462"/>
      <c r="M337" s="462"/>
      <c r="N337" s="463"/>
      <c r="O337" s="464"/>
      <c r="P337" s="463"/>
      <c r="Q337" s="464"/>
      <c r="R337" s="465"/>
      <c r="S337" s="173">
        <f t="shared" si="13"/>
        <v>0</v>
      </c>
      <c r="AT337" s="176" t="e">
        <f>VLOOKUP($E337,RESOURCES!$C:$E,3,FALSE)</f>
        <v>#N/A</v>
      </c>
      <c r="AU337" s="176">
        <f t="shared" si="12"/>
        <v>0</v>
      </c>
    </row>
    <row r="338" spans="1:47">
      <c r="A338" s="459"/>
      <c r="B338" s="459"/>
      <c r="C338" s="459"/>
      <c r="E338" s="461"/>
      <c r="F338" s="461"/>
      <c r="G338" s="461"/>
      <c r="H338" s="461"/>
      <c r="I338" s="462"/>
      <c r="J338" s="462"/>
      <c r="K338" s="462"/>
      <c r="L338" s="462"/>
      <c r="M338" s="462"/>
      <c r="N338" s="463"/>
      <c r="O338" s="464"/>
      <c r="P338" s="463"/>
      <c r="Q338" s="464"/>
      <c r="R338" s="465"/>
      <c r="S338" s="173">
        <f t="shared" si="13"/>
        <v>0</v>
      </c>
      <c r="AT338" s="176" t="e">
        <f>VLOOKUP($E338,RESOURCES!$C:$E,3,FALSE)</f>
        <v>#N/A</v>
      </c>
      <c r="AU338" s="176">
        <f t="shared" si="12"/>
        <v>0</v>
      </c>
    </row>
    <row r="339" spans="1:47">
      <c r="A339" s="459"/>
      <c r="B339" s="459"/>
      <c r="C339" s="459"/>
      <c r="E339" s="461"/>
      <c r="F339" s="461"/>
      <c r="G339" s="461"/>
      <c r="H339" s="461"/>
      <c r="I339" s="462"/>
      <c r="J339" s="462"/>
      <c r="K339" s="462"/>
      <c r="L339" s="462"/>
      <c r="M339" s="462"/>
      <c r="N339" s="463"/>
      <c r="O339" s="464"/>
      <c r="P339" s="463"/>
      <c r="Q339" s="464"/>
      <c r="R339" s="465"/>
      <c r="S339" s="173">
        <f t="shared" si="13"/>
        <v>0</v>
      </c>
      <c r="AT339" s="176" t="e">
        <f>VLOOKUP($E339,RESOURCES!$C:$E,3,FALSE)</f>
        <v>#N/A</v>
      </c>
      <c r="AU339" s="176">
        <f t="shared" si="12"/>
        <v>0</v>
      </c>
    </row>
    <row r="340" spans="1:47">
      <c r="A340" s="459"/>
      <c r="B340" s="459"/>
      <c r="C340" s="459"/>
      <c r="E340" s="461"/>
      <c r="F340" s="461"/>
      <c r="G340" s="461"/>
      <c r="H340" s="461"/>
      <c r="I340" s="462"/>
      <c r="J340" s="462"/>
      <c r="K340" s="462"/>
      <c r="L340" s="462"/>
      <c r="M340" s="462"/>
      <c r="N340" s="463"/>
      <c r="O340" s="464"/>
      <c r="P340" s="463"/>
      <c r="Q340" s="464"/>
      <c r="R340" s="465"/>
      <c r="S340" s="173">
        <f t="shared" si="13"/>
        <v>0</v>
      </c>
      <c r="AT340" s="176" t="e">
        <f>VLOOKUP($E340,RESOURCES!$C:$E,3,FALSE)</f>
        <v>#N/A</v>
      </c>
      <c r="AU340" s="176">
        <f t="shared" si="12"/>
        <v>0</v>
      </c>
    </row>
    <row r="341" spans="1:47">
      <c r="A341" s="459"/>
      <c r="B341" s="459"/>
      <c r="C341" s="459"/>
      <c r="E341" s="461"/>
      <c r="F341" s="461"/>
      <c r="G341" s="461"/>
      <c r="H341" s="461"/>
      <c r="I341" s="462"/>
      <c r="J341" s="462"/>
      <c r="K341" s="462"/>
      <c r="L341" s="462"/>
      <c r="M341" s="462"/>
      <c r="N341" s="463"/>
      <c r="O341" s="464"/>
      <c r="P341" s="463"/>
      <c r="Q341" s="464"/>
      <c r="R341" s="465"/>
      <c r="S341" s="173">
        <f t="shared" si="13"/>
        <v>0</v>
      </c>
      <c r="AT341" s="176" t="e">
        <f>VLOOKUP($E341,RESOURCES!$C:$E,3,FALSE)</f>
        <v>#N/A</v>
      </c>
      <c r="AU341" s="176">
        <f t="shared" si="12"/>
        <v>0</v>
      </c>
    </row>
    <row r="342" spans="1:47">
      <c r="A342" s="459"/>
      <c r="B342" s="459"/>
      <c r="C342" s="459"/>
      <c r="E342" s="461"/>
      <c r="F342" s="461"/>
      <c r="G342" s="461"/>
      <c r="H342" s="461"/>
      <c r="I342" s="462"/>
      <c r="J342" s="462"/>
      <c r="K342" s="462"/>
      <c r="L342" s="462"/>
      <c r="M342" s="462"/>
      <c r="N342" s="463"/>
      <c r="O342" s="464"/>
      <c r="P342" s="463"/>
      <c r="Q342" s="464"/>
      <c r="R342" s="465"/>
      <c r="S342" s="173">
        <f t="shared" si="13"/>
        <v>0</v>
      </c>
      <c r="AT342" s="176" t="e">
        <f>VLOOKUP($E342,RESOURCES!$C:$E,3,FALSE)</f>
        <v>#N/A</v>
      </c>
      <c r="AU342" s="176">
        <f t="shared" si="12"/>
        <v>0</v>
      </c>
    </row>
    <row r="343" spans="1:47">
      <c r="A343" s="459"/>
      <c r="B343" s="459"/>
      <c r="C343" s="459"/>
      <c r="E343" s="461"/>
      <c r="F343" s="461"/>
      <c r="G343" s="461"/>
      <c r="H343" s="461"/>
      <c r="I343" s="462"/>
      <c r="J343" s="462"/>
      <c r="K343" s="462"/>
      <c r="L343" s="462"/>
      <c r="M343" s="462"/>
      <c r="N343" s="463"/>
      <c r="O343" s="464"/>
      <c r="P343" s="463"/>
      <c r="Q343" s="464"/>
      <c r="R343" s="465"/>
      <c r="S343" s="173">
        <f t="shared" si="13"/>
        <v>0</v>
      </c>
      <c r="AT343" s="176" t="e">
        <f>VLOOKUP($E343,RESOURCES!$C:$E,3,FALSE)</f>
        <v>#N/A</v>
      </c>
      <c r="AU343" s="176">
        <f t="shared" si="12"/>
        <v>0</v>
      </c>
    </row>
    <row r="344" spans="1:47">
      <c r="A344" s="459"/>
      <c r="B344" s="459"/>
      <c r="C344" s="459"/>
      <c r="E344" s="461"/>
      <c r="F344" s="461"/>
      <c r="G344" s="461"/>
      <c r="H344" s="461"/>
      <c r="I344" s="462"/>
      <c r="J344" s="462"/>
      <c r="K344" s="462"/>
      <c r="L344" s="462"/>
      <c r="M344" s="462"/>
      <c r="N344" s="463"/>
      <c r="O344" s="464"/>
      <c r="P344" s="463"/>
      <c r="Q344" s="464"/>
      <c r="R344" s="465"/>
      <c r="S344" s="173">
        <f t="shared" si="13"/>
        <v>0</v>
      </c>
      <c r="AT344" s="176" t="e">
        <f>VLOOKUP($E344,RESOURCES!$C:$E,3,FALSE)</f>
        <v>#N/A</v>
      </c>
      <c r="AU344" s="176">
        <f t="shared" si="12"/>
        <v>0</v>
      </c>
    </row>
    <row r="345" spans="1:47">
      <c r="A345" s="459"/>
      <c r="B345" s="459"/>
      <c r="C345" s="459"/>
      <c r="E345" s="461"/>
      <c r="F345" s="461"/>
      <c r="G345" s="461"/>
      <c r="H345" s="461"/>
      <c r="I345" s="462"/>
      <c r="J345" s="462"/>
      <c r="K345" s="462"/>
      <c r="L345" s="462"/>
      <c r="M345" s="462"/>
      <c r="N345" s="463"/>
      <c r="O345" s="464"/>
      <c r="P345" s="463"/>
      <c r="Q345" s="464"/>
      <c r="R345" s="465"/>
      <c r="S345" s="173">
        <f t="shared" si="13"/>
        <v>0</v>
      </c>
      <c r="AT345" s="176" t="e">
        <f>VLOOKUP($E345,RESOURCES!$C:$E,3,FALSE)</f>
        <v>#N/A</v>
      </c>
      <c r="AU345" s="176">
        <f t="shared" si="12"/>
        <v>0</v>
      </c>
    </row>
    <row r="346" spans="1:47">
      <c r="A346" s="459"/>
      <c r="B346" s="459"/>
      <c r="C346" s="459"/>
      <c r="E346" s="461"/>
      <c r="F346" s="461"/>
      <c r="G346" s="461"/>
      <c r="H346" s="461"/>
      <c r="I346" s="462"/>
      <c r="J346" s="462"/>
      <c r="K346" s="462"/>
      <c r="L346" s="462"/>
      <c r="M346" s="462"/>
      <c r="N346" s="463"/>
      <c r="O346" s="464"/>
      <c r="P346" s="463"/>
      <c r="Q346" s="464"/>
      <c r="R346" s="465"/>
      <c r="S346" s="173">
        <f t="shared" si="13"/>
        <v>0</v>
      </c>
      <c r="AT346" s="176" t="e">
        <f>VLOOKUP($E346,RESOURCES!$C:$E,3,FALSE)</f>
        <v>#N/A</v>
      </c>
      <c r="AU346" s="176">
        <f t="shared" si="12"/>
        <v>0</v>
      </c>
    </row>
    <row r="347" spans="1:47">
      <c r="A347" s="459"/>
      <c r="B347" s="459"/>
      <c r="C347" s="459"/>
      <c r="E347" s="461"/>
      <c r="F347" s="461"/>
      <c r="G347" s="461"/>
      <c r="H347" s="461"/>
      <c r="I347" s="462"/>
      <c r="J347" s="462"/>
      <c r="K347" s="462"/>
      <c r="L347" s="462"/>
      <c r="M347" s="462"/>
      <c r="N347" s="463"/>
      <c r="O347" s="464"/>
      <c r="P347" s="463"/>
      <c r="Q347" s="464"/>
      <c r="R347" s="465"/>
      <c r="S347" s="173">
        <f t="shared" si="13"/>
        <v>0</v>
      </c>
      <c r="AT347" s="176" t="e">
        <f>VLOOKUP($E347,RESOURCES!$C:$E,3,FALSE)</f>
        <v>#N/A</v>
      </c>
      <c r="AU347" s="176">
        <f t="shared" si="12"/>
        <v>0</v>
      </c>
    </row>
    <row r="348" spans="1:47">
      <c r="A348" s="459"/>
      <c r="B348" s="459"/>
      <c r="C348" s="459"/>
      <c r="E348" s="461"/>
      <c r="F348" s="461"/>
      <c r="G348" s="461"/>
      <c r="H348" s="461"/>
      <c r="I348" s="462"/>
      <c r="J348" s="462"/>
      <c r="K348" s="462"/>
      <c r="L348" s="462"/>
      <c r="M348" s="462"/>
      <c r="N348" s="463"/>
      <c r="O348" s="464"/>
      <c r="P348" s="463"/>
      <c r="Q348" s="464"/>
      <c r="R348" s="465"/>
      <c r="S348" s="173">
        <f t="shared" si="13"/>
        <v>0</v>
      </c>
      <c r="AT348" s="176" t="e">
        <f>VLOOKUP($E348,RESOURCES!$C:$E,3,FALSE)</f>
        <v>#N/A</v>
      </c>
      <c r="AU348" s="176">
        <f t="shared" si="12"/>
        <v>0</v>
      </c>
    </row>
    <row r="349" spans="1:47">
      <c r="A349" s="459"/>
      <c r="B349" s="459"/>
      <c r="C349" s="459"/>
      <c r="E349" s="461"/>
      <c r="F349" s="461"/>
      <c r="G349" s="461"/>
      <c r="H349" s="461"/>
      <c r="I349" s="462"/>
      <c r="J349" s="462"/>
      <c r="K349" s="462"/>
      <c r="L349" s="462"/>
      <c r="M349" s="462"/>
      <c r="N349" s="463"/>
      <c r="O349" s="464"/>
      <c r="P349" s="463"/>
      <c r="Q349" s="464"/>
      <c r="R349" s="465"/>
      <c r="S349" s="173">
        <f t="shared" si="13"/>
        <v>0</v>
      </c>
      <c r="AT349" s="176" t="e">
        <f>VLOOKUP($E349,RESOURCES!$C:$E,3,FALSE)</f>
        <v>#N/A</v>
      </c>
      <c r="AU349" s="176">
        <f t="shared" si="12"/>
        <v>0</v>
      </c>
    </row>
    <row r="350" spans="1:47">
      <c r="A350" s="459"/>
      <c r="B350" s="459"/>
      <c r="C350" s="459"/>
      <c r="E350" s="461"/>
      <c r="F350" s="461"/>
      <c r="G350" s="461"/>
      <c r="H350" s="461"/>
      <c r="I350" s="462"/>
      <c r="J350" s="462"/>
      <c r="K350" s="462"/>
      <c r="L350" s="462"/>
      <c r="M350" s="462"/>
      <c r="N350" s="463"/>
      <c r="O350" s="464"/>
      <c r="P350" s="463"/>
      <c r="Q350" s="464"/>
      <c r="R350" s="465"/>
      <c r="S350" s="173">
        <f t="shared" si="13"/>
        <v>0</v>
      </c>
      <c r="AT350" s="176" t="e">
        <f>VLOOKUP($E350,RESOURCES!$C:$E,3,FALSE)</f>
        <v>#N/A</v>
      </c>
      <c r="AU350" s="176">
        <f t="shared" si="12"/>
        <v>0</v>
      </c>
    </row>
    <row r="351" spans="1:47">
      <c r="A351" s="459"/>
      <c r="B351" s="459"/>
      <c r="C351" s="459"/>
      <c r="E351" s="461"/>
      <c r="F351" s="461"/>
      <c r="G351" s="461"/>
      <c r="H351" s="461"/>
      <c r="I351" s="462"/>
      <c r="J351" s="462"/>
      <c r="K351" s="462"/>
      <c r="L351" s="462"/>
      <c r="M351" s="462"/>
      <c r="N351" s="463"/>
      <c r="O351" s="464"/>
      <c r="P351" s="463"/>
      <c r="Q351" s="464"/>
      <c r="R351" s="465"/>
      <c r="S351" s="173">
        <f t="shared" si="13"/>
        <v>0</v>
      </c>
      <c r="AT351" s="176" t="e">
        <f>VLOOKUP($E351,RESOURCES!$C:$E,3,FALSE)</f>
        <v>#N/A</v>
      </c>
      <c r="AU351" s="176">
        <f t="shared" si="12"/>
        <v>0</v>
      </c>
    </row>
    <row r="352" spans="1:47">
      <c r="A352" s="459"/>
      <c r="B352" s="459"/>
      <c r="C352" s="459"/>
      <c r="E352" s="461"/>
      <c r="F352" s="461"/>
      <c r="G352" s="461"/>
      <c r="H352" s="461"/>
      <c r="I352" s="462"/>
      <c r="J352" s="462"/>
      <c r="K352" s="462"/>
      <c r="L352" s="462"/>
      <c r="M352" s="462"/>
      <c r="N352" s="463"/>
      <c r="O352" s="464"/>
      <c r="P352" s="463"/>
      <c r="Q352" s="464"/>
      <c r="R352" s="465"/>
      <c r="S352" s="173">
        <f t="shared" si="13"/>
        <v>0</v>
      </c>
      <c r="AT352" s="176" t="e">
        <f>VLOOKUP($E352,RESOURCES!$C:$E,3,FALSE)</f>
        <v>#N/A</v>
      </c>
      <c r="AU352" s="176">
        <f t="shared" si="12"/>
        <v>0</v>
      </c>
    </row>
    <row r="353" spans="1:47">
      <c r="A353" s="459"/>
      <c r="B353" s="459"/>
      <c r="C353" s="459"/>
      <c r="E353" s="461"/>
      <c r="F353" s="461"/>
      <c r="G353" s="461"/>
      <c r="H353" s="461"/>
      <c r="I353" s="462"/>
      <c r="J353" s="462"/>
      <c r="K353" s="462"/>
      <c r="L353" s="462"/>
      <c r="M353" s="462"/>
      <c r="N353" s="463"/>
      <c r="O353" s="464"/>
      <c r="P353" s="463"/>
      <c r="Q353" s="464"/>
      <c r="R353" s="465"/>
      <c r="S353" s="173">
        <f t="shared" si="13"/>
        <v>0</v>
      </c>
      <c r="AT353" s="176" t="e">
        <f>VLOOKUP($E353,RESOURCES!$C:$E,3,FALSE)</f>
        <v>#N/A</v>
      </c>
      <c r="AU353" s="176">
        <f t="shared" si="12"/>
        <v>0</v>
      </c>
    </row>
    <row r="354" spans="1:47">
      <c r="A354" s="459"/>
      <c r="B354" s="459"/>
      <c r="C354" s="459"/>
      <c r="E354" s="461"/>
      <c r="F354" s="461"/>
      <c r="G354" s="461"/>
      <c r="H354" s="461"/>
      <c r="I354" s="462"/>
      <c r="J354" s="462"/>
      <c r="K354" s="462"/>
      <c r="L354" s="462"/>
      <c r="M354" s="462"/>
      <c r="N354" s="463"/>
      <c r="O354" s="464"/>
      <c r="P354" s="463"/>
      <c r="Q354" s="464"/>
      <c r="R354" s="465"/>
      <c r="S354" s="173">
        <f t="shared" si="13"/>
        <v>0</v>
      </c>
      <c r="AT354" s="176" t="e">
        <f>VLOOKUP($E354,RESOURCES!$C:$E,3,FALSE)</f>
        <v>#N/A</v>
      </c>
      <c r="AU354" s="176">
        <f t="shared" si="12"/>
        <v>0</v>
      </c>
    </row>
    <row r="355" spans="1:47">
      <c r="A355" s="459"/>
      <c r="B355" s="459"/>
      <c r="C355" s="459"/>
      <c r="E355" s="461"/>
      <c r="F355" s="461"/>
      <c r="G355" s="461"/>
      <c r="H355" s="461"/>
      <c r="I355" s="462"/>
      <c r="J355" s="462"/>
      <c r="K355" s="462"/>
      <c r="L355" s="462"/>
      <c r="M355" s="462"/>
      <c r="N355" s="463"/>
      <c r="O355" s="464"/>
      <c r="P355" s="463"/>
      <c r="Q355" s="464"/>
      <c r="R355" s="465"/>
      <c r="S355" s="173">
        <f t="shared" si="13"/>
        <v>0</v>
      </c>
      <c r="AT355" s="176" t="e">
        <f>VLOOKUP($E355,RESOURCES!$C:$E,3,FALSE)</f>
        <v>#N/A</v>
      </c>
      <c r="AU355" s="176">
        <f t="shared" si="12"/>
        <v>0</v>
      </c>
    </row>
    <row r="356" spans="1:47">
      <c r="A356" s="459"/>
      <c r="B356" s="459"/>
      <c r="C356" s="459"/>
      <c r="E356" s="461"/>
      <c r="F356" s="461"/>
      <c r="G356" s="461"/>
      <c r="H356" s="461"/>
      <c r="I356" s="462"/>
      <c r="J356" s="462"/>
      <c r="K356" s="462"/>
      <c r="L356" s="462"/>
      <c r="M356" s="462"/>
      <c r="N356" s="463"/>
      <c r="O356" s="464"/>
      <c r="P356" s="463"/>
      <c r="Q356" s="464"/>
      <c r="R356" s="465"/>
      <c r="S356" s="173">
        <f t="shared" si="13"/>
        <v>0</v>
      </c>
      <c r="AT356" s="176" t="e">
        <f>VLOOKUP($E356,RESOURCES!$C:$E,3,FALSE)</f>
        <v>#N/A</v>
      </c>
      <c r="AU356" s="176">
        <f t="shared" si="12"/>
        <v>0</v>
      </c>
    </row>
    <row r="357" spans="1:47">
      <c r="A357" s="459"/>
      <c r="B357" s="459"/>
      <c r="C357" s="459"/>
      <c r="E357" s="461"/>
      <c r="F357" s="461"/>
      <c r="G357" s="461"/>
      <c r="H357" s="461"/>
      <c r="I357" s="462"/>
      <c r="J357" s="462"/>
      <c r="K357" s="462"/>
      <c r="L357" s="462"/>
      <c r="M357" s="462"/>
      <c r="N357" s="463"/>
      <c r="O357" s="464"/>
      <c r="P357" s="463"/>
      <c r="Q357" s="464"/>
      <c r="R357" s="465"/>
      <c r="S357" s="173">
        <f t="shared" si="13"/>
        <v>0</v>
      </c>
      <c r="AT357" s="176" t="e">
        <f>VLOOKUP($E357,RESOURCES!$C:$E,3,FALSE)</f>
        <v>#N/A</v>
      </c>
      <c r="AU357" s="176">
        <f t="shared" si="12"/>
        <v>0</v>
      </c>
    </row>
    <row r="358" spans="1:47">
      <c r="A358" s="459"/>
      <c r="B358" s="459"/>
      <c r="C358" s="459"/>
      <c r="E358" s="461"/>
      <c r="F358" s="461"/>
      <c r="G358" s="461"/>
      <c r="H358" s="461"/>
      <c r="I358" s="462"/>
      <c r="J358" s="462"/>
      <c r="K358" s="462"/>
      <c r="L358" s="462"/>
      <c r="M358" s="462"/>
      <c r="N358" s="463"/>
      <c r="O358" s="464"/>
      <c r="P358" s="463"/>
      <c r="Q358" s="464"/>
      <c r="R358" s="465"/>
      <c r="S358" s="173">
        <f t="shared" si="13"/>
        <v>0</v>
      </c>
      <c r="AT358" s="176" t="e">
        <f>VLOOKUP($E358,RESOURCES!$C:$E,3,FALSE)</f>
        <v>#N/A</v>
      </c>
      <c r="AU358" s="176">
        <f t="shared" si="12"/>
        <v>0</v>
      </c>
    </row>
    <row r="359" spans="1:47">
      <c r="A359" s="459"/>
      <c r="B359" s="459"/>
      <c r="C359" s="459"/>
      <c r="E359" s="461"/>
      <c r="F359" s="461"/>
      <c r="G359" s="461"/>
      <c r="H359" s="461"/>
      <c r="I359" s="462"/>
      <c r="J359" s="462"/>
      <c r="K359" s="462"/>
      <c r="L359" s="462"/>
      <c r="M359" s="462"/>
      <c r="N359" s="463"/>
      <c r="O359" s="464"/>
      <c r="P359" s="463"/>
      <c r="Q359" s="464"/>
      <c r="R359" s="465"/>
      <c r="S359" s="173">
        <f t="shared" si="13"/>
        <v>0</v>
      </c>
      <c r="AT359" s="176" t="e">
        <f>VLOOKUP($E359,RESOURCES!$C:$E,3,FALSE)</f>
        <v>#N/A</v>
      </c>
      <c r="AU359" s="176">
        <f t="shared" si="12"/>
        <v>0</v>
      </c>
    </row>
    <row r="360" spans="1:47">
      <c r="A360" s="459"/>
      <c r="B360" s="459"/>
      <c r="C360" s="459"/>
      <c r="E360" s="461"/>
      <c r="F360" s="461"/>
      <c r="G360" s="461"/>
      <c r="H360" s="461"/>
      <c r="I360" s="462"/>
      <c r="J360" s="462"/>
      <c r="K360" s="462"/>
      <c r="L360" s="462"/>
      <c r="M360" s="462"/>
      <c r="N360" s="463"/>
      <c r="O360" s="464"/>
      <c r="P360" s="463"/>
      <c r="Q360" s="464"/>
      <c r="R360" s="465"/>
      <c r="S360" s="173">
        <f t="shared" si="13"/>
        <v>0</v>
      </c>
      <c r="AT360" s="176" t="e">
        <f>VLOOKUP($E360,RESOURCES!$C:$E,3,FALSE)</f>
        <v>#N/A</v>
      </c>
      <c r="AU360" s="176">
        <f t="shared" si="12"/>
        <v>0</v>
      </c>
    </row>
    <row r="361" spans="1:47">
      <c r="A361" s="459"/>
      <c r="B361" s="459"/>
      <c r="C361" s="459"/>
      <c r="E361" s="461"/>
      <c r="F361" s="461"/>
      <c r="G361" s="461"/>
      <c r="H361" s="461"/>
      <c r="I361" s="462"/>
      <c r="J361" s="462"/>
      <c r="K361" s="462"/>
      <c r="L361" s="462"/>
      <c r="M361" s="462"/>
      <c r="N361" s="463"/>
      <c r="O361" s="464"/>
      <c r="P361" s="463"/>
      <c r="Q361" s="464"/>
      <c r="R361" s="465"/>
      <c r="S361" s="173">
        <f t="shared" si="13"/>
        <v>0</v>
      </c>
      <c r="AT361" s="176" t="e">
        <f>VLOOKUP($E361,RESOURCES!$C:$E,3,FALSE)</f>
        <v>#N/A</v>
      </c>
      <c r="AU361" s="176">
        <f t="shared" si="12"/>
        <v>0</v>
      </c>
    </row>
    <row r="362" spans="1:47">
      <c r="A362" s="459"/>
      <c r="B362" s="459"/>
      <c r="C362" s="459"/>
      <c r="E362" s="461"/>
      <c r="F362" s="461"/>
      <c r="G362" s="461"/>
      <c r="H362" s="461"/>
      <c r="I362" s="462"/>
      <c r="J362" s="462"/>
      <c r="K362" s="462"/>
      <c r="L362" s="462"/>
      <c r="M362" s="462"/>
      <c r="N362" s="463"/>
      <c r="O362" s="464"/>
      <c r="P362" s="463"/>
      <c r="Q362" s="464"/>
      <c r="R362" s="465"/>
      <c r="S362" s="173">
        <f t="shared" si="13"/>
        <v>0</v>
      </c>
      <c r="AT362" s="176" t="e">
        <f>VLOOKUP($E362,RESOURCES!$C:$E,3,FALSE)</f>
        <v>#N/A</v>
      </c>
      <c r="AU362" s="176">
        <f t="shared" si="12"/>
        <v>0</v>
      </c>
    </row>
    <row r="363" spans="1:47">
      <c r="A363" s="459"/>
      <c r="B363" s="459"/>
      <c r="C363" s="459"/>
      <c r="E363" s="461"/>
      <c r="F363" s="461"/>
      <c r="G363" s="461"/>
      <c r="H363" s="461"/>
      <c r="I363" s="462"/>
      <c r="J363" s="462"/>
      <c r="K363" s="462"/>
      <c r="L363" s="462"/>
      <c r="M363" s="462"/>
      <c r="N363" s="463"/>
      <c r="O363" s="464"/>
      <c r="P363" s="463"/>
      <c r="Q363" s="464"/>
      <c r="R363" s="465"/>
      <c r="S363" s="173">
        <f t="shared" si="13"/>
        <v>0</v>
      </c>
      <c r="AT363" s="176" t="e">
        <f>VLOOKUP($E363,RESOURCES!$C:$E,3,FALSE)</f>
        <v>#N/A</v>
      </c>
      <c r="AU363" s="176">
        <f t="shared" si="12"/>
        <v>0</v>
      </c>
    </row>
    <row r="364" spans="1:47">
      <c r="A364" s="459"/>
      <c r="B364" s="459"/>
      <c r="C364" s="459"/>
      <c r="E364" s="461"/>
      <c r="F364" s="461"/>
      <c r="G364" s="461"/>
      <c r="H364" s="461"/>
      <c r="I364" s="462"/>
      <c r="J364" s="462"/>
      <c r="K364" s="462"/>
      <c r="L364" s="462"/>
      <c r="M364" s="462"/>
      <c r="N364" s="463"/>
      <c r="O364" s="464"/>
      <c r="P364" s="463"/>
      <c r="Q364" s="464"/>
      <c r="R364" s="465"/>
      <c r="S364" s="173">
        <f t="shared" si="13"/>
        <v>0</v>
      </c>
      <c r="AT364" s="176" t="e">
        <f>VLOOKUP($E364,RESOURCES!$C:$E,3,FALSE)</f>
        <v>#N/A</v>
      </c>
      <c r="AU364" s="176">
        <f t="shared" si="12"/>
        <v>0</v>
      </c>
    </row>
    <row r="365" spans="1:47">
      <c r="A365" s="459"/>
      <c r="B365" s="459"/>
      <c r="C365" s="459"/>
      <c r="E365" s="461"/>
      <c r="F365" s="461"/>
      <c r="G365" s="461"/>
      <c r="H365" s="461"/>
      <c r="I365" s="462"/>
      <c r="J365" s="462"/>
      <c r="K365" s="462"/>
      <c r="L365" s="462"/>
      <c r="M365" s="462"/>
      <c r="N365" s="463"/>
      <c r="O365" s="464"/>
      <c r="P365" s="463"/>
      <c r="Q365" s="464"/>
      <c r="R365" s="465"/>
      <c r="S365" s="173">
        <f t="shared" si="13"/>
        <v>0</v>
      </c>
      <c r="AT365" s="176" t="e">
        <f>VLOOKUP($E365,RESOURCES!$C:$E,3,FALSE)</f>
        <v>#N/A</v>
      </c>
      <c r="AU365" s="176">
        <f t="shared" si="12"/>
        <v>0</v>
      </c>
    </row>
    <row r="366" spans="1:47">
      <c r="A366" s="459"/>
      <c r="B366" s="459"/>
      <c r="C366" s="459"/>
      <c r="E366" s="461"/>
      <c r="F366" s="461"/>
      <c r="G366" s="461"/>
      <c r="H366" s="461"/>
      <c r="I366" s="462"/>
      <c r="J366" s="462"/>
      <c r="K366" s="462"/>
      <c r="L366" s="462"/>
      <c r="M366" s="462"/>
      <c r="N366" s="463"/>
      <c r="O366" s="464"/>
      <c r="P366" s="463"/>
      <c r="Q366" s="464"/>
      <c r="R366" s="465"/>
      <c r="S366" s="173">
        <f t="shared" si="13"/>
        <v>0</v>
      </c>
      <c r="AT366" s="176" t="e">
        <f>VLOOKUP($E366,RESOURCES!$C:$E,3,FALSE)</f>
        <v>#N/A</v>
      </c>
      <c r="AU366" s="176">
        <f t="shared" si="12"/>
        <v>0</v>
      </c>
    </row>
    <row r="367" spans="1:47">
      <c r="A367" s="459"/>
      <c r="B367" s="459"/>
      <c r="C367" s="459"/>
      <c r="E367" s="461"/>
      <c r="F367" s="461"/>
      <c r="G367" s="461"/>
      <c r="H367" s="461"/>
      <c r="I367" s="462"/>
      <c r="J367" s="462"/>
      <c r="K367" s="462"/>
      <c r="L367" s="462"/>
      <c r="M367" s="462"/>
      <c r="N367" s="463"/>
      <c r="O367" s="464"/>
      <c r="P367" s="463"/>
      <c r="Q367" s="464"/>
      <c r="R367" s="465"/>
      <c r="S367" s="173">
        <f t="shared" si="13"/>
        <v>0</v>
      </c>
      <c r="AT367" s="176" t="e">
        <f>VLOOKUP($E367,RESOURCES!$C:$E,3,FALSE)</f>
        <v>#N/A</v>
      </c>
      <c r="AU367" s="176">
        <f t="shared" si="12"/>
        <v>0</v>
      </c>
    </row>
    <row r="368" spans="1:47">
      <c r="A368" s="459"/>
      <c r="B368" s="459"/>
      <c r="C368" s="459"/>
      <c r="E368" s="461"/>
      <c r="F368" s="461"/>
      <c r="G368" s="461"/>
      <c r="H368" s="461"/>
      <c r="I368" s="462"/>
      <c r="J368" s="462"/>
      <c r="K368" s="462"/>
      <c r="L368" s="462"/>
      <c r="M368" s="462"/>
      <c r="N368" s="463"/>
      <c r="O368" s="464"/>
      <c r="P368" s="463"/>
      <c r="Q368" s="464"/>
      <c r="R368" s="465"/>
      <c r="S368" s="173">
        <f t="shared" si="13"/>
        <v>0</v>
      </c>
      <c r="AT368" s="176" t="e">
        <f>VLOOKUP($E368,RESOURCES!$C:$E,3,FALSE)</f>
        <v>#N/A</v>
      </c>
      <c r="AU368" s="176">
        <f t="shared" si="12"/>
        <v>0</v>
      </c>
    </row>
    <row r="369" spans="1:47">
      <c r="A369" s="459"/>
      <c r="B369" s="459"/>
      <c r="C369" s="459"/>
      <c r="E369" s="461"/>
      <c r="F369" s="461"/>
      <c r="G369" s="461"/>
      <c r="H369" s="461"/>
      <c r="I369" s="462"/>
      <c r="J369" s="462"/>
      <c r="K369" s="462"/>
      <c r="L369" s="462"/>
      <c r="M369" s="462"/>
      <c r="N369" s="463"/>
      <c r="O369" s="464"/>
      <c r="P369" s="463"/>
      <c r="Q369" s="464"/>
      <c r="R369" s="465"/>
      <c r="S369" s="173">
        <f t="shared" si="13"/>
        <v>0</v>
      </c>
      <c r="AT369" s="176" t="e">
        <f>VLOOKUP($E369,RESOURCES!$C:$E,3,FALSE)</f>
        <v>#N/A</v>
      </c>
      <c r="AU369" s="176">
        <f t="shared" si="12"/>
        <v>0</v>
      </c>
    </row>
    <row r="370" spans="1:47">
      <c r="A370" s="459"/>
      <c r="B370" s="459"/>
      <c r="C370" s="459"/>
      <c r="E370" s="461"/>
      <c r="F370" s="461"/>
      <c r="G370" s="461"/>
      <c r="H370" s="461"/>
      <c r="I370" s="462"/>
      <c r="J370" s="462"/>
      <c r="K370" s="462"/>
      <c r="L370" s="462"/>
      <c r="M370" s="462"/>
      <c r="N370" s="463"/>
      <c r="O370" s="464"/>
      <c r="P370" s="463"/>
      <c r="Q370" s="464"/>
      <c r="R370" s="465"/>
      <c r="S370" s="173">
        <f t="shared" si="13"/>
        <v>0</v>
      </c>
      <c r="AT370" s="176" t="e">
        <f>VLOOKUP($E370,RESOURCES!$C:$E,3,FALSE)</f>
        <v>#N/A</v>
      </c>
      <c r="AU370" s="176">
        <f t="shared" si="12"/>
        <v>0</v>
      </c>
    </row>
    <row r="371" spans="1:47">
      <c r="A371" s="459"/>
      <c r="B371" s="459"/>
      <c r="C371" s="459"/>
      <c r="E371" s="461"/>
      <c r="F371" s="461"/>
      <c r="G371" s="461"/>
      <c r="H371" s="461"/>
      <c r="I371" s="462"/>
      <c r="J371" s="462"/>
      <c r="K371" s="462"/>
      <c r="L371" s="462"/>
      <c r="M371" s="462"/>
      <c r="N371" s="463"/>
      <c r="O371" s="464"/>
      <c r="P371" s="463"/>
      <c r="Q371" s="464"/>
      <c r="R371" s="465"/>
      <c r="S371" s="173">
        <f t="shared" si="13"/>
        <v>0</v>
      </c>
      <c r="AT371" s="176" t="e">
        <f>VLOOKUP($E371,RESOURCES!$C:$E,3,FALSE)</f>
        <v>#N/A</v>
      </c>
      <c r="AU371" s="176">
        <f t="shared" si="12"/>
        <v>0</v>
      </c>
    </row>
    <row r="372" spans="1:47">
      <c r="A372" s="459"/>
      <c r="B372" s="459"/>
      <c r="C372" s="459"/>
      <c r="E372" s="461"/>
      <c r="F372" s="461"/>
      <c r="G372" s="461"/>
      <c r="H372" s="461"/>
      <c r="I372" s="462"/>
      <c r="J372" s="462"/>
      <c r="K372" s="462"/>
      <c r="L372" s="462"/>
      <c r="M372" s="462"/>
      <c r="N372" s="463"/>
      <c r="O372" s="464"/>
      <c r="P372" s="463"/>
      <c r="Q372" s="464"/>
      <c r="R372" s="465"/>
      <c r="S372" s="173">
        <f t="shared" si="13"/>
        <v>0</v>
      </c>
      <c r="AT372" s="176" t="e">
        <f>VLOOKUP($E372,RESOURCES!$C:$E,3,FALSE)</f>
        <v>#N/A</v>
      </c>
      <c r="AU372" s="176">
        <f t="shared" si="12"/>
        <v>0</v>
      </c>
    </row>
    <row r="373" spans="1:47">
      <c r="A373" s="459"/>
      <c r="B373" s="459"/>
      <c r="C373" s="459"/>
      <c r="E373" s="461"/>
      <c r="F373" s="461"/>
      <c r="G373" s="461"/>
      <c r="H373" s="461"/>
      <c r="I373" s="462"/>
      <c r="J373" s="462"/>
      <c r="K373" s="462"/>
      <c r="L373" s="462"/>
      <c r="M373" s="462"/>
      <c r="N373" s="463"/>
      <c r="O373" s="464"/>
      <c r="P373" s="463"/>
      <c r="Q373" s="464"/>
      <c r="R373" s="465"/>
      <c r="S373" s="173">
        <f t="shared" si="13"/>
        <v>0</v>
      </c>
      <c r="AT373" s="176" t="e">
        <f>VLOOKUP($E373,RESOURCES!$C:$E,3,FALSE)</f>
        <v>#N/A</v>
      </c>
      <c r="AU373" s="176">
        <f t="shared" si="12"/>
        <v>0</v>
      </c>
    </row>
    <row r="374" spans="1:47">
      <c r="A374" s="459"/>
      <c r="B374" s="459"/>
      <c r="C374" s="459"/>
      <c r="E374" s="461"/>
      <c r="F374" s="461"/>
      <c r="G374" s="461"/>
      <c r="H374" s="461"/>
      <c r="I374" s="462"/>
      <c r="J374" s="462"/>
      <c r="K374" s="462"/>
      <c r="L374" s="462"/>
      <c r="M374" s="462"/>
      <c r="N374" s="463"/>
      <c r="O374" s="464"/>
      <c r="P374" s="463"/>
      <c r="Q374" s="464"/>
      <c r="R374" s="465"/>
      <c r="S374" s="173">
        <f t="shared" si="13"/>
        <v>0</v>
      </c>
      <c r="AT374" s="176" t="e">
        <f>VLOOKUP($E374,RESOURCES!$C:$E,3,FALSE)</f>
        <v>#N/A</v>
      </c>
      <c r="AU374" s="176">
        <f t="shared" si="12"/>
        <v>0</v>
      </c>
    </row>
    <row r="375" spans="1:47">
      <c r="A375" s="459"/>
      <c r="B375" s="459"/>
      <c r="C375" s="459"/>
      <c r="E375" s="461"/>
      <c r="F375" s="461"/>
      <c r="G375" s="461"/>
      <c r="H375" s="461"/>
      <c r="I375" s="462"/>
      <c r="J375" s="462"/>
      <c r="K375" s="462"/>
      <c r="L375" s="462"/>
      <c r="M375" s="462"/>
      <c r="N375" s="463"/>
      <c r="O375" s="464"/>
      <c r="P375" s="463"/>
      <c r="Q375" s="464"/>
      <c r="R375" s="465"/>
      <c r="S375" s="173">
        <f t="shared" si="13"/>
        <v>0</v>
      </c>
      <c r="AT375" s="176" t="e">
        <f>VLOOKUP($E375,RESOURCES!$C:$E,3,FALSE)</f>
        <v>#N/A</v>
      </c>
      <c r="AU375" s="176">
        <f t="shared" si="12"/>
        <v>0</v>
      </c>
    </row>
    <row r="376" spans="1:47">
      <c r="A376" s="459"/>
      <c r="B376" s="459"/>
      <c r="C376" s="459"/>
      <c r="E376" s="461"/>
      <c r="F376" s="461"/>
      <c r="G376" s="461"/>
      <c r="H376" s="461"/>
      <c r="I376" s="462"/>
      <c r="J376" s="462"/>
      <c r="K376" s="462"/>
      <c r="L376" s="462"/>
      <c r="M376" s="462"/>
      <c r="N376" s="463"/>
      <c r="O376" s="464"/>
      <c r="P376" s="463"/>
      <c r="Q376" s="464"/>
      <c r="R376" s="465"/>
      <c r="S376" s="173">
        <f t="shared" si="13"/>
        <v>0</v>
      </c>
      <c r="AT376" s="176" t="e">
        <f>VLOOKUP($E376,RESOURCES!$C:$E,3,FALSE)</f>
        <v>#N/A</v>
      </c>
      <c r="AU376" s="176">
        <f t="shared" si="12"/>
        <v>0</v>
      </c>
    </row>
    <row r="377" spans="1:47">
      <c r="A377" s="459"/>
      <c r="B377" s="459"/>
      <c r="C377" s="459"/>
      <c r="E377" s="461"/>
      <c r="F377" s="461"/>
      <c r="G377" s="461"/>
      <c r="H377" s="461"/>
      <c r="I377" s="462"/>
      <c r="J377" s="462"/>
      <c r="K377" s="462"/>
      <c r="L377" s="462"/>
      <c r="M377" s="462"/>
      <c r="N377" s="463"/>
      <c r="O377" s="464"/>
      <c r="P377" s="463"/>
      <c r="Q377" s="464"/>
      <c r="R377" s="465"/>
      <c r="S377" s="173">
        <f t="shared" si="13"/>
        <v>0</v>
      </c>
      <c r="AT377" s="176" t="e">
        <f>VLOOKUP($E377,RESOURCES!$C:$E,3,FALSE)</f>
        <v>#N/A</v>
      </c>
      <c r="AU377" s="176">
        <f t="shared" si="12"/>
        <v>0</v>
      </c>
    </row>
    <row r="378" spans="1:47">
      <c r="A378" s="459"/>
      <c r="B378" s="459"/>
      <c r="C378" s="459"/>
      <c r="E378" s="461"/>
      <c r="F378" s="461"/>
      <c r="G378" s="461"/>
      <c r="H378" s="461"/>
      <c r="I378" s="462"/>
      <c r="J378" s="462"/>
      <c r="K378" s="462"/>
      <c r="L378" s="462"/>
      <c r="M378" s="462"/>
      <c r="N378" s="463"/>
      <c r="O378" s="464"/>
      <c r="P378" s="463"/>
      <c r="Q378" s="464"/>
      <c r="R378" s="465"/>
      <c r="S378" s="173">
        <f t="shared" si="13"/>
        <v>0</v>
      </c>
      <c r="AT378" s="176" t="e">
        <f>VLOOKUP($E378,RESOURCES!$C:$E,3,FALSE)</f>
        <v>#N/A</v>
      </c>
      <c r="AU378" s="176">
        <f t="shared" si="12"/>
        <v>0</v>
      </c>
    </row>
    <row r="379" spans="1:47">
      <c r="A379" s="459"/>
      <c r="B379" s="459"/>
      <c r="C379" s="459"/>
      <c r="E379" s="461"/>
      <c r="F379" s="461"/>
      <c r="G379" s="461"/>
      <c r="H379" s="461"/>
      <c r="I379" s="462"/>
      <c r="J379" s="462"/>
      <c r="K379" s="462"/>
      <c r="L379" s="462"/>
      <c r="M379" s="462"/>
      <c r="N379" s="463"/>
      <c r="O379" s="464"/>
      <c r="P379" s="463"/>
      <c r="Q379" s="464"/>
      <c r="R379" s="465"/>
      <c r="S379" s="173">
        <f t="shared" si="13"/>
        <v>0</v>
      </c>
      <c r="AT379" s="176" t="e">
        <f>VLOOKUP($E379,RESOURCES!$C:$E,3,FALSE)</f>
        <v>#N/A</v>
      </c>
      <c r="AU379" s="176">
        <f t="shared" si="12"/>
        <v>0</v>
      </c>
    </row>
    <row r="380" spans="1:47">
      <c r="A380" s="459"/>
      <c r="B380" s="459"/>
      <c r="C380" s="459"/>
      <c r="E380" s="461"/>
      <c r="F380" s="461"/>
      <c r="G380" s="461"/>
      <c r="H380" s="461"/>
      <c r="I380" s="462"/>
      <c r="J380" s="462"/>
      <c r="K380" s="462"/>
      <c r="L380" s="462"/>
      <c r="M380" s="462"/>
      <c r="N380" s="463"/>
      <c r="O380" s="464"/>
      <c r="P380" s="463"/>
      <c r="Q380" s="464"/>
      <c r="R380" s="465"/>
      <c r="S380" s="173">
        <f t="shared" si="13"/>
        <v>0</v>
      </c>
      <c r="AT380" s="176" t="e">
        <f>VLOOKUP($E380,RESOURCES!$C:$E,3,FALSE)</f>
        <v>#N/A</v>
      </c>
      <c r="AU380" s="176">
        <f t="shared" si="12"/>
        <v>0</v>
      </c>
    </row>
    <row r="381" spans="1:47">
      <c r="A381" s="459"/>
      <c r="B381" s="459"/>
      <c r="C381" s="459"/>
      <c r="E381" s="461"/>
      <c r="F381" s="461"/>
      <c r="G381" s="461"/>
      <c r="H381" s="461"/>
      <c r="I381" s="462"/>
      <c r="J381" s="462"/>
      <c r="K381" s="462"/>
      <c r="L381" s="462"/>
      <c r="M381" s="462"/>
      <c r="N381" s="463"/>
      <c r="O381" s="464"/>
      <c r="P381" s="463"/>
      <c r="Q381" s="464"/>
      <c r="R381" s="465"/>
      <c r="S381" s="173">
        <f t="shared" si="13"/>
        <v>0</v>
      </c>
      <c r="AT381" s="176" t="e">
        <f>VLOOKUP($E381,RESOURCES!$C:$E,3,FALSE)</f>
        <v>#N/A</v>
      </c>
      <c r="AU381" s="176">
        <f t="shared" si="12"/>
        <v>0</v>
      </c>
    </row>
    <row r="382" spans="1:47">
      <c r="A382" s="459"/>
      <c r="B382" s="459"/>
      <c r="C382" s="459"/>
      <c r="E382" s="461"/>
      <c r="F382" s="461"/>
      <c r="G382" s="461"/>
      <c r="H382" s="461"/>
      <c r="I382" s="462"/>
      <c r="J382" s="462"/>
      <c r="K382" s="462"/>
      <c r="L382" s="462"/>
      <c r="M382" s="462"/>
      <c r="N382" s="463"/>
      <c r="O382" s="464"/>
      <c r="P382" s="463"/>
      <c r="Q382" s="464"/>
      <c r="R382" s="465"/>
      <c r="S382" s="173">
        <f t="shared" si="13"/>
        <v>0</v>
      </c>
      <c r="AT382" s="176" t="e">
        <f>VLOOKUP($E382,RESOURCES!$C:$E,3,FALSE)</f>
        <v>#N/A</v>
      </c>
      <c r="AU382" s="176">
        <f t="shared" si="12"/>
        <v>0</v>
      </c>
    </row>
    <row r="383" spans="1:47">
      <c r="A383" s="459"/>
      <c r="B383" s="459"/>
      <c r="C383" s="459"/>
      <c r="E383" s="461"/>
      <c r="F383" s="461"/>
      <c r="G383" s="461"/>
      <c r="H383" s="461"/>
      <c r="I383" s="462"/>
      <c r="J383" s="462"/>
      <c r="K383" s="462"/>
      <c r="L383" s="462"/>
      <c r="M383" s="462"/>
      <c r="N383" s="463"/>
      <c r="O383" s="464"/>
      <c r="P383" s="463"/>
      <c r="Q383" s="464"/>
      <c r="R383" s="465"/>
      <c r="S383" s="173">
        <f t="shared" si="13"/>
        <v>0</v>
      </c>
      <c r="AT383" s="176" t="e">
        <f>VLOOKUP($E383,RESOURCES!$C:$E,3,FALSE)</f>
        <v>#N/A</v>
      </c>
      <c r="AU383" s="176">
        <f t="shared" si="12"/>
        <v>0</v>
      </c>
    </row>
    <row r="384" spans="1:47">
      <c r="A384" s="459"/>
      <c r="B384" s="459"/>
      <c r="C384" s="459"/>
      <c r="E384" s="461"/>
      <c r="F384" s="461"/>
      <c r="G384" s="461"/>
      <c r="H384" s="461"/>
      <c r="I384" s="462"/>
      <c r="J384" s="462"/>
      <c r="K384" s="462"/>
      <c r="L384" s="462"/>
      <c r="M384" s="462"/>
      <c r="N384" s="463"/>
      <c r="O384" s="464"/>
      <c r="P384" s="463"/>
      <c r="Q384" s="464"/>
      <c r="R384" s="465"/>
      <c r="S384" s="173">
        <f t="shared" si="13"/>
        <v>0</v>
      </c>
      <c r="AT384" s="176" t="e">
        <f>VLOOKUP($E384,RESOURCES!$C:$E,3,FALSE)</f>
        <v>#N/A</v>
      </c>
      <c r="AU384" s="176">
        <f t="shared" si="12"/>
        <v>0</v>
      </c>
    </row>
    <row r="385" spans="1:47">
      <c r="A385" s="459"/>
      <c r="B385" s="459"/>
      <c r="C385" s="459"/>
      <c r="E385" s="461"/>
      <c r="F385" s="461"/>
      <c r="G385" s="461"/>
      <c r="H385" s="461"/>
      <c r="I385" s="462"/>
      <c r="J385" s="462"/>
      <c r="K385" s="462"/>
      <c r="L385" s="462"/>
      <c r="M385" s="462"/>
      <c r="N385" s="463"/>
      <c r="O385" s="464"/>
      <c r="P385" s="463"/>
      <c r="Q385" s="464"/>
      <c r="R385" s="465"/>
      <c r="S385" s="173">
        <f t="shared" si="13"/>
        <v>0</v>
      </c>
      <c r="AT385" s="176" t="e">
        <f>VLOOKUP($E385,RESOURCES!$C:$E,3,FALSE)</f>
        <v>#N/A</v>
      </c>
      <c r="AU385" s="176">
        <f t="shared" si="12"/>
        <v>0</v>
      </c>
    </row>
    <row r="386" spans="1:47">
      <c r="A386" s="459"/>
      <c r="B386" s="459"/>
      <c r="C386" s="459"/>
      <c r="E386" s="461"/>
      <c r="F386" s="461"/>
      <c r="G386" s="461"/>
      <c r="H386" s="461"/>
      <c r="I386" s="462"/>
      <c r="J386" s="462"/>
      <c r="K386" s="462"/>
      <c r="L386" s="462"/>
      <c r="M386" s="462"/>
      <c r="N386" s="463"/>
      <c r="O386" s="464"/>
      <c r="P386" s="463"/>
      <c r="Q386" s="464"/>
      <c r="R386" s="465"/>
      <c r="S386" s="173">
        <f t="shared" si="13"/>
        <v>0</v>
      </c>
      <c r="AT386" s="176" t="e">
        <f>VLOOKUP($E386,RESOURCES!$C:$E,3,FALSE)</f>
        <v>#N/A</v>
      </c>
      <c r="AU386" s="176">
        <f t="shared" si="12"/>
        <v>0</v>
      </c>
    </row>
    <row r="387" spans="1:47">
      <c r="A387" s="459"/>
      <c r="B387" s="459"/>
      <c r="C387" s="459"/>
      <c r="E387" s="461"/>
      <c r="F387" s="461"/>
      <c r="G387" s="461"/>
      <c r="H387" s="461"/>
      <c r="I387" s="462"/>
      <c r="J387" s="462"/>
      <c r="K387" s="462"/>
      <c r="L387" s="462"/>
      <c r="M387" s="462"/>
      <c r="N387" s="463"/>
      <c r="O387" s="464"/>
      <c r="P387" s="463"/>
      <c r="Q387" s="464"/>
      <c r="R387" s="465"/>
      <c r="S387" s="173">
        <f t="shared" si="13"/>
        <v>0</v>
      </c>
      <c r="AT387" s="176" t="e">
        <f>VLOOKUP($E387,RESOURCES!$C:$E,3,FALSE)</f>
        <v>#N/A</v>
      </c>
      <c r="AU387" s="176">
        <f t="shared" si="12"/>
        <v>0</v>
      </c>
    </row>
    <row r="388" spans="1:47">
      <c r="A388" s="459"/>
      <c r="B388" s="459"/>
      <c r="C388" s="459"/>
      <c r="E388" s="461"/>
      <c r="F388" s="461"/>
      <c r="G388" s="461"/>
      <c r="H388" s="461"/>
      <c r="I388" s="462"/>
      <c r="J388" s="462"/>
      <c r="K388" s="462"/>
      <c r="L388" s="462"/>
      <c r="M388" s="462"/>
      <c r="N388" s="463"/>
      <c r="O388" s="464"/>
      <c r="P388" s="463"/>
      <c r="Q388" s="464"/>
      <c r="R388" s="465"/>
      <c r="S388" s="173">
        <f t="shared" si="13"/>
        <v>0</v>
      </c>
      <c r="AT388" s="176" t="e">
        <f>VLOOKUP($E388,RESOURCES!$C:$E,3,FALSE)</f>
        <v>#N/A</v>
      </c>
      <c r="AU388" s="176">
        <f t="shared" si="12"/>
        <v>0</v>
      </c>
    </row>
    <row r="389" spans="1:47">
      <c r="A389" s="459"/>
      <c r="B389" s="459"/>
      <c r="C389" s="459"/>
      <c r="E389" s="461"/>
      <c r="F389" s="461"/>
      <c r="G389" s="461"/>
      <c r="H389" s="461"/>
      <c r="I389" s="462"/>
      <c r="J389" s="462"/>
      <c r="K389" s="462"/>
      <c r="L389" s="462"/>
      <c r="M389" s="462"/>
      <c r="N389" s="463"/>
      <c r="O389" s="464"/>
      <c r="P389" s="463"/>
      <c r="Q389" s="464"/>
      <c r="R389" s="465"/>
      <c r="S389" s="173">
        <f t="shared" si="13"/>
        <v>0</v>
      </c>
      <c r="AT389" s="176" t="e">
        <f>VLOOKUP($E389,RESOURCES!$C:$E,3,FALSE)</f>
        <v>#N/A</v>
      </c>
      <c r="AU389" s="176">
        <f t="shared" ref="AU389:AU452" si="14">C389</f>
        <v>0</v>
      </c>
    </row>
    <row r="390" spans="1:47">
      <c r="A390" s="459"/>
      <c r="B390" s="459"/>
      <c r="C390" s="459"/>
      <c r="E390" s="461"/>
      <c r="F390" s="461"/>
      <c r="G390" s="461"/>
      <c r="H390" s="461"/>
      <c r="I390" s="462"/>
      <c r="J390" s="462"/>
      <c r="K390" s="462"/>
      <c r="L390" s="462"/>
      <c r="M390" s="462"/>
      <c r="N390" s="463"/>
      <c r="O390" s="464"/>
      <c r="P390" s="463"/>
      <c r="Q390" s="464"/>
      <c r="R390" s="465"/>
      <c r="S390" s="173">
        <f t="shared" si="13"/>
        <v>0</v>
      </c>
      <c r="AT390" s="176" t="e">
        <f>VLOOKUP($E390,RESOURCES!$C:$E,3,FALSE)</f>
        <v>#N/A</v>
      </c>
      <c r="AU390" s="176">
        <f t="shared" si="14"/>
        <v>0</v>
      </c>
    </row>
    <row r="391" spans="1:47">
      <c r="A391" s="459"/>
      <c r="B391" s="459"/>
      <c r="C391" s="459"/>
      <c r="E391" s="461"/>
      <c r="F391" s="461"/>
      <c r="G391" s="461"/>
      <c r="H391" s="461"/>
      <c r="I391" s="462"/>
      <c r="J391" s="462"/>
      <c r="K391" s="462"/>
      <c r="L391" s="462"/>
      <c r="M391" s="462"/>
      <c r="N391" s="463"/>
      <c r="O391" s="464"/>
      <c r="P391" s="463"/>
      <c r="Q391" s="464"/>
      <c r="R391" s="465"/>
      <c r="S391" s="173">
        <f t="shared" si="13"/>
        <v>0</v>
      </c>
      <c r="AT391" s="176" t="e">
        <f>VLOOKUP($E391,RESOURCES!$C:$E,3,FALSE)</f>
        <v>#N/A</v>
      </c>
      <c r="AU391" s="176">
        <f t="shared" si="14"/>
        <v>0</v>
      </c>
    </row>
    <row r="392" spans="1:47">
      <c r="A392" s="459"/>
      <c r="B392" s="459"/>
      <c r="C392" s="459"/>
      <c r="E392" s="461"/>
      <c r="F392" s="461"/>
      <c r="G392" s="461"/>
      <c r="H392" s="461"/>
      <c r="I392" s="462"/>
      <c r="J392" s="462"/>
      <c r="K392" s="462"/>
      <c r="L392" s="462"/>
      <c r="M392" s="462"/>
      <c r="N392" s="463"/>
      <c r="O392" s="464"/>
      <c r="P392" s="463"/>
      <c r="Q392" s="464"/>
      <c r="R392" s="465"/>
      <c r="S392" s="173">
        <f t="shared" si="13"/>
        <v>0</v>
      </c>
      <c r="AT392" s="176" t="e">
        <f>VLOOKUP($E392,RESOURCES!$C:$E,3,FALSE)</f>
        <v>#N/A</v>
      </c>
      <c r="AU392" s="176">
        <f t="shared" si="14"/>
        <v>0</v>
      </c>
    </row>
    <row r="393" spans="1:47">
      <c r="A393" s="459"/>
      <c r="B393" s="459"/>
      <c r="C393" s="459"/>
      <c r="E393" s="461"/>
      <c r="F393" s="461"/>
      <c r="G393" s="461"/>
      <c r="H393" s="461"/>
      <c r="I393" s="462"/>
      <c r="J393" s="462"/>
      <c r="K393" s="462"/>
      <c r="L393" s="462"/>
      <c r="M393" s="462"/>
      <c r="N393" s="463"/>
      <c r="O393" s="464"/>
      <c r="P393" s="463"/>
      <c r="Q393" s="464"/>
      <c r="R393" s="465"/>
      <c r="S393" s="173">
        <f t="shared" si="13"/>
        <v>0</v>
      </c>
      <c r="AT393" s="176" t="e">
        <f>VLOOKUP($E393,RESOURCES!$C:$E,3,FALSE)</f>
        <v>#N/A</v>
      </c>
      <c r="AU393" s="176">
        <f t="shared" si="14"/>
        <v>0</v>
      </c>
    </row>
    <row r="394" spans="1:47">
      <c r="A394" s="459"/>
      <c r="B394" s="459"/>
      <c r="C394" s="459"/>
      <c r="E394" s="461"/>
      <c r="F394" s="461"/>
      <c r="G394" s="461"/>
      <c r="H394" s="461"/>
      <c r="I394" s="462"/>
      <c r="J394" s="462"/>
      <c r="K394" s="462"/>
      <c r="L394" s="462"/>
      <c r="M394" s="462"/>
      <c r="N394" s="463"/>
      <c r="O394" s="464"/>
      <c r="P394" s="463"/>
      <c r="Q394" s="464"/>
      <c r="R394" s="465"/>
      <c r="S394" s="173">
        <f t="shared" si="13"/>
        <v>0</v>
      </c>
      <c r="AT394" s="176" t="e">
        <f>VLOOKUP($E394,RESOURCES!$C:$E,3,FALSE)</f>
        <v>#N/A</v>
      </c>
      <c r="AU394" s="176">
        <f t="shared" si="14"/>
        <v>0</v>
      </c>
    </row>
    <row r="395" spans="1:47">
      <c r="A395" s="459"/>
      <c r="B395" s="459"/>
      <c r="C395" s="459"/>
      <c r="E395" s="461"/>
      <c r="F395" s="461"/>
      <c r="G395" s="461"/>
      <c r="H395" s="461"/>
      <c r="I395" s="462"/>
      <c r="J395" s="462"/>
      <c r="K395" s="462"/>
      <c r="L395" s="462"/>
      <c r="M395" s="462"/>
      <c r="N395" s="463"/>
      <c r="O395" s="464"/>
      <c r="P395" s="463"/>
      <c r="Q395" s="464"/>
      <c r="R395" s="465"/>
      <c r="S395" s="173">
        <f t="shared" si="13"/>
        <v>0</v>
      </c>
      <c r="AT395" s="176" t="e">
        <f>VLOOKUP($E395,RESOURCES!$C:$E,3,FALSE)</f>
        <v>#N/A</v>
      </c>
      <c r="AU395" s="176">
        <f t="shared" si="14"/>
        <v>0</v>
      </c>
    </row>
    <row r="396" spans="1:47">
      <c r="A396" s="459"/>
      <c r="B396" s="459"/>
      <c r="C396" s="459"/>
      <c r="E396" s="461"/>
      <c r="F396" s="461"/>
      <c r="G396" s="461"/>
      <c r="H396" s="461"/>
      <c r="I396" s="462"/>
      <c r="J396" s="462"/>
      <c r="K396" s="462"/>
      <c r="L396" s="462"/>
      <c r="M396" s="462"/>
      <c r="N396" s="463"/>
      <c r="O396" s="464"/>
      <c r="P396" s="463"/>
      <c r="Q396" s="464"/>
      <c r="R396" s="465"/>
      <c r="S396" s="173">
        <f t="shared" si="13"/>
        <v>0</v>
      </c>
      <c r="AT396" s="176" t="e">
        <f>VLOOKUP($E396,RESOURCES!$C:$E,3,FALSE)</f>
        <v>#N/A</v>
      </c>
      <c r="AU396" s="176">
        <f t="shared" si="14"/>
        <v>0</v>
      </c>
    </row>
    <row r="397" spans="1:47">
      <c r="A397" s="459"/>
      <c r="B397" s="459"/>
      <c r="C397" s="459"/>
      <c r="E397" s="461"/>
      <c r="F397" s="461"/>
      <c r="G397" s="461"/>
      <c r="H397" s="461"/>
      <c r="I397" s="462"/>
      <c r="J397" s="462"/>
      <c r="K397" s="462"/>
      <c r="L397" s="462"/>
      <c r="M397" s="462"/>
      <c r="N397" s="463"/>
      <c r="O397" s="464"/>
      <c r="P397" s="463"/>
      <c r="Q397" s="464"/>
      <c r="R397" s="465"/>
      <c r="S397" s="173">
        <f t="shared" ref="S397:S460" si="15">F397-(H397/7.5)</f>
        <v>0</v>
      </c>
      <c r="AT397" s="176" t="e">
        <f>VLOOKUP($E397,RESOURCES!$C:$E,3,FALSE)</f>
        <v>#N/A</v>
      </c>
      <c r="AU397" s="176">
        <f t="shared" si="14"/>
        <v>0</v>
      </c>
    </row>
    <row r="398" spans="1:47">
      <c r="A398" s="459"/>
      <c r="B398" s="459"/>
      <c r="C398" s="459"/>
      <c r="E398" s="461"/>
      <c r="F398" s="461"/>
      <c r="G398" s="461"/>
      <c r="H398" s="461"/>
      <c r="I398" s="462"/>
      <c r="J398" s="462"/>
      <c r="K398" s="462"/>
      <c r="L398" s="462"/>
      <c r="M398" s="462"/>
      <c r="N398" s="463"/>
      <c r="O398" s="464"/>
      <c r="P398" s="463"/>
      <c r="Q398" s="464"/>
      <c r="R398" s="465"/>
      <c r="S398" s="173">
        <f t="shared" si="15"/>
        <v>0</v>
      </c>
      <c r="AT398" s="176" t="e">
        <f>VLOOKUP($E398,RESOURCES!$C:$E,3,FALSE)</f>
        <v>#N/A</v>
      </c>
      <c r="AU398" s="176">
        <f t="shared" si="14"/>
        <v>0</v>
      </c>
    </row>
    <row r="399" spans="1:47">
      <c r="A399" s="459"/>
      <c r="B399" s="459"/>
      <c r="C399" s="459"/>
      <c r="E399" s="461"/>
      <c r="F399" s="461"/>
      <c r="G399" s="461"/>
      <c r="H399" s="461"/>
      <c r="I399" s="462"/>
      <c r="J399" s="462"/>
      <c r="K399" s="462"/>
      <c r="L399" s="462"/>
      <c r="M399" s="462"/>
      <c r="N399" s="463"/>
      <c r="O399" s="464"/>
      <c r="P399" s="463"/>
      <c r="Q399" s="464"/>
      <c r="R399" s="465"/>
      <c r="S399" s="173">
        <f t="shared" si="15"/>
        <v>0</v>
      </c>
      <c r="AT399" s="176" t="e">
        <f>VLOOKUP($E399,RESOURCES!$C:$E,3,FALSE)</f>
        <v>#N/A</v>
      </c>
      <c r="AU399" s="176">
        <f t="shared" si="14"/>
        <v>0</v>
      </c>
    </row>
    <row r="400" spans="1:47">
      <c r="A400" s="459"/>
      <c r="B400" s="459"/>
      <c r="C400" s="459"/>
      <c r="E400" s="461"/>
      <c r="F400" s="461"/>
      <c r="G400" s="461"/>
      <c r="H400" s="461"/>
      <c r="I400" s="462"/>
      <c r="J400" s="462"/>
      <c r="K400" s="462"/>
      <c r="L400" s="462"/>
      <c r="M400" s="462"/>
      <c r="N400" s="463"/>
      <c r="O400" s="464"/>
      <c r="P400" s="463"/>
      <c r="Q400" s="464"/>
      <c r="R400" s="465"/>
      <c r="S400" s="173">
        <f t="shared" si="15"/>
        <v>0</v>
      </c>
      <c r="AT400" s="176" t="e">
        <f>VLOOKUP($E400,RESOURCES!$C:$E,3,FALSE)</f>
        <v>#N/A</v>
      </c>
      <c r="AU400" s="176">
        <f t="shared" si="14"/>
        <v>0</v>
      </c>
    </row>
    <row r="401" spans="1:47">
      <c r="A401" s="459"/>
      <c r="B401" s="459"/>
      <c r="C401" s="459"/>
      <c r="E401" s="461"/>
      <c r="F401" s="461"/>
      <c r="G401" s="461"/>
      <c r="H401" s="461"/>
      <c r="I401" s="462"/>
      <c r="J401" s="462"/>
      <c r="K401" s="462"/>
      <c r="L401" s="462"/>
      <c r="M401" s="462"/>
      <c r="N401" s="463"/>
      <c r="O401" s="464"/>
      <c r="P401" s="463"/>
      <c r="Q401" s="464"/>
      <c r="R401" s="465"/>
      <c r="S401" s="173">
        <f t="shared" si="15"/>
        <v>0</v>
      </c>
      <c r="AT401" s="176" t="e">
        <f>VLOOKUP($E401,RESOURCES!$C:$E,3,FALSE)</f>
        <v>#N/A</v>
      </c>
      <c r="AU401" s="176">
        <f t="shared" si="14"/>
        <v>0</v>
      </c>
    </row>
    <row r="402" spans="1:47">
      <c r="A402" s="459"/>
      <c r="B402" s="459"/>
      <c r="C402" s="459"/>
      <c r="E402" s="461"/>
      <c r="F402" s="461"/>
      <c r="G402" s="461"/>
      <c r="H402" s="461"/>
      <c r="I402" s="462"/>
      <c r="J402" s="462"/>
      <c r="K402" s="462"/>
      <c r="L402" s="462"/>
      <c r="M402" s="462"/>
      <c r="N402" s="463"/>
      <c r="O402" s="464"/>
      <c r="P402" s="463"/>
      <c r="Q402" s="464"/>
      <c r="R402" s="465"/>
      <c r="S402" s="173">
        <f t="shared" si="15"/>
        <v>0</v>
      </c>
      <c r="AT402" s="176" t="e">
        <f>VLOOKUP($E402,RESOURCES!$C:$E,3,FALSE)</f>
        <v>#N/A</v>
      </c>
      <c r="AU402" s="176">
        <f t="shared" si="14"/>
        <v>0</v>
      </c>
    </row>
    <row r="403" spans="1:47">
      <c r="A403" s="459"/>
      <c r="B403" s="459"/>
      <c r="C403" s="459"/>
      <c r="E403" s="461"/>
      <c r="F403" s="461"/>
      <c r="G403" s="461"/>
      <c r="H403" s="461"/>
      <c r="I403" s="462"/>
      <c r="J403" s="462"/>
      <c r="K403" s="462"/>
      <c r="L403" s="462"/>
      <c r="M403" s="462"/>
      <c r="N403" s="463"/>
      <c r="O403" s="464"/>
      <c r="P403" s="463"/>
      <c r="Q403" s="464"/>
      <c r="R403" s="465"/>
      <c r="S403" s="173">
        <f t="shared" si="15"/>
        <v>0</v>
      </c>
      <c r="AT403" s="176" t="e">
        <f>VLOOKUP($E403,RESOURCES!$C:$E,3,FALSE)</f>
        <v>#N/A</v>
      </c>
      <c r="AU403" s="176">
        <f t="shared" si="14"/>
        <v>0</v>
      </c>
    </row>
    <row r="404" spans="1:47">
      <c r="A404" s="459"/>
      <c r="B404" s="459"/>
      <c r="C404" s="459"/>
      <c r="E404" s="461"/>
      <c r="F404" s="461"/>
      <c r="G404" s="461"/>
      <c r="H404" s="461"/>
      <c r="I404" s="462"/>
      <c r="J404" s="462"/>
      <c r="K404" s="462"/>
      <c r="L404" s="462"/>
      <c r="M404" s="462"/>
      <c r="N404" s="463"/>
      <c r="O404" s="464"/>
      <c r="P404" s="463"/>
      <c r="Q404" s="464"/>
      <c r="R404" s="465"/>
      <c r="S404" s="173">
        <f t="shared" si="15"/>
        <v>0</v>
      </c>
      <c r="AT404" s="176" t="e">
        <f>VLOOKUP($E404,RESOURCES!$C:$E,3,FALSE)</f>
        <v>#N/A</v>
      </c>
      <c r="AU404" s="176">
        <f t="shared" si="14"/>
        <v>0</v>
      </c>
    </row>
    <row r="405" spans="1:47">
      <c r="A405" s="459"/>
      <c r="B405" s="459"/>
      <c r="C405" s="459"/>
      <c r="E405" s="461"/>
      <c r="F405" s="461"/>
      <c r="G405" s="461"/>
      <c r="H405" s="461"/>
      <c r="I405" s="462"/>
      <c r="J405" s="462"/>
      <c r="K405" s="462"/>
      <c r="L405" s="462"/>
      <c r="M405" s="462"/>
      <c r="N405" s="463"/>
      <c r="O405" s="464"/>
      <c r="P405" s="463"/>
      <c r="Q405" s="464"/>
      <c r="R405" s="465"/>
      <c r="S405" s="173">
        <f t="shared" si="15"/>
        <v>0</v>
      </c>
      <c r="AT405" s="176" t="e">
        <f>VLOOKUP($E405,RESOURCES!$C:$E,3,FALSE)</f>
        <v>#N/A</v>
      </c>
      <c r="AU405" s="176">
        <f t="shared" si="14"/>
        <v>0</v>
      </c>
    </row>
    <row r="406" spans="1:47">
      <c r="A406" s="459"/>
      <c r="B406" s="459"/>
      <c r="C406" s="459"/>
      <c r="E406" s="461"/>
      <c r="F406" s="461"/>
      <c r="G406" s="461"/>
      <c r="H406" s="461"/>
      <c r="I406" s="462"/>
      <c r="J406" s="462"/>
      <c r="K406" s="462"/>
      <c r="L406" s="462"/>
      <c r="M406" s="462"/>
      <c r="N406" s="463"/>
      <c r="O406" s="464"/>
      <c r="P406" s="463"/>
      <c r="Q406" s="464"/>
      <c r="R406" s="465"/>
      <c r="S406" s="173">
        <f t="shared" si="15"/>
        <v>0</v>
      </c>
      <c r="AT406" s="176" t="e">
        <f>VLOOKUP($E406,RESOURCES!$C:$E,3,FALSE)</f>
        <v>#N/A</v>
      </c>
      <c r="AU406" s="176">
        <f t="shared" si="14"/>
        <v>0</v>
      </c>
    </row>
    <row r="407" spans="1:47">
      <c r="A407" s="459"/>
      <c r="B407" s="459"/>
      <c r="C407" s="459"/>
      <c r="E407" s="461"/>
      <c r="F407" s="461"/>
      <c r="G407" s="461"/>
      <c r="H407" s="461"/>
      <c r="I407" s="462"/>
      <c r="J407" s="462"/>
      <c r="K407" s="462"/>
      <c r="L407" s="462"/>
      <c r="M407" s="462"/>
      <c r="N407" s="463"/>
      <c r="O407" s="464"/>
      <c r="P407" s="463"/>
      <c r="Q407" s="464"/>
      <c r="R407" s="465"/>
      <c r="S407" s="173">
        <f t="shared" si="15"/>
        <v>0</v>
      </c>
      <c r="AT407" s="176" t="e">
        <f>VLOOKUP($E407,RESOURCES!$C:$E,3,FALSE)</f>
        <v>#N/A</v>
      </c>
      <c r="AU407" s="176">
        <f t="shared" si="14"/>
        <v>0</v>
      </c>
    </row>
    <row r="408" spans="1:47">
      <c r="A408" s="459"/>
      <c r="B408" s="459"/>
      <c r="C408" s="459"/>
      <c r="E408" s="461"/>
      <c r="F408" s="461"/>
      <c r="G408" s="461"/>
      <c r="H408" s="461"/>
      <c r="I408" s="462"/>
      <c r="J408" s="462"/>
      <c r="K408" s="462"/>
      <c r="L408" s="462"/>
      <c r="M408" s="462"/>
      <c r="N408" s="463"/>
      <c r="O408" s="464"/>
      <c r="P408" s="463"/>
      <c r="Q408" s="464"/>
      <c r="R408" s="465"/>
      <c r="S408" s="173">
        <f t="shared" si="15"/>
        <v>0</v>
      </c>
      <c r="AT408" s="176" t="e">
        <f>VLOOKUP($E408,RESOURCES!$C:$E,3,FALSE)</f>
        <v>#N/A</v>
      </c>
      <c r="AU408" s="176">
        <f t="shared" si="14"/>
        <v>0</v>
      </c>
    </row>
    <row r="409" spans="1:47">
      <c r="A409" s="459"/>
      <c r="B409" s="459"/>
      <c r="C409" s="459"/>
      <c r="E409" s="461"/>
      <c r="F409" s="461"/>
      <c r="G409" s="461"/>
      <c r="H409" s="461"/>
      <c r="I409" s="462"/>
      <c r="J409" s="462"/>
      <c r="K409" s="462"/>
      <c r="L409" s="462"/>
      <c r="M409" s="462"/>
      <c r="N409" s="463"/>
      <c r="O409" s="464"/>
      <c r="P409" s="463"/>
      <c r="Q409" s="464"/>
      <c r="R409" s="465"/>
      <c r="S409" s="173">
        <f t="shared" si="15"/>
        <v>0</v>
      </c>
      <c r="AT409" s="176" t="e">
        <f>VLOOKUP($E409,RESOURCES!$C:$E,3,FALSE)</f>
        <v>#N/A</v>
      </c>
      <c r="AU409" s="176">
        <f t="shared" si="14"/>
        <v>0</v>
      </c>
    </row>
    <row r="410" spans="1:47">
      <c r="A410" s="459"/>
      <c r="B410" s="459"/>
      <c r="C410" s="459"/>
      <c r="E410" s="461"/>
      <c r="F410" s="461"/>
      <c r="G410" s="461"/>
      <c r="H410" s="461"/>
      <c r="I410" s="462"/>
      <c r="J410" s="462"/>
      <c r="K410" s="462"/>
      <c r="L410" s="462"/>
      <c r="M410" s="462"/>
      <c r="N410" s="463"/>
      <c r="O410" s="464"/>
      <c r="P410" s="463"/>
      <c r="Q410" s="464"/>
      <c r="R410" s="465"/>
      <c r="S410" s="173">
        <f t="shared" si="15"/>
        <v>0</v>
      </c>
      <c r="AT410" s="176" t="e">
        <f>VLOOKUP($E410,RESOURCES!$C:$E,3,FALSE)</f>
        <v>#N/A</v>
      </c>
      <c r="AU410" s="176">
        <f t="shared" si="14"/>
        <v>0</v>
      </c>
    </row>
    <row r="411" spans="1:47">
      <c r="A411" s="459"/>
      <c r="B411" s="459"/>
      <c r="C411" s="459"/>
      <c r="E411" s="461"/>
      <c r="F411" s="461"/>
      <c r="G411" s="461"/>
      <c r="H411" s="461"/>
      <c r="I411" s="462"/>
      <c r="J411" s="462"/>
      <c r="K411" s="462"/>
      <c r="L411" s="462"/>
      <c r="M411" s="462"/>
      <c r="N411" s="463"/>
      <c r="O411" s="464"/>
      <c r="P411" s="463"/>
      <c r="Q411" s="464"/>
      <c r="R411" s="465"/>
      <c r="S411" s="173">
        <f t="shared" si="15"/>
        <v>0</v>
      </c>
      <c r="AT411" s="176" t="e">
        <f>VLOOKUP($E411,RESOURCES!$C:$E,3,FALSE)</f>
        <v>#N/A</v>
      </c>
      <c r="AU411" s="176">
        <f t="shared" si="14"/>
        <v>0</v>
      </c>
    </row>
    <row r="412" spans="1:47">
      <c r="A412" s="459"/>
      <c r="B412" s="459"/>
      <c r="C412" s="459"/>
      <c r="E412" s="461"/>
      <c r="F412" s="461"/>
      <c r="G412" s="461"/>
      <c r="H412" s="461"/>
      <c r="I412" s="462"/>
      <c r="J412" s="462"/>
      <c r="K412" s="462"/>
      <c r="L412" s="462"/>
      <c r="M412" s="462"/>
      <c r="N412" s="463"/>
      <c r="O412" s="464"/>
      <c r="P412" s="463"/>
      <c r="Q412" s="464"/>
      <c r="R412" s="465"/>
      <c r="S412" s="173">
        <f t="shared" si="15"/>
        <v>0</v>
      </c>
      <c r="AT412" s="176" t="e">
        <f>VLOOKUP($E412,RESOURCES!$C:$E,3,FALSE)</f>
        <v>#N/A</v>
      </c>
      <c r="AU412" s="176">
        <f t="shared" si="14"/>
        <v>0</v>
      </c>
    </row>
    <row r="413" spans="1:47">
      <c r="A413" s="459"/>
      <c r="B413" s="459"/>
      <c r="C413" s="459"/>
      <c r="E413" s="461"/>
      <c r="F413" s="461"/>
      <c r="G413" s="461"/>
      <c r="H413" s="461"/>
      <c r="I413" s="462"/>
      <c r="J413" s="462"/>
      <c r="K413" s="462"/>
      <c r="L413" s="462"/>
      <c r="M413" s="462"/>
      <c r="N413" s="463"/>
      <c r="O413" s="464"/>
      <c r="P413" s="463"/>
      <c r="Q413" s="464"/>
      <c r="R413" s="465"/>
      <c r="S413" s="173">
        <f t="shared" si="15"/>
        <v>0</v>
      </c>
      <c r="AT413" s="176" t="e">
        <f>VLOOKUP($E413,RESOURCES!$C:$E,3,FALSE)</f>
        <v>#N/A</v>
      </c>
      <c r="AU413" s="176">
        <f t="shared" si="14"/>
        <v>0</v>
      </c>
    </row>
    <row r="414" spans="1:47">
      <c r="A414" s="459"/>
      <c r="B414" s="459"/>
      <c r="C414" s="459"/>
      <c r="E414" s="461"/>
      <c r="F414" s="461"/>
      <c r="G414" s="461"/>
      <c r="H414" s="461"/>
      <c r="I414" s="462"/>
      <c r="J414" s="462"/>
      <c r="K414" s="462"/>
      <c r="L414" s="462"/>
      <c r="M414" s="462"/>
      <c r="N414" s="463"/>
      <c r="O414" s="464"/>
      <c r="P414" s="463"/>
      <c r="Q414" s="464"/>
      <c r="R414" s="465"/>
      <c r="S414" s="173">
        <f t="shared" si="15"/>
        <v>0</v>
      </c>
      <c r="AT414" s="176" t="e">
        <f>VLOOKUP($E414,RESOURCES!$C:$E,3,FALSE)</f>
        <v>#N/A</v>
      </c>
      <c r="AU414" s="176">
        <f t="shared" si="14"/>
        <v>0</v>
      </c>
    </row>
    <row r="415" spans="1:47">
      <c r="A415" s="459"/>
      <c r="B415" s="459"/>
      <c r="C415" s="459"/>
      <c r="E415" s="461"/>
      <c r="F415" s="461"/>
      <c r="G415" s="461"/>
      <c r="H415" s="461"/>
      <c r="I415" s="462"/>
      <c r="J415" s="462"/>
      <c r="K415" s="462"/>
      <c r="L415" s="462"/>
      <c r="M415" s="462"/>
      <c r="N415" s="463"/>
      <c r="O415" s="464"/>
      <c r="P415" s="463"/>
      <c r="Q415" s="464"/>
      <c r="R415" s="465"/>
      <c r="S415" s="173">
        <f t="shared" si="15"/>
        <v>0</v>
      </c>
      <c r="AT415" s="176" t="e">
        <f>VLOOKUP($E415,RESOURCES!$C:$E,3,FALSE)</f>
        <v>#N/A</v>
      </c>
      <c r="AU415" s="176">
        <f t="shared" si="14"/>
        <v>0</v>
      </c>
    </row>
    <row r="416" spans="1:47">
      <c r="A416" s="459"/>
      <c r="B416" s="459"/>
      <c r="C416" s="459"/>
      <c r="E416" s="461"/>
      <c r="F416" s="461"/>
      <c r="G416" s="461"/>
      <c r="H416" s="461"/>
      <c r="I416" s="462"/>
      <c r="J416" s="462"/>
      <c r="K416" s="462"/>
      <c r="L416" s="462"/>
      <c r="M416" s="462"/>
      <c r="N416" s="463"/>
      <c r="O416" s="464"/>
      <c r="P416" s="463"/>
      <c r="Q416" s="464"/>
      <c r="R416" s="465"/>
      <c r="S416" s="173">
        <f t="shared" si="15"/>
        <v>0</v>
      </c>
      <c r="AT416" s="176" t="e">
        <f>VLOOKUP($E416,RESOURCES!$C:$E,3,FALSE)</f>
        <v>#N/A</v>
      </c>
      <c r="AU416" s="176">
        <f t="shared" si="14"/>
        <v>0</v>
      </c>
    </row>
    <row r="417" spans="1:47">
      <c r="A417" s="459"/>
      <c r="B417" s="459"/>
      <c r="C417" s="459"/>
      <c r="E417" s="461"/>
      <c r="F417" s="461"/>
      <c r="G417" s="461"/>
      <c r="H417" s="461"/>
      <c r="I417" s="462"/>
      <c r="J417" s="462"/>
      <c r="K417" s="462"/>
      <c r="L417" s="462"/>
      <c r="M417" s="462"/>
      <c r="N417" s="463"/>
      <c r="O417" s="464"/>
      <c r="P417" s="463"/>
      <c r="Q417" s="464"/>
      <c r="R417" s="465"/>
      <c r="S417" s="173">
        <f t="shared" si="15"/>
        <v>0</v>
      </c>
      <c r="AT417" s="176" t="e">
        <f>VLOOKUP($E417,RESOURCES!$C:$E,3,FALSE)</f>
        <v>#N/A</v>
      </c>
      <c r="AU417" s="176">
        <f t="shared" si="14"/>
        <v>0</v>
      </c>
    </row>
    <row r="418" spans="1:47">
      <c r="A418" s="459"/>
      <c r="B418" s="459"/>
      <c r="C418" s="459"/>
      <c r="E418" s="461"/>
      <c r="F418" s="461"/>
      <c r="G418" s="461"/>
      <c r="H418" s="461"/>
      <c r="I418" s="462"/>
      <c r="J418" s="462"/>
      <c r="K418" s="462"/>
      <c r="L418" s="462"/>
      <c r="M418" s="462"/>
      <c r="N418" s="463"/>
      <c r="O418" s="464"/>
      <c r="P418" s="463"/>
      <c r="Q418" s="464"/>
      <c r="R418" s="465"/>
      <c r="S418" s="173">
        <f t="shared" si="15"/>
        <v>0</v>
      </c>
      <c r="AT418" s="176" t="e">
        <f>VLOOKUP($E418,RESOURCES!$C:$E,3,FALSE)</f>
        <v>#N/A</v>
      </c>
      <c r="AU418" s="176">
        <f t="shared" si="14"/>
        <v>0</v>
      </c>
    </row>
    <row r="419" spans="1:47">
      <c r="A419" s="459"/>
      <c r="B419" s="459"/>
      <c r="C419" s="459"/>
      <c r="E419" s="461"/>
      <c r="F419" s="461"/>
      <c r="G419" s="461"/>
      <c r="H419" s="461"/>
      <c r="I419" s="462"/>
      <c r="J419" s="462"/>
      <c r="K419" s="462"/>
      <c r="L419" s="462"/>
      <c r="M419" s="462"/>
      <c r="N419" s="463"/>
      <c r="O419" s="464"/>
      <c r="P419" s="463"/>
      <c r="Q419" s="464"/>
      <c r="R419" s="465"/>
      <c r="S419" s="173">
        <f t="shared" si="15"/>
        <v>0</v>
      </c>
      <c r="AT419" s="176" t="e">
        <f>VLOOKUP($E419,RESOURCES!$C:$E,3,FALSE)</f>
        <v>#N/A</v>
      </c>
      <c r="AU419" s="176">
        <f t="shared" si="14"/>
        <v>0</v>
      </c>
    </row>
    <row r="420" spans="1:47">
      <c r="A420" s="459"/>
      <c r="B420" s="459"/>
      <c r="C420" s="459"/>
      <c r="E420" s="461"/>
      <c r="F420" s="461"/>
      <c r="G420" s="461"/>
      <c r="H420" s="461"/>
      <c r="I420" s="462"/>
      <c r="J420" s="462"/>
      <c r="K420" s="462"/>
      <c r="L420" s="462"/>
      <c r="M420" s="462"/>
      <c r="N420" s="463"/>
      <c r="O420" s="464"/>
      <c r="P420" s="463"/>
      <c r="Q420" s="464"/>
      <c r="R420" s="465"/>
      <c r="S420" s="173">
        <f t="shared" si="15"/>
        <v>0</v>
      </c>
      <c r="AT420" s="176" t="e">
        <f>VLOOKUP($E420,RESOURCES!$C:$E,3,FALSE)</f>
        <v>#N/A</v>
      </c>
      <c r="AU420" s="176">
        <f t="shared" si="14"/>
        <v>0</v>
      </c>
    </row>
    <row r="421" spans="1:47">
      <c r="A421" s="459"/>
      <c r="B421" s="459"/>
      <c r="C421" s="459"/>
      <c r="E421" s="461"/>
      <c r="F421" s="461"/>
      <c r="G421" s="461"/>
      <c r="H421" s="461"/>
      <c r="I421" s="462"/>
      <c r="J421" s="462"/>
      <c r="K421" s="462"/>
      <c r="L421" s="462"/>
      <c r="M421" s="462"/>
      <c r="N421" s="463"/>
      <c r="O421" s="464"/>
      <c r="P421" s="463"/>
      <c r="Q421" s="464"/>
      <c r="R421" s="465"/>
      <c r="S421" s="173">
        <f t="shared" si="15"/>
        <v>0</v>
      </c>
      <c r="AT421" s="176" t="e">
        <f>VLOOKUP($E421,RESOURCES!$C:$E,3,FALSE)</f>
        <v>#N/A</v>
      </c>
      <c r="AU421" s="176">
        <f t="shared" si="14"/>
        <v>0</v>
      </c>
    </row>
    <row r="422" spans="1:47">
      <c r="A422" s="459"/>
      <c r="B422" s="459"/>
      <c r="C422" s="459"/>
      <c r="E422" s="461"/>
      <c r="F422" s="461"/>
      <c r="G422" s="461"/>
      <c r="H422" s="461"/>
      <c r="I422" s="462"/>
      <c r="J422" s="462"/>
      <c r="K422" s="462"/>
      <c r="L422" s="462"/>
      <c r="M422" s="462"/>
      <c r="N422" s="463"/>
      <c r="O422" s="464"/>
      <c r="P422" s="463"/>
      <c r="Q422" s="464"/>
      <c r="R422" s="465"/>
      <c r="S422" s="173">
        <f t="shared" si="15"/>
        <v>0</v>
      </c>
      <c r="AT422" s="176" t="e">
        <f>VLOOKUP($E422,RESOURCES!$C:$E,3,FALSE)</f>
        <v>#N/A</v>
      </c>
      <c r="AU422" s="176">
        <f t="shared" si="14"/>
        <v>0</v>
      </c>
    </row>
    <row r="423" spans="1:47">
      <c r="A423" s="459"/>
      <c r="B423" s="459"/>
      <c r="C423" s="459"/>
      <c r="E423" s="461"/>
      <c r="F423" s="461"/>
      <c r="G423" s="461"/>
      <c r="H423" s="461"/>
      <c r="I423" s="462"/>
      <c r="J423" s="462"/>
      <c r="K423" s="462"/>
      <c r="L423" s="462"/>
      <c r="M423" s="462"/>
      <c r="N423" s="463"/>
      <c r="O423" s="464"/>
      <c r="P423" s="463"/>
      <c r="Q423" s="464"/>
      <c r="R423" s="465"/>
      <c r="S423" s="173">
        <f t="shared" si="15"/>
        <v>0</v>
      </c>
      <c r="AT423" s="176" t="e">
        <f>VLOOKUP($E423,RESOURCES!$C:$E,3,FALSE)</f>
        <v>#N/A</v>
      </c>
      <c r="AU423" s="176">
        <f t="shared" si="14"/>
        <v>0</v>
      </c>
    </row>
    <row r="424" spans="1:47">
      <c r="A424" s="459"/>
      <c r="B424" s="459"/>
      <c r="C424" s="459"/>
      <c r="E424" s="461"/>
      <c r="F424" s="461"/>
      <c r="G424" s="461"/>
      <c r="H424" s="461"/>
      <c r="I424" s="462"/>
      <c r="J424" s="462"/>
      <c r="K424" s="462"/>
      <c r="L424" s="462"/>
      <c r="M424" s="462"/>
      <c r="N424" s="463"/>
      <c r="O424" s="464"/>
      <c r="P424" s="463"/>
      <c r="Q424" s="464"/>
      <c r="R424" s="465"/>
      <c r="S424" s="173">
        <f t="shared" si="15"/>
        <v>0</v>
      </c>
      <c r="AT424" s="176" t="e">
        <f>VLOOKUP($E424,RESOURCES!$C:$E,3,FALSE)</f>
        <v>#N/A</v>
      </c>
      <c r="AU424" s="176">
        <f t="shared" si="14"/>
        <v>0</v>
      </c>
    </row>
    <row r="425" spans="1:47">
      <c r="A425" s="459"/>
      <c r="B425" s="459"/>
      <c r="C425" s="459"/>
      <c r="E425" s="461"/>
      <c r="F425" s="461"/>
      <c r="G425" s="461"/>
      <c r="H425" s="461"/>
      <c r="I425" s="462"/>
      <c r="J425" s="462"/>
      <c r="K425" s="462"/>
      <c r="L425" s="462"/>
      <c r="M425" s="462"/>
      <c r="N425" s="463"/>
      <c r="O425" s="464"/>
      <c r="P425" s="463"/>
      <c r="Q425" s="464"/>
      <c r="R425" s="465"/>
      <c r="S425" s="173">
        <f t="shared" si="15"/>
        <v>0</v>
      </c>
      <c r="AT425" s="176" t="e">
        <f>VLOOKUP($E425,RESOURCES!$C:$E,3,FALSE)</f>
        <v>#N/A</v>
      </c>
      <c r="AU425" s="176">
        <f t="shared" si="14"/>
        <v>0</v>
      </c>
    </row>
    <row r="426" spans="1:47">
      <c r="A426" s="459"/>
      <c r="B426" s="459"/>
      <c r="C426" s="459"/>
      <c r="E426" s="461"/>
      <c r="F426" s="461"/>
      <c r="G426" s="461"/>
      <c r="H426" s="461"/>
      <c r="I426" s="462"/>
      <c r="J426" s="462"/>
      <c r="K426" s="462"/>
      <c r="L426" s="462"/>
      <c r="M426" s="462"/>
      <c r="N426" s="463"/>
      <c r="O426" s="464"/>
      <c r="P426" s="463"/>
      <c r="Q426" s="464"/>
      <c r="R426" s="465"/>
      <c r="S426" s="173">
        <f t="shared" si="15"/>
        <v>0</v>
      </c>
      <c r="AT426" s="176" t="e">
        <f>VLOOKUP($E426,RESOURCES!$C:$E,3,FALSE)</f>
        <v>#N/A</v>
      </c>
      <c r="AU426" s="176">
        <f t="shared" si="14"/>
        <v>0</v>
      </c>
    </row>
    <row r="427" spans="1:47">
      <c r="A427" s="459"/>
      <c r="B427" s="459"/>
      <c r="C427" s="459"/>
      <c r="E427" s="461"/>
      <c r="F427" s="461"/>
      <c r="G427" s="461"/>
      <c r="H427" s="461"/>
      <c r="I427" s="462"/>
      <c r="J427" s="462"/>
      <c r="K427" s="462"/>
      <c r="L427" s="462"/>
      <c r="M427" s="462"/>
      <c r="N427" s="463"/>
      <c r="O427" s="464"/>
      <c r="P427" s="463"/>
      <c r="Q427" s="464"/>
      <c r="R427" s="465"/>
      <c r="S427" s="173">
        <f t="shared" si="15"/>
        <v>0</v>
      </c>
      <c r="AT427" s="176" t="e">
        <f>VLOOKUP($E427,RESOURCES!$C:$E,3,FALSE)</f>
        <v>#N/A</v>
      </c>
      <c r="AU427" s="176">
        <f t="shared" si="14"/>
        <v>0</v>
      </c>
    </row>
    <row r="428" spans="1:47">
      <c r="A428" s="459"/>
      <c r="B428" s="459"/>
      <c r="C428" s="459"/>
      <c r="E428" s="461"/>
      <c r="F428" s="461"/>
      <c r="G428" s="461"/>
      <c r="H428" s="461"/>
      <c r="I428" s="462"/>
      <c r="J428" s="462"/>
      <c r="K428" s="462"/>
      <c r="L428" s="462"/>
      <c r="M428" s="462"/>
      <c r="N428" s="463"/>
      <c r="O428" s="464"/>
      <c r="P428" s="463"/>
      <c r="Q428" s="464"/>
      <c r="R428" s="465"/>
      <c r="S428" s="173">
        <f t="shared" si="15"/>
        <v>0</v>
      </c>
      <c r="AT428" s="176" t="e">
        <f>VLOOKUP($E428,RESOURCES!$C:$E,3,FALSE)</f>
        <v>#N/A</v>
      </c>
      <c r="AU428" s="176">
        <f t="shared" si="14"/>
        <v>0</v>
      </c>
    </row>
    <row r="429" spans="1:47">
      <c r="A429" s="459"/>
      <c r="B429" s="459"/>
      <c r="C429" s="459"/>
      <c r="E429" s="461"/>
      <c r="F429" s="461"/>
      <c r="G429" s="461"/>
      <c r="H429" s="461"/>
      <c r="I429" s="462"/>
      <c r="J429" s="462"/>
      <c r="K429" s="462"/>
      <c r="L429" s="462"/>
      <c r="M429" s="462"/>
      <c r="N429" s="463"/>
      <c r="O429" s="464"/>
      <c r="P429" s="463"/>
      <c r="Q429" s="464"/>
      <c r="R429" s="465"/>
      <c r="S429" s="173">
        <f t="shared" si="15"/>
        <v>0</v>
      </c>
      <c r="AT429" s="176" t="e">
        <f>VLOOKUP($E429,RESOURCES!$C:$E,3,FALSE)</f>
        <v>#N/A</v>
      </c>
      <c r="AU429" s="176">
        <f t="shared" si="14"/>
        <v>0</v>
      </c>
    </row>
    <row r="430" spans="1:47">
      <c r="A430" s="459"/>
      <c r="B430" s="459"/>
      <c r="C430" s="459"/>
      <c r="E430" s="461"/>
      <c r="F430" s="461"/>
      <c r="G430" s="461"/>
      <c r="H430" s="461"/>
      <c r="I430" s="462"/>
      <c r="J430" s="462"/>
      <c r="K430" s="462"/>
      <c r="L430" s="462"/>
      <c r="M430" s="462"/>
      <c r="N430" s="463"/>
      <c r="O430" s="464"/>
      <c r="P430" s="463"/>
      <c r="Q430" s="464"/>
      <c r="R430" s="465"/>
      <c r="S430" s="173">
        <f t="shared" si="15"/>
        <v>0</v>
      </c>
      <c r="AT430" s="176" t="e">
        <f>VLOOKUP($E430,RESOURCES!$C:$E,3,FALSE)</f>
        <v>#N/A</v>
      </c>
      <c r="AU430" s="176">
        <f t="shared" si="14"/>
        <v>0</v>
      </c>
    </row>
    <row r="431" spans="1:47">
      <c r="A431" s="459"/>
      <c r="B431" s="459"/>
      <c r="C431" s="459"/>
      <c r="E431" s="461"/>
      <c r="F431" s="461"/>
      <c r="G431" s="461"/>
      <c r="H431" s="461"/>
      <c r="I431" s="462"/>
      <c r="J431" s="462"/>
      <c r="K431" s="462"/>
      <c r="L431" s="462"/>
      <c r="M431" s="462"/>
      <c r="N431" s="463"/>
      <c r="O431" s="464"/>
      <c r="P431" s="463"/>
      <c r="Q431" s="464"/>
      <c r="R431" s="465"/>
      <c r="S431" s="173">
        <f t="shared" si="15"/>
        <v>0</v>
      </c>
      <c r="AT431" s="176" t="e">
        <f>VLOOKUP($E431,RESOURCES!$C:$E,3,FALSE)</f>
        <v>#N/A</v>
      </c>
      <c r="AU431" s="176">
        <f t="shared" si="14"/>
        <v>0</v>
      </c>
    </row>
    <row r="432" spans="1:47">
      <c r="A432" s="459"/>
      <c r="B432" s="459"/>
      <c r="C432" s="459"/>
      <c r="E432" s="461"/>
      <c r="F432" s="461"/>
      <c r="G432" s="461"/>
      <c r="H432" s="461"/>
      <c r="I432" s="462"/>
      <c r="J432" s="462"/>
      <c r="K432" s="462"/>
      <c r="L432" s="462"/>
      <c r="M432" s="462"/>
      <c r="N432" s="463"/>
      <c r="O432" s="464"/>
      <c r="P432" s="463"/>
      <c r="Q432" s="464"/>
      <c r="R432" s="465"/>
      <c r="S432" s="173">
        <f t="shared" si="15"/>
        <v>0</v>
      </c>
      <c r="AT432" s="176" t="e">
        <f>VLOOKUP($E432,RESOURCES!$C:$E,3,FALSE)</f>
        <v>#N/A</v>
      </c>
      <c r="AU432" s="176">
        <f t="shared" si="14"/>
        <v>0</v>
      </c>
    </row>
    <row r="433" spans="1:47">
      <c r="A433" s="459"/>
      <c r="B433" s="459"/>
      <c r="C433" s="459"/>
      <c r="E433" s="461"/>
      <c r="F433" s="461"/>
      <c r="G433" s="461"/>
      <c r="H433" s="461"/>
      <c r="I433" s="462"/>
      <c r="J433" s="462"/>
      <c r="K433" s="462"/>
      <c r="L433" s="462"/>
      <c r="M433" s="462"/>
      <c r="N433" s="463"/>
      <c r="O433" s="464"/>
      <c r="P433" s="463"/>
      <c r="Q433" s="464"/>
      <c r="R433" s="465"/>
      <c r="S433" s="173">
        <f t="shared" si="15"/>
        <v>0</v>
      </c>
      <c r="AT433" s="176" t="e">
        <f>VLOOKUP($E433,RESOURCES!$C:$E,3,FALSE)</f>
        <v>#N/A</v>
      </c>
      <c r="AU433" s="176">
        <f t="shared" si="14"/>
        <v>0</v>
      </c>
    </row>
    <row r="434" spans="1:47">
      <c r="A434" s="459"/>
      <c r="B434" s="459"/>
      <c r="C434" s="459"/>
      <c r="E434" s="461"/>
      <c r="F434" s="461"/>
      <c r="G434" s="461"/>
      <c r="H434" s="461"/>
      <c r="I434" s="462"/>
      <c r="J434" s="462"/>
      <c r="K434" s="462"/>
      <c r="L434" s="462"/>
      <c r="M434" s="462"/>
      <c r="N434" s="463"/>
      <c r="O434" s="464"/>
      <c r="P434" s="463"/>
      <c r="Q434" s="464"/>
      <c r="R434" s="465"/>
      <c r="S434" s="173">
        <f t="shared" si="15"/>
        <v>0</v>
      </c>
      <c r="AT434" s="176" t="e">
        <f>VLOOKUP($E434,RESOURCES!$C:$E,3,FALSE)</f>
        <v>#N/A</v>
      </c>
      <c r="AU434" s="176">
        <f t="shared" si="14"/>
        <v>0</v>
      </c>
    </row>
    <row r="435" spans="1:47">
      <c r="A435" s="459"/>
      <c r="B435" s="459"/>
      <c r="C435" s="459"/>
      <c r="E435" s="461"/>
      <c r="F435" s="461"/>
      <c r="G435" s="461"/>
      <c r="H435" s="461"/>
      <c r="I435" s="462"/>
      <c r="J435" s="462"/>
      <c r="K435" s="462"/>
      <c r="L435" s="462"/>
      <c r="M435" s="462"/>
      <c r="N435" s="463"/>
      <c r="O435" s="464"/>
      <c r="P435" s="463"/>
      <c r="Q435" s="464"/>
      <c r="R435" s="465"/>
      <c r="S435" s="173">
        <f t="shared" si="15"/>
        <v>0</v>
      </c>
      <c r="AT435" s="176" t="e">
        <f>VLOOKUP($E435,RESOURCES!$C:$E,3,FALSE)</f>
        <v>#N/A</v>
      </c>
      <c r="AU435" s="176">
        <f t="shared" si="14"/>
        <v>0</v>
      </c>
    </row>
    <row r="436" spans="1:47">
      <c r="A436" s="459"/>
      <c r="B436" s="459"/>
      <c r="C436" s="459"/>
      <c r="E436" s="461"/>
      <c r="F436" s="461"/>
      <c r="G436" s="461"/>
      <c r="H436" s="461"/>
      <c r="I436" s="462"/>
      <c r="J436" s="462"/>
      <c r="K436" s="462"/>
      <c r="L436" s="462"/>
      <c r="M436" s="462"/>
      <c r="N436" s="463"/>
      <c r="O436" s="464"/>
      <c r="P436" s="463"/>
      <c r="Q436" s="464"/>
      <c r="R436" s="465"/>
      <c r="S436" s="173">
        <f t="shared" si="15"/>
        <v>0</v>
      </c>
      <c r="AT436" s="176" t="e">
        <f>VLOOKUP($E436,RESOURCES!$C:$E,3,FALSE)</f>
        <v>#N/A</v>
      </c>
      <c r="AU436" s="176">
        <f t="shared" si="14"/>
        <v>0</v>
      </c>
    </row>
    <row r="437" spans="1:47">
      <c r="A437" s="459"/>
      <c r="B437" s="459"/>
      <c r="C437" s="459"/>
      <c r="E437" s="461"/>
      <c r="F437" s="461"/>
      <c r="G437" s="461"/>
      <c r="H437" s="461"/>
      <c r="I437" s="462"/>
      <c r="J437" s="462"/>
      <c r="K437" s="462"/>
      <c r="L437" s="462"/>
      <c r="M437" s="462"/>
      <c r="N437" s="463"/>
      <c r="O437" s="464"/>
      <c r="P437" s="463"/>
      <c r="Q437" s="464"/>
      <c r="R437" s="465"/>
      <c r="S437" s="173">
        <f t="shared" si="15"/>
        <v>0</v>
      </c>
      <c r="AT437" s="176" t="e">
        <f>VLOOKUP($E437,RESOURCES!$C:$E,3,FALSE)</f>
        <v>#N/A</v>
      </c>
      <c r="AU437" s="176">
        <f t="shared" si="14"/>
        <v>0</v>
      </c>
    </row>
    <row r="438" spans="1:47">
      <c r="A438" s="459"/>
      <c r="B438" s="459"/>
      <c r="C438" s="459"/>
      <c r="E438" s="461"/>
      <c r="F438" s="461"/>
      <c r="G438" s="461"/>
      <c r="H438" s="461"/>
      <c r="I438" s="462"/>
      <c r="J438" s="462"/>
      <c r="K438" s="462"/>
      <c r="L438" s="462"/>
      <c r="M438" s="462"/>
      <c r="N438" s="463"/>
      <c r="O438" s="464"/>
      <c r="P438" s="463"/>
      <c r="Q438" s="464"/>
      <c r="R438" s="465"/>
      <c r="S438" s="173">
        <f t="shared" si="15"/>
        <v>0</v>
      </c>
      <c r="AT438" s="176" t="e">
        <f>VLOOKUP($E438,RESOURCES!$C:$E,3,FALSE)</f>
        <v>#N/A</v>
      </c>
      <c r="AU438" s="176">
        <f t="shared" si="14"/>
        <v>0</v>
      </c>
    </row>
    <row r="439" spans="1:47">
      <c r="A439" s="459"/>
      <c r="B439" s="459"/>
      <c r="C439" s="459"/>
      <c r="E439" s="461"/>
      <c r="F439" s="461"/>
      <c r="G439" s="461"/>
      <c r="H439" s="461"/>
      <c r="I439" s="462"/>
      <c r="J439" s="462"/>
      <c r="K439" s="462"/>
      <c r="L439" s="462"/>
      <c r="M439" s="462"/>
      <c r="N439" s="463"/>
      <c r="O439" s="464"/>
      <c r="P439" s="463"/>
      <c r="Q439" s="464"/>
      <c r="R439" s="465"/>
      <c r="S439" s="173">
        <f t="shared" si="15"/>
        <v>0</v>
      </c>
      <c r="AT439" s="176" t="e">
        <f>VLOOKUP($E439,RESOURCES!$C:$E,3,FALSE)</f>
        <v>#N/A</v>
      </c>
      <c r="AU439" s="176">
        <f t="shared" si="14"/>
        <v>0</v>
      </c>
    </row>
    <row r="440" spans="1:47">
      <c r="A440" s="459"/>
      <c r="B440" s="459"/>
      <c r="C440" s="459"/>
      <c r="E440" s="461"/>
      <c r="F440" s="461"/>
      <c r="G440" s="461"/>
      <c r="H440" s="461"/>
      <c r="I440" s="462"/>
      <c r="J440" s="462"/>
      <c r="K440" s="462"/>
      <c r="L440" s="462"/>
      <c r="M440" s="462"/>
      <c r="N440" s="463"/>
      <c r="O440" s="464"/>
      <c r="P440" s="463"/>
      <c r="Q440" s="464"/>
      <c r="R440" s="465"/>
      <c r="S440" s="173">
        <f t="shared" si="15"/>
        <v>0</v>
      </c>
      <c r="AT440" s="176" t="e">
        <f>VLOOKUP($E440,RESOURCES!$C:$E,3,FALSE)</f>
        <v>#N/A</v>
      </c>
      <c r="AU440" s="176">
        <f t="shared" si="14"/>
        <v>0</v>
      </c>
    </row>
    <row r="441" spans="1:47">
      <c r="A441" s="459"/>
      <c r="B441" s="459"/>
      <c r="C441" s="459"/>
      <c r="E441" s="461"/>
      <c r="F441" s="461"/>
      <c r="G441" s="461"/>
      <c r="H441" s="461"/>
      <c r="I441" s="462"/>
      <c r="J441" s="462"/>
      <c r="K441" s="462"/>
      <c r="L441" s="462"/>
      <c r="M441" s="462"/>
      <c r="N441" s="463"/>
      <c r="O441" s="464"/>
      <c r="P441" s="463"/>
      <c r="Q441" s="464"/>
      <c r="R441" s="465"/>
      <c r="S441" s="173">
        <f t="shared" si="15"/>
        <v>0</v>
      </c>
      <c r="AT441" s="176" t="e">
        <f>VLOOKUP($E441,RESOURCES!$C:$E,3,FALSE)</f>
        <v>#N/A</v>
      </c>
      <c r="AU441" s="176">
        <f t="shared" si="14"/>
        <v>0</v>
      </c>
    </row>
    <row r="442" spans="1:47">
      <c r="A442" s="459"/>
      <c r="B442" s="459"/>
      <c r="C442" s="459"/>
      <c r="E442" s="461"/>
      <c r="F442" s="461"/>
      <c r="G442" s="461"/>
      <c r="H442" s="461"/>
      <c r="I442" s="462"/>
      <c r="J442" s="462"/>
      <c r="K442" s="462"/>
      <c r="L442" s="462"/>
      <c r="M442" s="462"/>
      <c r="N442" s="463"/>
      <c r="O442" s="464"/>
      <c r="P442" s="463"/>
      <c r="Q442" s="464"/>
      <c r="R442" s="465"/>
      <c r="S442" s="173">
        <f t="shared" si="15"/>
        <v>0</v>
      </c>
      <c r="AT442" s="176" t="e">
        <f>VLOOKUP($E442,RESOURCES!$C:$E,3,FALSE)</f>
        <v>#N/A</v>
      </c>
      <c r="AU442" s="176">
        <f t="shared" si="14"/>
        <v>0</v>
      </c>
    </row>
    <row r="443" spans="1:47">
      <c r="A443" s="459"/>
      <c r="B443" s="459"/>
      <c r="C443" s="459"/>
      <c r="E443" s="461"/>
      <c r="F443" s="461"/>
      <c r="G443" s="461"/>
      <c r="H443" s="461"/>
      <c r="I443" s="462"/>
      <c r="J443" s="462"/>
      <c r="K443" s="462"/>
      <c r="L443" s="462"/>
      <c r="M443" s="462"/>
      <c r="N443" s="463"/>
      <c r="O443" s="464"/>
      <c r="P443" s="463"/>
      <c r="Q443" s="464"/>
      <c r="R443" s="465"/>
      <c r="S443" s="173">
        <f t="shared" si="15"/>
        <v>0</v>
      </c>
      <c r="AT443" s="176" t="e">
        <f>VLOOKUP($E443,RESOURCES!$C:$E,3,FALSE)</f>
        <v>#N/A</v>
      </c>
      <c r="AU443" s="176">
        <f t="shared" si="14"/>
        <v>0</v>
      </c>
    </row>
    <row r="444" spans="1:47">
      <c r="A444" s="459"/>
      <c r="B444" s="459"/>
      <c r="C444" s="459"/>
      <c r="E444" s="461"/>
      <c r="F444" s="461"/>
      <c r="G444" s="461"/>
      <c r="H444" s="461"/>
      <c r="I444" s="462"/>
      <c r="J444" s="462"/>
      <c r="K444" s="462"/>
      <c r="L444" s="462"/>
      <c r="M444" s="462"/>
      <c r="N444" s="463"/>
      <c r="O444" s="464"/>
      <c r="P444" s="463"/>
      <c r="Q444" s="464"/>
      <c r="R444" s="465"/>
      <c r="S444" s="173">
        <f t="shared" si="15"/>
        <v>0</v>
      </c>
      <c r="AT444" s="176" t="e">
        <f>VLOOKUP($E444,RESOURCES!$C:$E,3,FALSE)</f>
        <v>#N/A</v>
      </c>
      <c r="AU444" s="176">
        <f t="shared" si="14"/>
        <v>0</v>
      </c>
    </row>
    <row r="445" spans="1:47">
      <c r="A445" s="459"/>
      <c r="B445" s="459"/>
      <c r="C445" s="459"/>
      <c r="E445" s="461"/>
      <c r="F445" s="461"/>
      <c r="G445" s="461"/>
      <c r="H445" s="461"/>
      <c r="I445" s="462"/>
      <c r="J445" s="462"/>
      <c r="K445" s="462"/>
      <c r="L445" s="462"/>
      <c r="M445" s="462"/>
      <c r="N445" s="463"/>
      <c r="O445" s="464"/>
      <c r="P445" s="463"/>
      <c r="Q445" s="464"/>
      <c r="R445" s="465"/>
      <c r="S445" s="173">
        <f t="shared" si="15"/>
        <v>0</v>
      </c>
      <c r="AT445" s="176" t="e">
        <f>VLOOKUP($E445,RESOURCES!$C:$E,3,FALSE)</f>
        <v>#N/A</v>
      </c>
      <c r="AU445" s="176">
        <f t="shared" si="14"/>
        <v>0</v>
      </c>
    </row>
    <row r="446" spans="1:47">
      <c r="A446" s="459"/>
      <c r="B446" s="459"/>
      <c r="C446" s="459"/>
      <c r="E446" s="461"/>
      <c r="F446" s="461"/>
      <c r="G446" s="461"/>
      <c r="H446" s="461"/>
      <c r="I446" s="462"/>
      <c r="J446" s="462"/>
      <c r="K446" s="462"/>
      <c r="L446" s="462"/>
      <c r="M446" s="462"/>
      <c r="N446" s="463"/>
      <c r="O446" s="464"/>
      <c r="P446" s="463"/>
      <c r="Q446" s="464"/>
      <c r="R446" s="465"/>
      <c r="S446" s="173">
        <f t="shared" si="15"/>
        <v>0</v>
      </c>
      <c r="AT446" s="176" t="e">
        <f>VLOOKUP($E446,RESOURCES!$C:$E,3,FALSE)</f>
        <v>#N/A</v>
      </c>
      <c r="AU446" s="176">
        <f t="shared" si="14"/>
        <v>0</v>
      </c>
    </row>
    <row r="447" spans="1:47">
      <c r="A447" s="459"/>
      <c r="B447" s="459"/>
      <c r="C447" s="459"/>
      <c r="E447" s="461"/>
      <c r="F447" s="461"/>
      <c r="G447" s="461"/>
      <c r="H447" s="461"/>
      <c r="I447" s="462"/>
      <c r="J447" s="462"/>
      <c r="K447" s="462"/>
      <c r="L447" s="462"/>
      <c r="M447" s="462"/>
      <c r="N447" s="463"/>
      <c r="O447" s="464"/>
      <c r="P447" s="463"/>
      <c r="Q447" s="464"/>
      <c r="R447" s="465"/>
      <c r="S447" s="173">
        <f t="shared" si="15"/>
        <v>0</v>
      </c>
      <c r="AT447" s="176" t="e">
        <f>VLOOKUP($E447,RESOURCES!$C:$E,3,FALSE)</f>
        <v>#N/A</v>
      </c>
      <c r="AU447" s="176">
        <f t="shared" si="14"/>
        <v>0</v>
      </c>
    </row>
    <row r="448" spans="1:47">
      <c r="A448" s="459"/>
      <c r="B448" s="459"/>
      <c r="C448" s="459"/>
      <c r="E448" s="461"/>
      <c r="F448" s="461"/>
      <c r="G448" s="461"/>
      <c r="H448" s="461"/>
      <c r="I448" s="462"/>
      <c r="J448" s="462"/>
      <c r="K448" s="462"/>
      <c r="L448" s="462"/>
      <c r="M448" s="462"/>
      <c r="N448" s="463"/>
      <c r="O448" s="464"/>
      <c r="P448" s="463"/>
      <c r="Q448" s="464"/>
      <c r="R448" s="465"/>
      <c r="S448" s="173">
        <f t="shared" si="15"/>
        <v>0</v>
      </c>
      <c r="AT448" s="176" t="e">
        <f>VLOOKUP($E448,RESOURCES!$C:$E,3,FALSE)</f>
        <v>#N/A</v>
      </c>
      <c r="AU448" s="176">
        <f t="shared" si="14"/>
        <v>0</v>
      </c>
    </row>
    <row r="449" spans="1:47">
      <c r="A449" s="459"/>
      <c r="B449" s="459"/>
      <c r="C449" s="459"/>
      <c r="E449" s="461"/>
      <c r="F449" s="461"/>
      <c r="G449" s="461"/>
      <c r="H449" s="461"/>
      <c r="I449" s="462"/>
      <c r="J449" s="462"/>
      <c r="K449" s="462"/>
      <c r="L449" s="462"/>
      <c r="M449" s="462"/>
      <c r="N449" s="463"/>
      <c r="O449" s="464"/>
      <c r="P449" s="463"/>
      <c r="Q449" s="464"/>
      <c r="R449" s="465"/>
      <c r="S449" s="173">
        <f t="shared" si="15"/>
        <v>0</v>
      </c>
      <c r="AT449" s="176" t="e">
        <f>VLOOKUP($E449,RESOURCES!$C:$E,3,FALSE)</f>
        <v>#N/A</v>
      </c>
      <c r="AU449" s="176">
        <f t="shared" si="14"/>
        <v>0</v>
      </c>
    </row>
    <row r="450" spans="1:47">
      <c r="A450" s="459"/>
      <c r="B450" s="459"/>
      <c r="C450" s="459"/>
      <c r="E450" s="461"/>
      <c r="F450" s="461"/>
      <c r="G450" s="461"/>
      <c r="H450" s="461"/>
      <c r="I450" s="462"/>
      <c r="J450" s="462"/>
      <c r="K450" s="462"/>
      <c r="L450" s="462"/>
      <c r="M450" s="462"/>
      <c r="N450" s="463"/>
      <c r="O450" s="464"/>
      <c r="P450" s="463"/>
      <c r="Q450" s="464"/>
      <c r="R450" s="465"/>
      <c r="S450" s="173">
        <f t="shared" si="15"/>
        <v>0</v>
      </c>
      <c r="AT450" s="176" t="e">
        <f>VLOOKUP($E450,RESOURCES!$C:$E,3,FALSE)</f>
        <v>#N/A</v>
      </c>
      <c r="AU450" s="176">
        <f t="shared" si="14"/>
        <v>0</v>
      </c>
    </row>
    <row r="451" spans="1:47">
      <c r="A451" s="459"/>
      <c r="B451" s="459"/>
      <c r="C451" s="459"/>
      <c r="E451" s="461"/>
      <c r="F451" s="461"/>
      <c r="G451" s="461"/>
      <c r="H451" s="461"/>
      <c r="I451" s="462"/>
      <c r="J451" s="462"/>
      <c r="K451" s="462"/>
      <c r="L451" s="462"/>
      <c r="M451" s="462"/>
      <c r="N451" s="463"/>
      <c r="O451" s="464"/>
      <c r="P451" s="463"/>
      <c r="Q451" s="464"/>
      <c r="R451" s="465"/>
      <c r="S451" s="173">
        <f t="shared" si="15"/>
        <v>0</v>
      </c>
      <c r="AT451" s="176" t="e">
        <f>VLOOKUP($E451,RESOURCES!$C:$E,3,FALSE)</f>
        <v>#N/A</v>
      </c>
      <c r="AU451" s="176">
        <f t="shared" si="14"/>
        <v>0</v>
      </c>
    </row>
    <row r="452" spans="1:47">
      <c r="A452" s="459"/>
      <c r="B452" s="459"/>
      <c r="C452" s="459"/>
      <c r="E452" s="461"/>
      <c r="F452" s="461"/>
      <c r="G452" s="461"/>
      <c r="H452" s="461"/>
      <c r="I452" s="462"/>
      <c r="J452" s="462"/>
      <c r="K452" s="462"/>
      <c r="L452" s="462"/>
      <c r="M452" s="462"/>
      <c r="N452" s="463"/>
      <c r="O452" s="464"/>
      <c r="P452" s="463"/>
      <c r="Q452" s="464"/>
      <c r="R452" s="465"/>
      <c r="S452" s="173">
        <f t="shared" si="15"/>
        <v>0</v>
      </c>
      <c r="AT452" s="176" t="e">
        <f>VLOOKUP($E452,RESOURCES!$C:$E,3,FALSE)</f>
        <v>#N/A</v>
      </c>
      <c r="AU452" s="176">
        <f t="shared" si="14"/>
        <v>0</v>
      </c>
    </row>
    <row r="453" spans="1:47">
      <c r="A453" s="459"/>
      <c r="B453" s="459"/>
      <c r="C453" s="459"/>
      <c r="E453" s="461"/>
      <c r="F453" s="461"/>
      <c r="G453" s="461"/>
      <c r="H453" s="461"/>
      <c r="I453" s="462"/>
      <c r="J453" s="462"/>
      <c r="K453" s="462"/>
      <c r="L453" s="462"/>
      <c r="M453" s="462"/>
      <c r="N453" s="463"/>
      <c r="O453" s="464"/>
      <c r="P453" s="463"/>
      <c r="Q453" s="464"/>
      <c r="R453" s="465"/>
      <c r="S453" s="173">
        <f t="shared" si="15"/>
        <v>0</v>
      </c>
      <c r="AT453" s="176" t="e">
        <f>VLOOKUP($E453,RESOURCES!$C:$E,3,FALSE)</f>
        <v>#N/A</v>
      </c>
      <c r="AU453" s="176">
        <f t="shared" ref="AU453:AU516" si="16">C453</f>
        <v>0</v>
      </c>
    </row>
    <row r="454" spans="1:47">
      <c r="A454" s="459"/>
      <c r="B454" s="459"/>
      <c r="C454" s="459"/>
      <c r="E454" s="461"/>
      <c r="F454" s="461"/>
      <c r="G454" s="461"/>
      <c r="H454" s="461"/>
      <c r="I454" s="462"/>
      <c r="J454" s="462"/>
      <c r="K454" s="462"/>
      <c r="L454" s="462"/>
      <c r="M454" s="462"/>
      <c r="N454" s="463"/>
      <c r="O454" s="464"/>
      <c r="P454" s="463"/>
      <c r="Q454" s="464"/>
      <c r="R454" s="465"/>
      <c r="S454" s="173">
        <f t="shared" si="15"/>
        <v>0</v>
      </c>
      <c r="AT454" s="176" t="e">
        <f>VLOOKUP($E454,RESOURCES!$C:$E,3,FALSE)</f>
        <v>#N/A</v>
      </c>
      <c r="AU454" s="176">
        <f t="shared" si="16"/>
        <v>0</v>
      </c>
    </row>
    <row r="455" spans="1:47">
      <c r="A455" s="459"/>
      <c r="B455" s="459"/>
      <c r="C455" s="459"/>
      <c r="E455" s="461"/>
      <c r="F455" s="461"/>
      <c r="G455" s="461"/>
      <c r="H455" s="461"/>
      <c r="I455" s="462"/>
      <c r="J455" s="462"/>
      <c r="K455" s="462"/>
      <c r="L455" s="462"/>
      <c r="M455" s="462"/>
      <c r="N455" s="463"/>
      <c r="O455" s="464"/>
      <c r="P455" s="463"/>
      <c r="Q455" s="464"/>
      <c r="R455" s="465"/>
      <c r="S455" s="173">
        <f t="shared" si="15"/>
        <v>0</v>
      </c>
      <c r="AT455" s="176" t="e">
        <f>VLOOKUP($E455,RESOURCES!$C:$E,3,FALSE)</f>
        <v>#N/A</v>
      </c>
      <c r="AU455" s="176">
        <f t="shared" si="16"/>
        <v>0</v>
      </c>
    </row>
    <row r="456" spans="1:47">
      <c r="A456" s="459"/>
      <c r="B456" s="459"/>
      <c r="C456" s="459"/>
      <c r="E456" s="461"/>
      <c r="F456" s="461"/>
      <c r="G456" s="461"/>
      <c r="H456" s="461"/>
      <c r="I456" s="462"/>
      <c r="J456" s="462"/>
      <c r="K456" s="462"/>
      <c r="L456" s="462"/>
      <c r="M456" s="462"/>
      <c r="N456" s="463"/>
      <c r="O456" s="464"/>
      <c r="P456" s="463"/>
      <c r="Q456" s="464"/>
      <c r="R456" s="465"/>
      <c r="S456" s="173">
        <f t="shared" si="15"/>
        <v>0</v>
      </c>
      <c r="AT456" s="176" t="e">
        <f>VLOOKUP($E456,RESOURCES!$C:$E,3,FALSE)</f>
        <v>#N/A</v>
      </c>
      <c r="AU456" s="176">
        <f t="shared" si="16"/>
        <v>0</v>
      </c>
    </row>
    <row r="457" spans="1:47">
      <c r="A457" s="459"/>
      <c r="B457" s="459"/>
      <c r="C457" s="459"/>
      <c r="E457" s="461"/>
      <c r="F457" s="461"/>
      <c r="G457" s="461"/>
      <c r="H457" s="461"/>
      <c r="I457" s="462"/>
      <c r="J457" s="462"/>
      <c r="K457" s="462"/>
      <c r="L457" s="462"/>
      <c r="M457" s="462"/>
      <c r="N457" s="463"/>
      <c r="O457" s="464"/>
      <c r="P457" s="463"/>
      <c r="Q457" s="464"/>
      <c r="R457" s="465"/>
      <c r="S457" s="173">
        <f t="shared" si="15"/>
        <v>0</v>
      </c>
      <c r="AT457" s="176" t="e">
        <f>VLOOKUP($E457,RESOURCES!$C:$E,3,FALSE)</f>
        <v>#N/A</v>
      </c>
      <c r="AU457" s="176">
        <f t="shared" si="16"/>
        <v>0</v>
      </c>
    </row>
    <row r="458" spans="1:47">
      <c r="A458" s="459"/>
      <c r="B458" s="459"/>
      <c r="C458" s="459"/>
      <c r="E458" s="461"/>
      <c r="F458" s="461"/>
      <c r="G458" s="461"/>
      <c r="H458" s="461"/>
      <c r="I458" s="462"/>
      <c r="J458" s="462"/>
      <c r="K458" s="462"/>
      <c r="L458" s="462"/>
      <c r="M458" s="462"/>
      <c r="N458" s="463"/>
      <c r="O458" s="464"/>
      <c r="P458" s="463"/>
      <c r="Q458" s="464"/>
      <c r="R458" s="465"/>
      <c r="S458" s="173">
        <f t="shared" si="15"/>
        <v>0</v>
      </c>
      <c r="AT458" s="176" t="e">
        <f>VLOOKUP($E458,RESOURCES!$C:$E,3,FALSE)</f>
        <v>#N/A</v>
      </c>
      <c r="AU458" s="176">
        <f t="shared" si="16"/>
        <v>0</v>
      </c>
    </row>
    <row r="459" spans="1:47">
      <c r="A459" s="459"/>
      <c r="B459" s="459"/>
      <c r="C459" s="459"/>
      <c r="E459" s="461"/>
      <c r="F459" s="461"/>
      <c r="G459" s="461"/>
      <c r="H459" s="461"/>
      <c r="I459" s="462"/>
      <c r="J459" s="462"/>
      <c r="K459" s="462"/>
      <c r="L459" s="462"/>
      <c r="M459" s="462"/>
      <c r="N459" s="463"/>
      <c r="O459" s="464"/>
      <c r="P459" s="463"/>
      <c r="Q459" s="464"/>
      <c r="R459" s="465"/>
      <c r="S459" s="173">
        <f t="shared" si="15"/>
        <v>0</v>
      </c>
      <c r="AT459" s="176" t="e">
        <f>VLOOKUP($E459,RESOURCES!$C:$E,3,FALSE)</f>
        <v>#N/A</v>
      </c>
      <c r="AU459" s="176">
        <f t="shared" si="16"/>
        <v>0</v>
      </c>
    </row>
    <row r="460" spans="1:47">
      <c r="A460" s="459"/>
      <c r="B460" s="459"/>
      <c r="C460" s="459"/>
      <c r="E460" s="461"/>
      <c r="F460" s="461"/>
      <c r="G460" s="461"/>
      <c r="H460" s="461"/>
      <c r="I460" s="462"/>
      <c r="J460" s="462"/>
      <c r="K460" s="462"/>
      <c r="L460" s="462"/>
      <c r="M460" s="462"/>
      <c r="N460" s="463"/>
      <c r="O460" s="464"/>
      <c r="P460" s="463"/>
      <c r="Q460" s="464"/>
      <c r="R460" s="465"/>
      <c r="S460" s="173">
        <f t="shared" si="15"/>
        <v>0</v>
      </c>
      <c r="AT460" s="176" t="e">
        <f>VLOOKUP($E460,RESOURCES!$C:$E,3,FALSE)</f>
        <v>#N/A</v>
      </c>
      <c r="AU460" s="176">
        <f t="shared" si="16"/>
        <v>0</v>
      </c>
    </row>
    <row r="461" spans="1:47">
      <c r="A461" s="459"/>
      <c r="B461" s="459"/>
      <c r="C461" s="459"/>
      <c r="E461" s="461"/>
      <c r="F461" s="461"/>
      <c r="G461" s="461"/>
      <c r="H461" s="461"/>
      <c r="I461" s="462"/>
      <c r="J461" s="462"/>
      <c r="K461" s="462"/>
      <c r="L461" s="462"/>
      <c r="M461" s="462"/>
      <c r="N461" s="463"/>
      <c r="O461" s="464"/>
      <c r="P461" s="463"/>
      <c r="Q461" s="464"/>
      <c r="R461" s="465"/>
      <c r="S461" s="173">
        <f t="shared" ref="S461:S524" si="17">F461-(H461/7.5)</f>
        <v>0</v>
      </c>
      <c r="AT461" s="176" t="e">
        <f>VLOOKUP($E461,RESOURCES!$C:$E,3,FALSE)</f>
        <v>#N/A</v>
      </c>
      <c r="AU461" s="176">
        <f t="shared" si="16"/>
        <v>0</v>
      </c>
    </row>
    <row r="462" spans="1:47">
      <c r="A462" s="459"/>
      <c r="B462" s="459"/>
      <c r="C462" s="459"/>
      <c r="E462" s="461"/>
      <c r="F462" s="461"/>
      <c r="G462" s="461"/>
      <c r="H462" s="461"/>
      <c r="I462" s="462"/>
      <c r="J462" s="462"/>
      <c r="K462" s="462"/>
      <c r="L462" s="462"/>
      <c r="M462" s="462"/>
      <c r="N462" s="463"/>
      <c r="O462" s="464"/>
      <c r="P462" s="463"/>
      <c r="Q462" s="464"/>
      <c r="R462" s="465"/>
      <c r="S462" s="173">
        <f t="shared" si="17"/>
        <v>0</v>
      </c>
      <c r="AT462" s="176" t="e">
        <f>VLOOKUP($E462,RESOURCES!$C:$E,3,FALSE)</f>
        <v>#N/A</v>
      </c>
      <c r="AU462" s="176">
        <f t="shared" si="16"/>
        <v>0</v>
      </c>
    </row>
    <row r="463" spans="1:47">
      <c r="A463" s="459"/>
      <c r="B463" s="459"/>
      <c r="C463" s="459"/>
      <c r="E463" s="461"/>
      <c r="F463" s="461"/>
      <c r="G463" s="461"/>
      <c r="H463" s="461"/>
      <c r="I463" s="462"/>
      <c r="J463" s="462"/>
      <c r="K463" s="462"/>
      <c r="L463" s="462"/>
      <c r="M463" s="462"/>
      <c r="N463" s="463"/>
      <c r="O463" s="464"/>
      <c r="P463" s="463"/>
      <c r="Q463" s="464"/>
      <c r="R463" s="465"/>
      <c r="S463" s="173">
        <f t="shared" si="17"/>
        <v>0</v>
      </c>
      <c r="AT463" s="176" t="e">
        <f>VLOOKUP($E463,RESOURCES!$C:$E,3,FALSE)</f>
        <v>#N/A</v>
      </c>
      <c r="AU463" s="176">
        <f t="shared" si="16"/>
        <v>0</v>
      </c>
    </row>
    <row r="464" spans="1:47">
      <c r="A464" s="459"/>
      <c r="B464" s="459"/>
      <c r="C464" s="459"/>
      <c r="E464" s="461"/>
      <c r="F464" s="461"/>
      <c r="G464" s="461"/>
      <c r="H464" s="461"/>
      <c r="I464" s="462"/>
      <c r="J464" s="462"/>
      <c r="K464" s="462"/>
      <c r="L464" s="462"/>
      <c r="M464" s="462"/>
      <c r="N464" s="463"/>
      <c r="O464" s="464"/>
      <c r="P464" s="463"/>
      <c r="Q464" s="464"/>
      <c r="R464" s="465"/>
      <c r="S464" s="173">
        <f t="shared" si="17"/>
        <v>0</v>
      </c>
      <c r="AT464" s="176" t="e">
        <f>VLOOKUP($E464,RESOURCES!$C:$E,3,FALSE)</f>
        <v>#N/A</v>
      </c>
      <c r="AU464" s="176">
        <f t="shared" si="16"/>
        <v>0</v>
      </c>
    </row>
    <row r="465" spans="1:47">
      <c r="A465" s="459"/>
      <c r="B465" s="459"/>
      <c r="C465" s="459"/>
      <c r="E465" s="461"/>
      <c r="F465" s="461"/>
      <c r="G465" s="461"/>
      <c r="H465" s="461"/>
      <c r="I465" s="462"/>
      <c r="J465" s="462"/>
      <c r="K465" s="462"/>
      <c r="L465" s="462"/>
      <c r="M465" s="462"/>
      <c r="N465" s="463"/>
      <c r="O465" s="464"/>
      <c r="P465" s="463"/>
      <c r="Q465" s="464"/>
      <c r="R465" s="465"/>
      <c r="S465" s="173">
        <f t="shared" si="17"/>
        <v>0</v>
      </c>
      <c r="AT465" s="176" t="e">
        <f>VLOOKUP($E465,RESOURCES!$C:$E,3,FALSE)</f>
        <v>#N/A</v>
      </c>
      <c r="AU465" s="176">
        <f t="shared" si="16"/>
        <v>0</v>
      </c>
    </row>
    <row r="466" spans="1:47">
      <c r="A466" s="459"/>
      <c r="B466" s="459"/>
      <c r="C466" s="459"/>
      <c r="E466" s="461"/>
      <c r="F466" s="461"/>
      <c r="G466" s="461"/>
      <c r="H466" s="461"/>
      <c r="I466" s="462"/>
      <c r="J466" s="462"/>
      <c r="K466" s="462"/>
      <c r="L466" s="462"/>
      <c r="M466" s="462"/>
      <c r="N466" s="463"/>
      <c r="O466" s="464"/>
      <c r="P466" s="463"/>
      <c r="Q466" s="464"/>
      <c r="R466" s="465"/>
      <c r="S466" s="173">
        <f t="shared" si="17"/>
        <v>0</v>
      </c>
      <c r="AT466" s="176" t="e">
        <f>VLOOKUP($E466,RESOURCES!$C:$E,3,FALSE)</f>
        <v>#N/A</v>
      </c>
      <c r="AU466" s="176">
        <f t="shared" si="16"/>
        <v>0</v>
      </c>
    </row>
    <row r="467" spans="1:47">
      <c r="A467" s="459"/>
      <c r="B467" s="459"/>
      <c r="C467" s="459"/>
      <c r="E467" s="461"/>
      <c r="F467" s="461"/>
      <c r="G467" s="461"/>
      <c r="H467" s="461"/>
      <c r="I467" s="462"/>
      <c r="J467" s="462"/>
      <c r="K467" s="462"/>
      <c r="L467" s="462"/>
      <c r="M467" s="462"/>
      <c r="N467" s="463"/>
      <c r="O467" s="464"/>
      <c r="P467" s="463"/>
      <c r="Q467" s="464"/>
      <c r="R467" s="465"/>
      <c r="S467" s="173">
        <f t="shared" si="17"/>
        <v>0</v>
      </c>
      <c r="AT467" s="176" t="e">
        <f>VLOOKUP($E467,RESOURCES!$C:$E,3,FALSE)</f>
        <v>#N/A</v>
      </c>
      <c r="AU467" s="176">
        <f t="shared" si="16"/>
        <v>0</v>
      </c>
    </row>
    <row r="468" spans="1:47">
      <c r="A468" s="459"/>
      <c r="B468" s="459"/>
      <c r="C468" s="459"/>
      <c r="E468" s="461"/>
      <c r="F468" s="461"/>
      <c r="G468" s="461"/>
      <c r="H468" s="461"/>
      <c r="I468" s="462"/>
      <c r="J468" s="462"/>
      <c r="K468" s="462"/>
      <c r="L468" s="462"/>
      <c r="M468" s="462"/>
      <c r="N468" s="463"/>
      <c r="O468" s="464"/>
      <c r="P468" s="463"/>
      <c r="Q468" s="464"/>
      <c r="R468" s="465"/>
      <c r="S468" s="173">
        <f t="shared" si="17"/>
        <v>0</v>
      </c>
      <c r="AT468" s="176" t="e">
        <f>VLOOKUP($E468,RESOURCES!$C:$E,3,FALSE)</f>
        <v>#N/A</v>
      </c>
      <c r="AU468" s="176">
        <f t="shared" si="16"/>
        <v>0</v>
      </c>
    </row>
    <row r="469" spans="1:47">
      <c r="A469" s="459"/>
      <c r="B469" s="459"/>
      <c r="C469" s="459"/>
      <c r="E469" s="461"/>
      <c r="F469" s="461"/>
      <c r="G469" s="461"/>
      <c r="H469" s="461"/>
      <c r="I469" s="462"/>
      <c r="J469" s="462"/>
      <c r="K469" s="462"/>
      <c r="L469" s="462"/>
      <c r="M469" s="462"/>
      <c r="N469" s="463"/>
      <c r="O469" s="464"/>
      <c r="P469" s="463"/>
      <c r="Q469" s="464"/>
      <c r="R469" s="465"/>
      <c r="S469" s="173">
        <f t="shared" si="17"/>
        <v>0</v>
      </c>
      <c r="AT469" s="176" t="e">
        <f>VLOOKUP($E469,RESOURCES!$C:$E,3,FALSE)</f>
        <v>#N/A</v>
      </c>
      <c r="AU469" s="176">
        <f t="shared" si="16"/>
        <v>0</v>
      </c>
    </row>
    <row r="470" spans="1:47">
      <c r="A470" s="459"/>
      <c r="B470" s="459"/>
      <c r="C470" s="459"/>
      <c r="E470" s="461"/>
      <c r="F470" s="461"/>
      <c r="G470" s="461"/>
      <c r="H470" s="461"/>
      <c r="I470" s="462"/>
      <c r="J470" s="462"/>
      <c r="K470" s="462"/>
      <c r="L470" s="462"/>
      <c r="M470" s="462"/>
      <c r="N470" s="463"/>
      <c r="O470" s="464"/>
      <c r="P470" s="463"/>
      <c r="Q470" s="464"/>
      <c r="R470" s="465"/>
      <c r="S470" s="173">
        <f t="shared" si="17"/>
        <v>0</v>
      </c>
      <c r="AT470" s="176" t="e">
        <f>VLOOKUP($E470,RESOURCES!$C:$E,3,FALSE)</f>
        <v>#N/A</v>
      </c>
      <c r="AU470" s="176">
        <f t="shared" si="16"/>
        <v>0</v>
      </c>
    </row>
    <row r="471" spans="1:47">
      <c r="A471" s="459"/>
      <c r="B471" s="459"/>
      <c r="C471" s="459"/>
      <c r="E471" s="461"/>
      <c r="F471" s="461"/>
      <c r="G471" s="461"/>
      <c r="H471" s="461"/>
      <c r="I471" s="462"/>
      <c r="J471" s="462"/>
      <c r="K471" s="462"/>
      <c r="L471" s="462"/>
      <c r="M471" s="462"/>
      <c r="N471" s="463"/>
      <c r="O471" s="464"/>
      <c r="P471" s="463"/>
      <c r="Q471" s="464"/>
      <c r="R471" s="465"/>
      <c r="S471" s="173">
        <f t="shared" si="17"/>
        <v>0</v>
      </c>
      <c r="AT471" s="176" t="e">
        <f>VLOOKUP($E471,RESOURCES!$C:$E,3,FALSE)</f>
        <v>#N/A</v>
      </c>
      <c r="AU471" s="176">
        <f t="shared" si="16"/>
        <v>0</v>
      </c>
    </row>
    <row r="472" spans="1:47">
      <c r="A472" s="459"/>
      <c r="B472" s="459"/>
      <c r="C472" s="459"/>
      <c r="E472" s="461"/>
      <c r="F472" s="461"/>
      <c r="G472" s="461"/>
      <c r="H472" s="461"/>
      <c r="I472" s="462"/>
      <c r="J472" s="462"/>
      <c r="K472" s="462"/>
      <c r="L472" s="462"/>
      <c r="M472" s="462"/>
      <c r="N472" s="463"/>
      <c r="O472" s="464"/>
      <c r="P472" s="463"/>
      <c r="Q472" s="464"/>
      <c r="R472" s="465"/>
      <c r="S472" s="173">
        <f t="shared" si="17"/>
        <v>0</v>
      </c>
      <c r="AT472" s="176" t="e">
        <f>VLOOKUP($E472,RESOURCES!$C:$E,3,FALSE)</f>
        <v>#N/A</v>
      </c>
      <c r="AU472" s="176">
        <f t="shared" si="16"/>
        <v>0</v>
      </c>
    </row>
    <row r="473" spans="1:47">
      <c r="A473" s="459"/>
      <c r="B473" s="459"/>
      <c r="C473" s="459"/>
      <c r="E473" s="461"/>
      <c r="F473" s="461"/>
      <c r="G473" s="461"/>
      <c r="H473" s="461"/>
      <c r="I473" s="462"/>
      <c r="J473" s="462"/>
      <c r="K473" s="462"/>
      <c r="L473" s="462"/>
      <c r="M473" s="462"/>
      <c r="N473" s="463"/>
      <c r="O473" s="464"/>
      <c r="P473" s="463"/>
      <c r="Q473" s="464"/>
      <c r="R473" s="465"/>
      <c r="S473" s="173">
        <f t="shared" si="17"/>
        <v>0</v>
      </c>
      <c r="AT473" s="176" t="e">
        <f>VLOOKUP($E473,RESOURCES!$C:$E,3,FALSE)</f>
        <v>#N/A</v>
      </c>
      <c r="AU473" s="176">
        <f t="shared" si="16"/>
        <v>0</v>
      </c>
    </row>
    <row r="474" spans="1:47">
      <c r="A474" s="459"/>
      <c r="B474" s="459"/>
      <c r="C474" s="459"/>
      <c r="E474" s="461"/>
      <c r="F474" s="461"/>
      <c r="G474" s="461"/>
      <c r="H474" s="461"/>
      <c r="I474" s="462"/>
      <c r="J474" s="462"/>
      <c r="K474" s="462"/>
      <c r="L474" s="462"/>
      <c r="M474" s="462"/>
      <c r="N474" s="463"/>
      <c r="O474" s="464"/>
      <c r="P474" s="463"/>
      <c r="Q474" s="464"/>
      <c r="R474" s="465"/>
      <c r="S474" s="173">
        <f t="shared" si="17"/>
        <v>0</v>
      </c>
      <c r="AT474" s="176" t="e">
        <f>VLOOKUP($E474,RESOURCES!$C:$E,3,FALSE)</f>
        <v>#N/A</v>
      </c>
      <c r="AU474" s="176">
        <f t="shared" si="16"/>
        <v>0</v>
      </c>
    </row>
    <row r="475" spans="1:47">
      <c r="A475" s="459"/>
      <c r="B475" s="459"/>
      <c r="C475" s="459"/>
      <c r="E475" s="461"/>
      <c r="F475" s="461"/>
      <c r="G475" s="461"/>
      <c r="H475" s="461"/>
      <c r="I475" s="462"/>
      <c r="J475" s="462"/>
      <c r="K475" s="462"/>
      <c r="L475" s="462"/>
      <c r="M475" s="462"/>
      <c r="N475" s="463"/>
      <c r="O475" s="464"/>
      <c r="P475" s="463"/>
      <c r="Q475" s="464"/>
      <c r="R475" s="465"/>
      <c r="S475" s="173">
        <f t="shared" si="17"/>
        <v>0</v>
      </c>
      <c r="AT475" s="176" t="e">
        <f>VLOOKUP($E475,RESOURCES!$C:$E,3,FALSE)</f>
        <v>#N/A</v>
      </c>
      <c r="AU475" s="176">
        <f t="shared" si="16"/>
        <v>0</v>
      </c>
    </row>
    <row r="476" spans="1:47">
      <c r="A476" s="459"/>
      <c r="B476" s="459"/>
      <c r="C476" s="459"/>
      <c r="E476" s="461"/>
      <c r="F476" s="461"/>
      <c r="G476" s="461"/>
      <c r="H476" s="461"/>
      <c r="I476" s="462"/>
      <c r="J476" s="462"/>
      <c r="K476" s="462"/>
      <c r="L476" s="462"/>
      <c r="M476" s="462"/>
      <c r="N476" s="463"/>
      <c r="O476" s="464"/>
      <c r="P476" s="463"/>
      <c r="Q476" s="464"/>
      <c r="R476" s="465"/>
      <c r="S476" s="173">
        <f t="shared" si="17"/>
        <v>0</v>
      </c>
      <c r="AT476" s="176" t="e">
        <f>VLOOKUP($E476,RESOURCES!$C:$E,3,FALSE)</f>
        <v>#N/A</v>
      </c>
      <c r="AU476" s="176">
        <f t="shared" si="16"/>
        <v>0</v>
      </c>
    </row>
    <row r="477" spans="1:47">
      <c r="A477" s="459"/>
      <c r="B477" s="459"/>
      <c r="C477" s="459"/>
      <c r="E477" s="461"/>
      <c r="F477" s="461"/>
      <c r="G477" s="461"/>
      <c r="H477" s="461"/>
      <c r="I477" s="462"/>
      <c r="J477" s="462"/>
      <c r="K477" s="462"/>
      <c r="L477" s="462"/>
      <c r="M477" s="462"/>
      <c r="N477" s="463"/>
      <c r="O477" s="464"/>
      <c r="P477" s="463"/>
      <c r="Q477" s="464"/>
      <c r="R477" s="465"/>
      <c r="S477" s="173">
        <f t="shared" si="17"/>
        <v>0</v>
      </c>
      <c r="AT477" s="176" t="e">
        <f>VLOOKUP($E477,RESOURCES!$C:$E,3,FALSE)</f>
        <v>#N/A</v>
      </c>
      <c r="AU477" s="176">
        <f t="shared" si="16"/>
        <v>0</v>
      </c>
    </row>
    <row r="478" spans="1:47">
      <c r="A478" s="459"/>
      <c r="B478" s="459"/>
      <c r="C478" s="459"/>
      <c r="E478" s="461"/>
      <c r="F478" s="461"/>
      <c r="G478" s="461"/>
      <c r="H478" s="461"/>
      <c r="I478" s="462"/>
      <c r="J478" s="462"/>
      <c r="K478" s="462"/>
      <c r="L478" s="462"/>
      <c r="M478" s="462"/>
      <c r="N478" s="463"/>
      <c r="O478" s="464"/>
      <c r="P478" s="463"/>
      <c r="Q478" s="464"/>
      <c r="R478" s="465"/>
      <c r="S478" s="173">
        <f t="shared" si="17"/>
        <v>0</v>
      </c>
      <c r="AT478" s="176" t="e">
        <f>VLOOKUP($E478,RESOURCES!$C:$E,3,FALSE)</f>
        <v>#N/A</v>
      </c>
      <c r="AU478" s="176">
        <f t="shared" si="16"/>
        <v>0</v>
      </c>
    </row>
    <row r="479" spans="1:47">
      <c r="A479" s="459"/>
      <c r="B479" s="459"/>
      <c r="C479" s="459"/>
      <c r="E479" s="461"/>
      <c r="F479" s="461"/>
      <c r="G479" s="461"/>
      <c r="H479" s="461"/>
      <c r="I479" s="462"/>
      <c r="J479" s="462"/>
      <c r="K479" s="462"/>
      <c r="L479" s="462"/>
      <c r="M479" s="462"/>
      <c r="N479" s="463"/>
      <c r="O479" s="464"/>
      <c r="P479" s="463"/>
      <c r="Q479" s="464"/>
      <c r="R479" s="465"/>
      <c r="S479" s="173">
        <f t="shared" si="17"/>
        <v>0</v>
      </c>
      <c r="AT479" s="176" t="e">
        <f>VLOOKUP($E479,RESOURCES!$C:$E,3,FALSE)</f>
        <v>#N/A</v>
      </c>
      <c r="AU479" s="176">
        <f t="shared" si="16"/>
        <v>0</v>
      </c>
    </row>
    <row r="480" spans="1:47">
      <c r="A480" s="459"/>
      <c r="B480" s="459"/>
      <c r="C480" s="459"/>
      <c r="E480" s="461"/>
      <c r="F480" s="461"/>
      <c r="G480" s="461"/>
      <c r="H480" s="461"/>
      <c r="I480" s="462"/>
      <c r="J480" s="462"/>
      <c r="K480" s="462"/>
      <c r="L480" s="462"/>
      <c r="M480" s="462"/>
      <c r="N480" s="463"/>
      <c r="O480" s="464"/>
      <c r="P480" s="463"/>
      <c r="Q480" s="464"/>
      <c r="R480" s="465"/>
      <c r="S480" s="173">
        <f t="shared" si="17"/>
        <v>0</v>
      </c>
      <c r="AT480" s="176" t="e">
        <f>VLOOKUP($E480,RESOURCES!$C:$E,3,FALSE)</f>
        <v>#N/A</v>
      </c>
      <c r="AU480" s="176">
        <f t="shared" si="16"/>
        <v>0</v>
      </c>
    </row>
    <row r="481" spans="1:47">
      <c r="A481" s="459"/>
      <c r="B481" s="459"/>
      <c r="C481" s="459"/>
      <c r="E481" s="461"/>
      <c r="F481" s="461"/>
      <c r="G481" s="461"/>
      <c r="H481" s="461"/>
      <c r="I481" s="462"/>
      <c r="J481" s="462"/>
      <c r="K481" s="462"/>
      <c r="L481" s="462"/>
      <c r="M481" s="462"/>
      <c r="N481" s="463"/>
      <c r="O481" s="464"/>
      <c r="P481" s="463"/>
      <c r="Q481" s="464"/>
      <c r="R481" s="465"/>
      <c r="S481" s="173">
        <f t="shared" si="17"/>
        <v>0</v>
      </c>
      <c r="AT481" s="176" t="e">
        <f>VLOOKUP($E481,RESOURCES!$C:$E,3,FALSE)</f>
        <v>#N/A</v>
      </c>
      <c r="AU481" s="176">
        <f t="shared" si="16"/>
        <v>0</v>
      </c>
    </row>
    <row r="482" spans="1:47">
      <c r="A482" s="459"/>
      <c r="B482" s="459"/>
      <c r="C482" s="459"/>
      <c r="E482" s="461"/>
      <c r="F482" s="461"/>
      <c r="G482" s="461"/>
      <c r="H482" s="461"/>
      <c r="I482" s="462"/>
      <c r="J482" s="462"/>
      <c r="K482" s="462"/>
      <c r="L482" s="462"/>
      <c r="M482" s="462"/>
      <c r="N482" s="463"/>
      <c r="O482" s="464"/>
      <c r="P482" s="463"/>
      <c r="Q482" s="464"/>
      <c r="R482" s="465"/>
      <c r="S482" s="173">
        <f t="shared" si="17"/>
        <v>0</v>
      </c>
      <c r="AT482" s="176" t="e">
        <f>VLOOKUP($E482,RESOURCES!$C:$E,3,FALSE)</f>
        <v>#N/A</v>
      </c>
      <c r="AU482" s="176">
        <f t="shared" si="16"/>
        <v>0</v>
      </c>
    </row>
    <row r="483" spans="1:47">
      <c r="A483" s="459"/>
      <c r="B483" s="459"/>
      <c r="C483" s="459"/>
      <c r="E483" s="461"/>
      <c r="F483" s="461"/>
      <c r="G483" s="461"/>
      <c r="H483" s="461"/>
      <c r="I483" s="462"/>
      <c r="J483" s="462"/>
      <c r="K483" s="462"/>
      <c r="L483" s="462"/>
      <c r="M483" s="462"/>
      <c r="N483" s="463"/>
      <c r="O483" s="464"/>
      <c r="P483" s="463"/>
      <c r="Q483" s="464"/>
      <c r="R483" s="465"/>
      <c r="S483" s="173">
        <f t="shared" si="17"/>
        <v>0</v>
      </c>
      <c r="AT483" s="176" t="e">
        <f>VLOOKUP($E483,RESOURCES!$C:$E,3,FALSE)</f>
        <v>#N/A</v>
      </c>
      <c r="AU483" s="176">
        <f t="shared" si="16"/>
        <v>0</v>
      </c>
    </row>
    <row r="484" spans="1:47">
      <c r="A484" s="459"/>
      <c r="B484" s="459"/>
      <c r="C484" s="459"/>
      <c r="E484" s="461"/>
      <c r="F484" s="461"/>
      <c r="G484" s="461"/>
      <c r="H484" s="461"/>
      <c r="I484" s="462"/>
      <c r="J484" s="462"/>
      <c r="K484" s="462"/>
      <c r="L484" s="462"/>
      <c r="M484" s="462"/>
      <c r="N484" s="463"/>
      <c r="O484" s="464"/>
      <c r="P484" s="463"/>
      <c r="Q484" s="464"/>
      <c r="R484" s="465"/>
      <c r="S484" s="173">
        <f t="shared" si="17"/>
        <v>0</v>
      </c>
      <c r="AT484" s="176" t="e">
        <f>VLOOKUP($E484,RESOURCES!$C:$E,3,FALSE)</f>
        <v>#N/A</v>
      </c>
      <c r="AU484" s="176">
        <f t="shared" si="16"/>
        <v>0</v>
      </c>
    </row>
    <row r="485" spans="1:47">
      <c r="A485" s="459"/>
      <c r="B485" s="459"/>
      <c r="C485" s="459"/>
      <c r="E485" s="461"/>
      <c r="F485" s="461"/>
      <c r="G485" s="461"/>
      <c r="H485" s="461"/>
      <c r="I485" s="462"/>
      <c r="J485" s="462"/>
      <c r="K485" s="462"/>
      <c r="L485" s="462"/>
      <c r="M485" s="462"/>
      <c r="N485" s="463"/>
      <c r="O485" s="464"/>
      <c r="P485" s="463"/>
      <c r="Q485" s="464"/>
      <c r="R485" s="465"/>
      <c r="S485" s="173">
        <f t="shared" si="17"/>
        <v>0</v>
      </c>
      <c r="AT485" s="176" t="e">
        <f>VLOOKUP($E485,RESOURCES!$C:$E,3,FALSE)</f>
        <v>#N/A</v>
      </c>
      <c r="AU485" s="176">
        <f t="shared" si="16"/>
        <v>0</v>
      </c>
    </row>
    <row r="486" spans="1:47">
      <c r="A486" s="459"/>
      <c r="B486" s="459"/>
      <c r="C486" s="459"/>
      <c r="E486" s="461"/>
      <c r="F486" s="461"/>
      <c r="G486" s="461"/>
      <c r="H486" s="461"/>
      <c r="I486" s="462"/>
      <c r="J486" s="462"/>
      <c r="K486" s="462"/>
      <c r="L486" s="462"/>
      <c r="M486" s="462"/>
      <c r="N486" s="463"/>
      <c r="O486" s="464"/>
      <c r="P486" s="463"/>
      <c r="Q486" s="464"/>
      <c r="R486" s="465"/>
      <c r="S486" s="173">
        <f t="shared" si="17"/>
        <v>0</v>
      </c>
      <c r="AT486" s="176" t="e">
        <f>VLOOKUP($E486,RESOURCES!$C:$E,3,FALSE)</f>
        <v>#N/A</v>
      </c>
      <c r="AU486" s="176">
        <f t="shared" si="16"/>
        <v>0</v>
      </c>
    </row>
    <row r="487" spans="1:47">
      <c r="A487" s="459"/>
      <c r="B487" s="459"/>
      <c r="C487" s="459"/>
      <c r="E487" s="461"/>
      <c r="F487" s="461"/>
      <c r="G487" s="461"/>
      <c r="H487" s="461"/>
      <c r="I487" s="462"/>
      <c r="J487" s="462"/>
      <c r="K487" s="462"/>
      <c r="L487" s="462"/>
      <c r="M487" s="462"/>
      <c r="N487" s="463"/>
      <c r="O487" s="464"/>
      <c r="P487" s="463"/>
      <c r="Q487" s="464"/>
      <c r="R487" s="465"/>
      <c r="S487" s="173">
        <f t="shared" si="17"/>
        <v>0</v>
      </c>
      <c r="AT487" s="176" t="e">
        <f>VLOOKUP($E487,RESOURCES!$C:$E,3,FALSE)</f>
        <v>#N/A</v>
      </c>
      <c r="AU487" s="176">
        <f t="shared" si="16"/>
        <v>0</v>
      </c>
    </row>
    <row r="488" spans="1:47">
      <c r="A488" s="459"/>
      <c r="B488" s="459"/>
      <c r="C488" s="459"/>
      <c r="E488" s="461"/>
      <c r="F488" s="461"/>
      <c r="G488" s="461"/>
      <c r="H488" s="461"/>
      <c r="I488" s="462"/>
      <c r="J488" s="462"/>
      <c r="K488" s="462"/>
      <c r="L488" s="462"/>
      <c r="M488" s="462"/>
      <c r="N488" s="463"/>
      <c r="O488" s="464"/>
      <c r="P488" s="463"/>
      <c r="Q488" s="464"/>
      <c r="R488" s="465"/>
      <c r="S488" s="173">
        <f t="shared" si="17"/>
        <v>0</v>
      </c>
      <c r="AT488" s="176" t="e">
        <f>VLOOKUP($E488,RESOURCES!$C:$E,3,FALSE)</f>
        <v>#N/A</v>
      </c>
      <c r="AU488" s="176">
        <f t="shared" si="16"/>
        <v>0</v>
      </c>
    </row>
    <row r="489" spans="1:47">
      <c r="A489" s="459"/>
      <c r="B489" s="459"/>
      <c r="C489" s="459"/>
      <c r="E489" s="461"/>
      <c r="F489" s="461"/>
      <c r="G489" s="461"/>
      <c r="H489" s="461"/>
      <c r="I489" s="462"/>
      <c r="J489" s="462"/>
      <c r="K489" s="462"/>
      <c r="L489" s="462"/>
      <c r="M489" s="462"/>
      <c r="N489" s="463"/>
      <c r="O489" s="464"/>
      <c r="P489" s="463"/>
      <c r="Q489" s="464"/>
      <c r="R489" s="465"/>
      <c r="S489" s="173">
        <f t="shared" si="17"/>
        <v>0</v>
      </c>
      <c r="AT489" s="176" t="e">
        <f>VLOOKUP($E489,RESOURCES!$C:$E,3,FALSE)</f>
        <v>#N/A</v>
      </c>
      <c r="AU489" s="176">
        <f t="shared" si="16"/>
        <v>0</v>
      </c>
    </row>
    <row r="490" spans="1:47">
      <c r="A490" s="459"/>
      <c r="B490" s="459"/>
      <c r="C490" s="459"/>
      <c r="E490" s="461"/>
      <c r="F490" s="461"/>
      <c r="G490" s="461"/>
      <c r="H490" s="461"/>
      <c r="I490" s="462"/>
      <c r="J490" s="462"/>
      <c r="K490" s="462"/>
      <c r="L490" s="462"/>
      <c r="M490" s="462"/>
      <c r="N490" s="463"/>
      <c r="O490" s="464"/>
      <c r="P490" s="463"/>
      <c r="Q490" s="464"/>
      <c r="R490" s="465"/>
      <c r="S490" s="173">
        <f t="shared" si="17"/>
        <v>0</v>
      </c>
      <c r="AT490" s="176" t="e">
        <f>VLOOKUP($E490,RESOURCES!$C:$E,3,FALSE)</f>
        <v>#N/A</v>
      </c>
      <c r="AU490" s="176">
        <f t="shared" si="16"/>
        <v>0</v>
      </c>
    </row>
    <row r="491" spans="1:47">
      <c r="A491" s="459"/>
      <c r="B491" s="459"/>
      <c r="C491" s="459"/>
      <c r="E491" s="461"/>
      <c r="F491" s="461"/>
      <c r="G491" s="461"/>
      <c r="H491" s="461"/>
      <c r="I491" s="462"/>
      <c r="J491" s="462"/>
      <c r="K491" s="462"/>
      <c r="L491" s="462"/>
      <c r="M491" s="462"/>
      <c r="N491" s="463"/>
      <c r="O491" s="464"/>
      <c r="P491" s="463"/>
      <c r="Q491" s="464"/>
      <c r="R491" s="465"/>
      <c r="S491" s="173">
        <f t="shared" si="17"/>
        <v>0</v>
      </c>
      <c r="AT491" s="176" t="e">
        <f>VLOOKUP($E491,RESOURCES!$C:$E,3,FALSE)</f>
        <v>#N/A</v>
      </c>
      <c r="AU491" s="176">
        <f t="shared" si="16"/>
        <v>0</v>
      </c>
    </row>
    <row r="492" spans="1:47">
      <c r="A492" s="459"/>
      <c r="B492" s="459"/>
      <c r="C492" s="459"/>
      <c r="E492" s="461"/>
      <c r="F492" s="461"/>
      <c r="G492" s="461"/>
      <c r="H492" s="461"/>
      <c r="I492" s="462"/>
      <c r="J492" s="462"/>
      <c r="K492" s="462"/>
      <c r="L492" s="462"/>
      <c r="M492" s="462"/>
      <c r="N492" s="463"/>
      <c r="O492" s="464"/>
      <c r="P492" s="463"/>
      <c r="Q492" s="464"/>
      <c r="R492" s="465"/>
      <c r="S492" s="173">
        <f t="shared" si="17"/>
        <v>0</v>
      </c>
      <c r="AT492" s="176" t="e">
        <f>VLOOKUP($E492,RESOURCES!$C:$E,3,FALSE)</f>
        <v>#N/A</v>
      </c>
      <c r="AU492" s="176">
        <f t="shared" si="16"/>
        <v>0</v>
      </c>
    </row>
    <row r="493" spans="1:47">
      <c r="A493" s="459"/>
      <c r="B493" s="459"/>
      <c r="C493" s="459"/>
      <c r="E493" s="461"/>
      <c r="F493" s="461"/>
      <c r="G493" s="461"/>
      <c r="H493" s="461"/>
      <c r="I493" s="462"/>
      <c r="J493" s="462"/>
      <c r="K493" s="462"/>
      <c r="L493" s="462"/>
      <c r="M493" s="462"/>
      <c r="N493" s="463"/>
      <c r="O493" s="464"/>
      <c r="P493" s="463"/>
      <c r="Q493" s="464"/>
      <c r="R493" s="465"/>
      <c r="S493" s="173">
        <f t="shared" si="17"/>
        <v>0</v>
      </c>
      <c r="AT493" s="176" t="e">
        <f>VLOOKUP($E493,RESOURCES!$C:$E,3,FALSE)</f>
        <v>#N/A</v>
      </c>
      <c r="AU493" s="176">
        <f t="shared" si="16"/>
        <v>0</v>
      </c>
    </row>
    <row r="494" spans="1:47">
      <c r="A494" s="459"/>
      <c r="B494" s="459"/>
      <c r="C494" s="459"/>
      <c r="E494" s="461"/>
      <c r="F494" s="461"/>
      <c r="G494" s="461"/>
      <c r="H494" s="461"/>
      <c r="I494" s="462"/>
      <c r="J494" s="462"/>
      <c r="K494" s="462"/>
      <c r="L494" s="462"/>
      <c r="M494" s="462"/>
      <c r="N494" s="463"/>
      <c r="O494" s="464"/>
      <c r="P494" s="463"/>
      <c r="Q494" s="464"/>
      <c r="R494" s="465"/>
      <c r="S494" s="173">
        <f t="shared" si="17"/>
        <v>0</v>
      </c>
      <c r="AT494" s="176" t="e">
        <f>VLOOKUP($E494,RESOURCES!$C:$E,3,FALSE)</f>
        <v>#N/A</v>
      </c>
      <c r="AU494" s="176">
        <f t="shared" si="16"/>
        <v>0</v>
      </c>
    </row>
    <row r="495" spans="1:47">
      <c r="A495" s="459"/>
      <c r="B495" s="459"/>
      <c r="C495" s="459"/>
      <c r="E495" s="461"/>
      <c r="F495" s="461"/>
      <c r="G495" s="461"/>
      <c r="H495" s="461"/>
      <c r="I495" s="462"/>
      <c r="J495" s="462"/>
      <c r="K495" s="462"/>
      <c r="L495" s="462"/>
      <c r="M495" s="462"/>
      <c r="N495" s="463"/>
      <c r="O495" s="464"/>
      <c r="P495" s="463"/>
      <c r="Q495" s="464"/>
      <c r="R495" s="465"/>
      <c r="S495" s="173">
        <f t="shared" si="17"/>
        <v>0</v>
      </c>
      <c r="AT495" s="176" t="e">
        <f>VLOOKUP($E495,RESOURCES!$C:$E,3,FALSE)</f>
        <v>#N/A</v>
      </c>
      <c r="AU495" s="176">
        <f t="shared" si="16"/>
        <v>0</v>
      </c>
    </row>
    <row r="496" spans="1:47">
      <c r="A496" s="459"/>
      <c r="B496" s="459"/>
      <c r="C496" s="459"/>
      <c r="E496" s="461"/>
      <c r="F496" s="461"/>
      <c r="G496" s="461"/>
      <c r="H496" s="461"/>
      <c r="I496" s="462"/>
      <c r="J496" s="462"/>
      <c r="K496" s="462"/>
      <c r="L496" s="462"/>
      <c r="M496" s="462"/>
      <c r="N496" s="463"/>
      <c r="O496" s="464"/>
      <c r="P496" s="463"/>
      <c r="Q496" s="464"/>
      <c r="R496" s="465"/>
      <c r="S496" s="173">
        <f t="shared" si="17"/>
        <v>0</v>
      </c>
      <c r="AT496" s="176" t="e">
        <f>VLOOKUP($E496,RESOURCES!$C:$E,3,FALSE)</f>
        <v>#N/A</v>
      </c>
      <c r="AU496" s="176">
        <f t="shared" si="16"/>
        <v>0</v>
      </c>
    </row>
    <row r="497" spans="1:47">
      <c r="A497" s="459"/>
      <c r="B497" s="459"/>
      <c r="C497" s="459"/>
      <c r="E497" s="461"/>
      <c r="F497" s="461"/>
      <c r="G497" s="461"/>
      <c r="H497" s="461"/>
      <c r="I497" s="462"/>
      <c r="J497" s="462"/>
      <c r="K497" s="462"/>
      <c r="L497" s="462"/>
      <c r="M497" s="462"/>
      <c r="N497" s="463"/>
      <c r="O497" s="464"/>
      <c r="P497" s="463"/>
      <c r="Q497" s="464"/>
      <c r="R497" s="465"/>
      <c r="S497" s="173">
        <f t="shared" si="17"/>
        <v>0</v>
      </c>
      <c r="AT497" s="176" t="e">
        <f>VLOOKUP($E497,RESOURCES!$C:$E,3,FALSE)</f>
        <v>#N/A</v>
      </c>
      <c r="AU497" s="176">
        <f t="shared" si="16"/>
        <v>0</v>
      </c>
    </row>
    <row r="498" spans="1:47">
      <c r="A498" s="459"/>
      <c r="B498" s="459"/>
      <c r="C498" s="459"/>
      <c r="E498" s="461"/>
      <c r="F498" s="461"/>
      <c r="G498" s="461"/>
      <c r="H498" s="461"/>
      <c r="I498" s="462"/>
      <c r="J498" s="462"/>
      <c r="K498" s="462"/>
      <c r="L498" s="462"/>
      <c r="M498" s="462"/>
      <c r="N498" s="463"/>
      <c r="O498" s="464"/>
      <c r="P498" s="463"/>
      <c r="Q498" s="464"/>
      <c r="R498" s="465"/>
      <c r="S498" s="173">
        <f t="shared" si="17"/>
        <v>0</v>
      </c>
      <c r="AT498" s="176" t="e">
        <f>VLOOKUP($E498,RESOURCES!$C:$E,3,FALSE)</f>
        <v>#N/A</v>
      </c>
      <c r="AU498" s="176">
        <f t="shared" si="16"/>
        <v>0</v>
      </c>
    </row>
    <row r="499" spans="1:47">
      <c r="A499" s="459"/>
      <c r="B499" s="459"/>
      <c r="C499" s="459"/>
      <c r="E499" s="461"/>
      <c r="F499" s="461"/>
      <c r="G499" s="461"/>
      <c r="H499" s="461"/>
      <c r="I499" s="462"/>
      <c r="J499" s="462"/>
      <c r="K499" s="462"/>
      <c r="L499" s="462"/>
      <c r="M499" s="462"/>
      <c r="N499" s="463"/>
      <c r="O499" s="464"/>
      <c r="P499" s="463"/>
      <c r="Q499" s="464"/>
      <c r="R499" s="465"/>
      <c r="S499" s="173">
        <f t="shared" si="17"/>
        <v>0</v>
      </c>
      <c r="AT499" s="176" t="e">
        <f>VLOOKUP($E499,RESOURCES!$C:$E,3,FALSE)</f>
        <v>#N/A</v>
      </c>
      <c r="AU499" s="176">
        <f t="shared" si="16"/>
        <v>0</v>
      </c>
    </row>
    <row r="500" spans="1:47">
      <c r="A500" s="459"/>
      <c r="B500" s="459"/>
      <c r="C500" s="459"/>
      <c r="E500" s="461"/>
      <c r="F500" s="461"/>
      <c r="G500" s="461"/>
      <c r="H500" s="461"/>
      <c r="I500" s="462"/>
      <c r="J500" s="462"/>
      <c r="K500" s="462"/>
      <c r="L500" s="462"/>
      <c r="M500" s="462"/>
      <c r="N500" s="463"/>
      <c r="O500" s="464"/>
      <c r="P500" s="463"/>
      <c r="Q500" s="464"/>
      <c r="R500" s="465"/>
      <c r="S500" s="173">
        <f t="shared" si="17"/>
        <v>0</v>
      </c>
      <c r="AT500" s="176" t="e">
        <f>VLOOKUP($E500,RESOURCES!$C:$E,3,FALSE)</f>
        <v>#N/A</v>
      </c>
      <c r="AU500" s="176">
        <f t="shared" si="16"/>
        <v>0</v>
      </c>
    </row>
    <row r="501" spans="1:47">
      <c r="A501" s="459"/>
      <c r="B501" s="459"/>
      <c r="C501" s="459"/>
      <c r="E501" s="461"/>
      <c r="F501" s="461"/>
      <c r="G501" s="461"/>
      <c r="H501" s="461"/>
      <c r="I501" s="462"/>
      <c r="J501" s="462"/>
      <c r="K501" s="462"/>
      <c r="L501" s="462"/>
      <c r="M501" s="462"/>
      <c r="N501" s="463"/>
      <c r="O501" s="464"/>
      <c r="P501" s="463"/>
      <c r="Q501" s="464"/>
      <c r="R501" s="465"/>
      <c r="S501" s="173">
        <f t="shared" si="17"/>
        <v>0</v>
      </c>
      <c r="AT501" s="176" t="e">
        <f>VLOOKUP($E501,RESOURCES!$C:$E,3,FALSE)</f>
        <v>#N/A</v>
      </c>
      <c r="AU501" s="176">
        <f t="shared" si="16"/>
        <v>0</v>
      </c>
    </row>
    <row r="502" spans="1:47">
      <c r="A502" s="459"/>
      <c r="B502" s="459"/>
      <c r="C502" s="459"/>
      <c r="E502" s="461"/>
      <c r="F502" s="461"/>
      <c r="G502" s="461"/>
      <c r="H502" s="461"/>
      <c r="I502" s="462"/>
      <c r="J502" s="462"/>
      <c r="K502" s="462"/>
      <c r="L502" s="462"/>
      <c r="M502" s="462"/>
      <c r="N502" s="463"/>
      <c r="O502" s="464"/>
      <c r="P502" s="463"/>
      <c r="Q502" s="464"/>
      <c r="R502" s="465"/>
      <c r="S502" s="173">
        <f t="shared" si="17"/>
        <v>0</v>
      </c>
      <c r="AT502" s="176" t="e">
        <f>VLOOKUP($E502,RESOURCES!$C:$E,3,FALSE)</f>
        <v>#N/A</v>
      </c>
      <c r="AU502" s="176">
        <f t="shared" si="16"/>
        <v>0</v>
      </c>
    </row>
    <row r="503" spans="1:47">
      <c r="A503" s="459"/>
      <c r="B503" s="459"/>
      <c r="C503" s="459"/>
      <c r="E503" s="461"/>
      <c r="F503" s="461"/>
      <c r="G503" s="461"/>
      <c r="H503" s="461"/>
      <c r="I503" s="462"/>
      <c r="J503" s="462"/>
      <c r="K503" s="462"/>
      <c r="L503" s="462"/>
      <c r="M503" s="462"/>
      <c r="N503" s="463"/>
      <c r="O503" s="464"/>
      <c r="P503" s="463"/>
      <c r="Q503" s="464"/>
      <c r="R503" s="465"/>
      <c r="S503" s="173">
        <f t="shared" si="17"/>
        <v>0</v>
      </c>
      <c r="AT503" s="176" t="e">
        <f>VLOOKUP($E503,RESOURCES!$C:$E,3,FALSE)</f>
        <v>#N/A</v>
      </c>
      <c r="AU503" s="176">
        <f t="shared" si="16"/>
        <v>0</v>
      </c>
    </row>
    <row r="504" spans="1:47">
      <c r="A504" s="459"/>
      <c r="B504" s="459"/>
      <c r="C504" s="459"/>
      <c r="E504" s="461"/>
      <c r="F504" s="461"/>
      <c r="G504" s="461"/>
      <c r="H504" s="461"/>
      <c r="I504" s="462"/>
      <c r="J504" s="462"/>
      <c r="K504" s="462"/>
      <c r="L504" s="462"/>
      <c r="M504" s="462"/>
      <c r="N504" s="463"/>
      <c r="O504" s="464"/>
      <c r="P504" s="463"/>
      <c r="Q504" s="464"/>
      <c r="R504" s="465"/>
      <c r="S504" s="173">
        <f t="shared" si="17"/>
        <v>0</v>
      </c>
      <c r="AT504" s="176" t="e">
        <f>VLOOKUP($E504,RESOURCES!$C:$E,3,FALSE)</f>
        <v>#N/A</v>
      </c>
      <c r="AU504" s="176">
        <f t="shared" si="16"/>
        <v>0</v>
      </c>
    </row>
    <row r="505" spans="1:47">
      <c r="A505" s="459"/>
      <c r="B505" s="459"/>
      <c r="C505" s="459"/>
      <c r="E505" s="461"/>
      <c r="F505" s="461"/>
      <c r="G505" s="461"/>
      <c r="H505" s="461"/>
      <c r="I505" s="462"/>
      <c r="J505" s="462"/>
      <c r="K505" s="462"/>
      <c r="L505" s="462"/>
      <c r="M505" s="462"/>
      <c r="N505" s="463"/>
      <c r="O505" s="464"/>
      <c r="P505" s="463"/>
      <c r="Q505" s="464"/>
      <c r="R505" s="465"/>
      <c r="S505" s="173">
        <f t="shared" si="17"/>
        <v>0</v>
      </c>
      <c r="AT505" s="176" t="e">
        <f>VLOOKUP($E505,RESOURCES!$C:$E,3,FALSE)</f>
        <v>#N/A</v>
      </c>
      <c r="AU505" s="176">
        <f t="shared" si="16"/>
        <v>0</v>
      </c>
    </row>
    <row r="506" spans="1:47">
      <c r="A506" s="459"/>
      <c r="B506" s="459"/>
      <c r="C506" s="459"/>
      <c r="E506" s="461"/>
      <c r="F506" s="461"/>
      <c r="G506" s="461"/>
      <c r="H506" s="461"/>
      <c r="I506" s="462"/>
      <c r="J506" s="462"/>
      <c r="K506" s="462"/>
      <c r="L506" s="462"/>
      <c r="M506" s="462"/>
      <c r="N506" s="463"/>
      <c r="O506" s="464"/>
      <c r="P506" s="463"/>
      <c r="Q506" s="464"/>
      <c r="R506" s="465"/>
      <c r="S506" s="173">
        <f t="shared" si="17"/>
        <v>0</v>
      </c>
      <c r="AT506" s="176" t="e">
        <f>VLOOKUP($E506,RESOURCES!$C:$E,3,FALSE)</f>
        <v>#N/A</v>
      </c>
      <c r="AU506" s="176">
        <f t="shared" si="16"/>
        <v>0</v>
      </c>
    </row>
    <row r="507" spans="1:47">
      <c r="A507" s="459"/>
      <c r="B507" s="459"/>
      <c r="C507" s="459"/>
      <c r="E507" s="461"/>
      <c r="F507" s="461"/>
      <c r="G507" s="461"/>
      <c r="H507" s="461"/>
      <c r="I507" s="462"/>
      <c r="J507" s="462"/>
      <c r="K507" s="462"/>
      <c r="L507" s="462"/>
      <c r="M507" s="462"/>
      <c r="N507" s="463"/>
      <c r="O507" s="464"/>
      <c r="P507" s="463"/>
      <c r="Q507" s="464"/>
      <c r="R507" s="465"/>
      <c r="S507" s="173">
        <f t="shared" si="17"/>
        <v>0</v>
      </c>
      <c r="AT507" s="176" t="e">
        <f>VLOOKUP($E507,RESOURCES!$C:$E,3,FALSE)</f>
        <v>#N/A</v>
      </c>
      <c r="AU507" s="176">
        <f t="shared" si="16"/>
        <v>0</v>
      </c>
    </row>
    <row r="508" spans="1:47">
      <c r="A508" s="459"/>
      <c r="B508" s="459"/>
      <c r="C508" s="459"/>
      <c r="E508" s="461"/>
      <c r="F508" s="461"/>
      <c r="G508" s="461"/>
      <c r="H508" s="461"/>
      <c r="I508" s="462"/>
      <c r="J508" s="462"/>
      <c r="K508" s="462"/>
      <c r="L508" s="462"/>
      <c r="M508" s="462"/>
      <c r="N508" s="463"/>
      <c r="O508" s="464"/>
      <c r="P508" s="463"/>
      <c r="Q508" s="464"/>
      <c r="R508" s="465"/>
      <c r="S508" s="173">
        <f t="shared" si="17"/>
        <v>0</v>
      </c>
      <c r="AT508" s="176" t="e">
        <f>VLOOKUP($E508,RESOURCES!$C:$E,3,FALSE)</f>
        <v>#N/A</v>
      </c>
      <c r="AU508" s="176">
        <f t="shared" si="16"/>
        <v>0</v>
      </c>
    </row>
    <row r="509" spans="1:47">
      <c r="A509" s="459"/>
      <c r="B509" s="459"/>
      <c r="C509" s="459"/>
      <c r="E509" s="461"/>
      <c r="F509" s="461"/>
      <c r="G509" s="461"/>
      <c r="H509" s="461"/>
      <c r="I509" s="462"/>
      <c r="J509" s="462"/>
      <c r="K509" s="462"/>
      <c r="L509" s="462"/>
      <c r="M509" s="462"/>
      <c r="N509" s="463"/>
      <c r="O509" s="464"/>
      <c r="P509" s="463"/>
      <c r="Q509" s="464"/>
      <c r="R509" s="465"/>
      <c r="S509" s="173">
        <f t="shared" si="17"/>
        <v>0</v>
      </c>
      <c r="AT509" s="176" t="e">
        <f>VLOOKUP($E509,RESOURCES!$C:$E,3,FALSE)</f>
        <v>#N/A</v>
      </c>
      <c r="AU509" s="176">
        <f t="shared" si="16"/>
        <v>0</v>
      </c>
    </row>
    <row r="510" spans="1:47">
      <c r="A510" s="459"/>
      <c r="B510" s="459"/>
      <c r="C510" s="459"/>
      <c r="E510" s="461"/>
      <c r="F510" s="461"/>
      <c r="G510" s="461"/>
      <c r="H510" s="461"/>
      <c r="I510" s="462"/>
      <c r="J510" s="462"/>
      <c r="K510" s="462"/>
      <c r="L510" s="462"/>
      <c r="M510" s="462"/>
      <c r="N510" s="463"/>
      <c r="O510" s="464"/>
      <c r="P510" s="463"/>
      <c r="Q510" s="464"/>
      <c r="R510" s="465"/>
      <c r="S510" s="173">
        <f t="shared" si="17"/>
        <v>0</v>
      </c>
      <c r="AT510" s="176" t="e">
        <f>VLOOKUP($E510,RESOURCES!$C:$E,3,FALSE)</f>
        <v>#N/A</v>
      </c>
      <c r="AU510" s="176">
        <f t="shared" si="16"/>
        <v>0</v>
      </c>
    </row>
    <row r="511" spans="1:47">
      <c r="A511" s="459"/>
      <c r="B511" s="459"/>
      <c r="C511" s="459"/>
      <c r="E511" s="461"/>
      <c r="F511" s="461"/>
      <c r="G511" s="461"/>
      <c r="H511" s="461"/>
      <c r="I511" s="462"/>
      <c r="J511" s="462"/>
      <c r="K511" s="462"/>
      <c r="L511" s="462"/>
      <c r="M511" s="462"/>
      <c r="N511" s="463"/>
      <c r="O511" s="464"/>
      <c r="P511" s="463"/>
      <c r="Q511" s="464"/>
      <c r="R511" s="465"/>
      <c r="S511" s="173">
        <f t="shared" si="17"/>
        <v>0</v>
      </c>
      <c r="AT511" s="176" t="e">
        <f>VLOOKUP($E511,RESOURCES!$C:$E,3,FALSE)</f>
        <v>#N/A</v>
      </c>
      <c r="AU511" s="176">
        <f t="shared" si="16"/>
        <v>0</v>
      </c>
    </row>
    <row r="512" spans="1:47">
      <c r="A512" s="459"/>
      <c r="B512" s="459"/>
      <c r="C512" s="459"/>
      <c r="E512" s="461"/>
      <c r="F512" s="461"/>
      <c r="G512" s="461"/>
      <c r="H512" s="461"/>
      <c r="I512" s="462"/>
      <c r="J512" s="462"/>
      <c r="K512" s="462"/>
      <c r="L512" s="462"/>
      <c r="M512" s="462"/>
      <c r="N512" s="463"/>
      <c r="O512" s="464"/>
      <c r="P512" s="463"/>
      <c r="Q512" s="464"/>
      <c r="R512" s="465"/>
      <c r="S512" s="173">
        <f t="shared" si="17"/>
        <v>0</v>
      </c>
      <c r="AT512" s="176" t="e">
        <f>VLOOKUP($E512,RESOURCES!$C:$E,3,FALSE)</f>
        <v>#N/A</v>
      </c>
      <c r="AU512" s="176">
        <f t="shared" si="16"/>
        <v>0</v>
      </c>
    </row>
    <row r="513" spans="1:47">
      <c r="A513" s="459"/>
      <c r="B513" s="459"/>
      <c r="C513" s="459"/>
      <c r="E513" s="461"/>
      <c r="F513" s="461"/>
      <c r="G513" s="461"/>
      <c r="H513" s="461"/>
      <c r="I513" s="462"/>
      <c r="J513" s="462"/>
      <c r="K513" s="462"/>
      <c r="L513" s="462"/>
      <c r="M513" s="462"/>
      <c r="N513" s="463"/>
      <c r="O513" s="464"/>
      <c r="P513" s="463"/>
      <c r="Q513" s="464"/>
      <c r="R513" s="465"/>
      <c r="S513" s="173">
        <f t="shared" si="17"/>
        <v>0</v>
      </c>
      <c r="AT513" s="176" t="e">
        <f>VLOOKUP($E513,RESOURCES!$C:$E,3,FALSE)</f>
        <v>#N/A</v>
      </c>
      <c r="AU513" s="176">
        <f t="shared" si="16"/>
        <v>0</v>
      </c>
    </row>
    <row r="514" spans="1:47">
      <c r="A514" s="459"/>
      <c r="B514" s="459"/>
      <c r="C514" s="459"/>
      <c r="E514" s="461"/>
      <c r="F514" s="461"/>
      <c r="G514" s="461"/>
      <c r="H514" s="461"/>
      <c r="I514" s="462"/>
      <c r="J514" s="462"/>
      <c r="K514" s="462"/>
      <c r="L514" s="462"/>
      <c r="M514" s="462"/>
      <c r="N514" s="463"/>
      <c r="O514" s="464"/>
      <c r="P514" s="463"/>
      <c r="Q514" s="464"/>
      <c r="R514" s="465"/>
      <c r="S514" s="173">
        <f t="shared" si="17"/>
        <v>0</v>
      </c>
      <c r="AT514" s="176" t="e">
        <f>VLOOKUP($E514,RESOURCES!$C:$E,3,FALSE)</f>
        <v>#N/A</v>
      </c>
      <c r="AU514" s="176">
        <f t="shared" si="16"/>
        <v>0</v>
      </c>
    </row>
    <row r="515" spans="1:47">
      <c r="A515" s="459"/>
      <c r="B515" s="459"/>
      <c r="C515" s="459"/>
      <c r="E515" s="461"/>
      <c r="F515" s="461"/>
      <c r="G515" s="461"/>
      <c r="H515" s="461"/>
      <c r="I515" s="462"/>
      <c r="J515" s="462"/>
      <c r="K515" s="462"/>
      <c r="L515" s="462"/>
      <c r="M515" s="462"/>
      <c r="N515" s="463"/>
      <c r="O515" s="464"/>
      <c r="P515" s="463"/>
      <c r="Q515" s="464"/>
      <c r="R515" s="465"/>
      <c r="S515" s="173">
        <f t="shared" si="17"/>
        <v>0</v>
      </c>
      <c r="AT515" s="176" t="e">
        <f>VLOOKUP($E515,RESOURCES!$C:$E,3,FALSE)</f>
        <v>#N/A</v>
      </c>
      <c r="AU515" s="176">
        <f t="shared" si="16"/>
        <v>0</v>
      </c>
    </row>
    <row r="516" spans="1:47">
      <c r="A516" s="459"/>
      <c r="B516" s="459"/>
      <c r="C516" s="459"/>
      <c r="E516" s="461"/>
      <c r="F516" s="461"/>
      <c r="G516" s="461"/>
      <c r="H516" s="461"/>
      <c r="I516" s="462"/>
      <c r="J516" s="462"/>
      <c r="K516" s="462"/>
      <c r="L516" s="462"/>
      <c r="M516" s="462"/>
      <c r="N516" s="463"/>
      <c r="O516" s="464"/>
      <c r="P516" s="463"/>
      <c r="Q516" s="464"/>
      <c r="R516" s="465"/>
      <c r="S516" s="173">
        <f t="shared" si="17"/>
        <v>0</v>
      </c>
      <c r="AT516" s="176" t="e">
        <f>VLOOKUP($E516,RESOURCES!$C:$E,3,FALSE)</f>
        <v>#N/A</v>
      </c>
      <c r="AU516" s="176">
        <f t="shared" si="16"/>
        <v>0</v>
      </c>
    </row>
    <row r="517" spans="1:47">
      <c r="A517" s="459"/>
      <c r="B517" s="459"/>
      <c r="C517" s="459"/>
      <c r="E517" s="461"/>
      <c r="F517" s="461"/>
      <c r="G517" s="461"/>
      <c r="H517" s="461"/>
      <c r="I517" s="462"/>
      <c r="J517" s="462"/>
      <c r="K517" s="462"/>
      <c r="L517" s="462"/>
      <c r="M517" s="462"/>
      <c r="N517" s="463"/>
      <c r="O517" s="464"/>
      <c r="P517" s="463"/>
      <c r="Q517" s="464"/>
      <c r="R517" s="465"/>
      <c r="S517" s="173">
        <f t="shared" si="17"/>
        <v>0</v>
      </c>
      <c r="AT517" s="176" t="e">
        <f>VLOOKUP($E517,RESOURCES!$C:$E,3,FALSE)</f>
        <v>#N/A</v>
      </c>
      <c r="AU517" s="176">
        <f t="shared" ref="AU517:AU580" si="18">C517</f>
        <v>0</v>
      </c>
    </row>
    <row r="518" spans="1:47">
      <c r="A518" s="459"/>
      <c r="B518" s="459"/>
      <c r="C518" s="459"/>
      <c r="E518" s="461"/>
      <c r="F518" s="461"/>
      <c r="G518" s="461"/>
      <c r="H518" s="461"/>
      <c r="I518" s="462"/>
      <c r="J518" s="462"/>
      <c r="K518" s="462"/>
      <c r="L518" s="462"/>
      <c r="M518" s="462"/>
      <c r="N518" s="463"/>
      <c r="O518" s="464"/>
      <c r="P518" s="463"/>
      <c r="Q518" s="464"/>
      <c r="R518" s="465"/>
      <c r="S518" s="173">
        <f t="shared" si="17"/>
        <v>0</v>
      </c>
      <c r="AT518" s="176" t="e">
        <f>VLOOKUP($E518,RESOURCES!$C:$E,3,FALSE)</f>
        <v>#N/A</v>
      </c>
      <c r="AU518" s="176">
        <f t="shared" si="18"/>
        <v>0</v>
      </c>
    </row>
    <row r="519" spans="1:47">
      <c r="A519" s="459"/>
      <c r="B519" s="459"/>
      <c r="C519" s="459"/>
      <c r="E519" s="461"/>
      <c r="F519" s="461"/>
      <c r="G519" s="461"/>
      <c r="H519" s="461"/>
      <c r="I519" s="462"/>
      <c r="J519" s="462"/>
      <c r="K519" s="462"/>
      <c r="L519" s="462"/>
      <c r="M519" s="462"/>
      <c r="N519" s="463"/>
      <c r="O519" s="464"/>
      <c r="P519" s="463"/>
      <c r="Q519" s="464"/>
      <c r="R519" s="465"/>
      <c r="S519" s="173">
        <f t="shared" si="17"/>
        <v>0</v>
      </c>
      <c r="AT519" s="176" t="e">
        <f>VLOOKUP($E519,RESOURCES!$C:$E,3,FALSE)</f>
        <v>#N/A</v>
      </c>
      <c r="AU519" s="176">
        <f t="shared" si="18"/>
        <v>0</v>
      </c>
    </row>
    <row r="520" spans="1:47">
      <c r="A520" s="459"/>
      <c r="B520" s="459"/>
      <c r="C520" s="459"/>
      <c r="E520" s="461"/>
      <c r="F520" s="461"/>
      <c r="G520" s="461"/>
      <c r="H520" s="461"/>
      <c r="I520" s="462"/>
      <c r="J520" s="462"/>
      <c r="K520" s="462"/>
      <c r="L520" s="462"/>
      <c r="M520" s="462"/>
      <c r="N520" s="463"/>
      <c r="O520" s="464"/>
      <c r="P520" s="463"/>
      <c r="Q520" s="464"/>
      <c r="R520" s="465"/>
      <c r="S520" s="173">
        <f t="shared" si="17"/>
        <v>0</v>
      </c>
      <c r="AT520" s="176" t="e">
        <f>VLOOKUP($E520,RESOURCES!$C:$E,3,FALSE)</f>
        <v>#N/A</v>
      </c>
      <c r="AU520" s="176">
        <f t="shared" si="18"/>
        <v>0</v>
      </c>
    </row>
    <row r="521" spans="1:47">
      <c r="A521" s="459"/>
      <c r="B521" s="459"/>
      <c r="C521" s="459"/>
      <c r="E521" s="461"/>
      <c r="F521" s="461"/>
      <c r="G521" s="461"/>
      <c r="H521" s="461"/>
      <c r="I521" s="462"/>
      <c r="J521" s="462"/>
      <c r="K521" s="462"/>
      <c r="L521" s="462"/>
      <c r="M521" s="462"/>
      <c r="N521" s="463"/>
      <c r="O521" s="464"/>
      <c r="P521" s="463"/>
      <c r="Q521" s="464"/>
      <c r="R521" s="465"/>
      <c r="S521" s="173">
        <f t="shared" si="17"/>
        <v>0</v>
      </c>
      <c r="AT521" s="176" t="e">
        <f>VLOOKUP($E521,RESOURCES!$C:$E,3,FALSE)</f>
        <v>#N/A</v>
      </c>
      <c r="AU521" s="176">
        <f t="shared" si="18"/>
        <v>0</v>
      </c>
    </row>
    <row r="522" spans="1:47">
      <c r="A522" s="459"/>
      <c r="B522" s="459"/>
      <c r="C522" s="459"/>
      <c r="E522" s="461"/>
      <c r="F522" s="461"/>
      <c r="G522" s="461"/>
      <c r="H522" s="461"/>
      <c r="I522" s="462"/>
      <c r="J522" s="462"/>
      <c r="K522" s="462"/>
      <c r="L522" s="462"/>
      <c r="M522" s="462"/>
      <c r="N522" s="463"/>
      <c r="O522" s="464"/>
      <c r="P522" s="463"/>
      <c r="Q522" s="464"/>
      <c r="R522" s="465"/>
      <c r="S522" s="173">
        <f t="shared" si="17"/>
        <v>0</v>
      </c>
      <c r="AT522" s="176" t="e">
        <f>VLOOKUP($E522,RESOURCES!$C:$E,3,FALSE)</f>
        <v>#N/A</v>
      </c>
      <c r="AU522" s="176">
        <f t="shared" si="18"/>
        <v>0</v>
      </c>
    </row>
    <row r="523" spans="1:47">
      <c r="A523" s="459"/>
      <c r="B523" s="459"/>
      <c r="C523" s="459"/>
      <c r="E523" s="461"/>
      <c r="F523" s="461"/>
      <c r="G523" s="461"/>
      <c r="H523" s="461"/>
      <c r="I523" s="462"/>
      <c r="J523" s="462"/>
      <c r="K523" s="462"/>
      <c r="L523" s="462"/>
      <c r="M523" s="462"/>
      <c r="N523" s="463"/>
      <c r="O523" s="464"/>
      <c r="P523" s="463"/>
      <c r="Q523" s="464"/>
      <c r="R523" s="465"/>
      <c r="S523" s="173">
        <f t="shared" si="17"/>
        <v>0</v>
      </c>
      <c r="AT523" s="176" t="e">
        <f>VLOOKUP($E523,RESOURCES!$C:$E,3,FALSE)</f>
        <v>#N/A</v>
      </c>
      <c r="AU523" s="176">
        <f t="shared" si="18"/>
        <v>0</v>
      </c>
    </row>
    <row r="524" spans="1:47">
      <c r="A524" s="459"/>
      <c r="B524" s="459"/>
      <c r="C524" s="459"/>
      <c r="E524" s="461"/>
      <c r="F524" s="461"/>
      <c r="G524" s="461"/>
      <c r="H524" s="461"/>
      <c r="I524" s="462"/>
      <c r="J524" s="462"/>
      <c r="K524" s="462"/>
      <c r="L524" s="462"/>
      <c r="M524" s="462"/>
      <c r="N524" s="463"/>
      <c r="O524" s="464"/>
      <c r="P524" s="463"/>
      <c r="Q524" s="464"/>
      <c r="R524" s="465"/>
      <c r="S524" s="173">
        <f t="shared" si="17"/>
        <v>0</v>
      </c>
      <c r="AT524" s="176" t="e">
        <f>VLOOKUP($E524,RESOURCES!$C:$E,3,FALSE)</f>
        <v>#N/A</v>
      </c>
      <c r="AU524" s="176">
        <f t="shared" si="18"/>
        <v>0</v>
      </c>
    </row>
    <row r="525" spans="1:47">
      <c r="A525" s="459"/>
      <c r="B525" s="459"/>
      <c r="C525" s="459"/>
      <c r="E525" s="461"/>
      <c r="F525" s="461"/>
      <c r="G525" s="461"/>
      <c r="H525" s="461"/>
      <c r="I525" s="462"/>
      <c r="J525" s="462"/>
      <c r="K525" s="462"/>
      <c r="L525" s="462"/>
      <c r="M525" s="462"/>
      <c r="N525" s="463"/>
      <c r="O525" s="464"/>
      <c r="P525" s="463"/>
      <c r="Q525" s="464"/>
      <c r="R525" s="465"/>
      <c r="S525" s="173">
        <f t="shared" ref="S525:S588" si="19">F525-(H525/7.5)</f>
        <v>0</v>
      </c>
      <c r="AT525" s="176" t="e">
        <f>VLOOKUP($E525,RESOURCES!$C:$E,3,FALSE)</f>
        <v>#N/A</v>
      </c>
      <c r="AU525" s="176">
        <f t="shared" si="18"/>
        <v>0</v>
      </c>
    </row>
    <row r="526" spans="1:47">
      <c r="A526" s="459"/>
      <c r="B526" s="459"/>
      <c r="C526" s="459"/>
      <c r="E526" s="461"/>
      <c r="F526" s="461"/>
      <c r="G526" s="461"/>
      <c r="H526" s="461"/>
      <c r="I526" s="462"/>
      <c r="J526" s="462"/>
      <c r="K526" s="462"/>
      <c r="L526" s="462"/>
      <c r="M526" s="462"/>
      <c r="N526" s="463"/>
      <c r="O526" s="464"/>
      <c r="P526" s="463"/>
      <c r="Q526" s="464"/>
      <c r="R526" s="465"/>
      <c r="S526" s="173">
        <f t="shared" si="19"/>
        <v>0</v>
      </c>
      <c r="AT526" s="176" t="e">
        <f>VLOOKUP($E526,RESOURCES!$C:$E,3,FALSE)</f>
        <v>#N/A</v>
      </c>
      <c r="AU526" s="176">
        <f t="shared" si="18"/>
        <v>0</v>
      </c>
    </row>
    <row r="527" spans="1:47">
      <c r="A527" s="459"/>
      <c r="B527" s="459"/>
      <c r="C527" s="459"/>
      <c r="E527" s="461"/>
      <c r="F527" s="461"/>
      <c r="G527" s="461"/>
      <c r="H527" s="461"/>
      <c r="I527" s="462"/>
      <c r="J527" s="462"/>
      <c r="K527" s="462"/>
      <c r="L527" s="462"/>
      <c r="M527" s="462"/>
      <c r="N527" s="463"/>
      <c r="O527" s="464"/>
      <c r="P527" s="463"/>
      <c r="Q527" s="464"/>
      <c r="R527" s="465"/>
      <c r="S527" s="173">
        <f t="shared" si="19"/>
        <v>0</v>
      </c>
      <c r="AT527" s="176" t="e">
        <f>VLOOKUP($E527,RESOURCES!$C:$E,3,FALSE)</f>
        <v>#N/A</v>
      </c>
      <c r="AU527" s="176">
        <f t="shared" si="18"/>
        <v>0</v>
      </c>
    </row>
    <row r="528" spans="1:47">
      <c r="A528" s="459"/>
      <c r="B528" s="459"/>
      <c r="C528" s="459"/>
      <c r="E528" s="461"/>
      <c r="F528" s="461"/>
      <c r="G528" s="461"/>
      <c r="H528" s="461"/>
      <c r="I528" s="462"/>
      <c r="J528" s="462"/>
      <c r="K528" s="462"/>
      <c r="L528" s="462"/>
      <c r="M528" s="462"/>
      <c r="N528" s="463"/>
      <c r="O528" s="464"/>
      <c r="P528" s="463"/>
      <c r="Q528" s="464"/>
      <c r="R528" s="465"/>
      <c r="S528" s="173">
        <f t="shared" si="19"/>
        <v>0</v>
      </c>
      <c r="AT528" s="176" t="e">
        <f>VLOOKUP($E528,RESOURCES!$C:$E,3,FALSE)</f>
        <v>#N/A</v>
      </c>
      <c r="AU528" s="176">
        <f t="shared" si="18"/>
        <v>0</v>
      </c>
    </row>
    <row r="529" spans="1:47">
      <c r="A529" s="459"/>
      <c r="B529" s="459"/>
      <c r="C529" s="459"/>
      <c r="E529" s="461"/>
      <c r="F529" s="461"/>
      <c r="G529" s="461"/>
      <c r="H529" s="461"/>
      <c r="I529" s="462"/>
      <c r="J529" s="462"/>
      <c r="K529" s="462"/>
      <c r="L529" s="462"/>
      <c r="M529" s="462"/>
      <c r="N529" s="463"/>
      <c r="O529" s="464"/>
      <c r="P529" s="463"/>
      <c r="Q529" s="464"/>
      <c r="R529" s="465"/>
      <c r="S529" s="173">
        <f t="shared" si="19"/>
        <v>0</v>
      </c>
      <c r="AT529" s="176" t="e">
        <f>VLOOKUP($E529,RESOURCES!$C:$E,3,FALSE)</f>
        <v>#N/A</v>
      </c>
      <c r="AU529" s="176">
        <f t="shared" si="18"/>
        <v>0</v>
      </c>
    </row>
    <row r="530" spans="1:47">
      <c r="A530" s="459"/>
      <c r="B530" s="459"/>
      <c r="C530" s="459"/>
      <c r="E530" s="461"/>
      <c r="F530" s="461"/>
      <c r="G530" s="461"/>
      <c r="H530" s="461"/>
      <c r="I530" s="462"/>
      <c r="J530" s="462"/>
      <c r="K530" s="462"/>
      <c r="L530" s="462"/>
      <c r="M530" s="462"/>
      <c r="N530" s="463"/>
      <c r="O530" s="464"/>
      <c r="P530" s="463"/>
      <c r="Q530" s="464"/>
      <c r="R530" s="465"/>
      <c r="S530" s="173">
        <f t="shared" si="19"/>
        <v>0</v>
      </c>
      <c r="AT530" s="176" t="e">
        <f>VLOOKUP($E530,RESOURCES!$C:$E,3,FALSE)</f>
        <v>#N/A</v>
      </c>
      <c r="AU530" s="176">
        <f t="shared" si="18"/>
        <v>0</v>
      </c>
    </row>
    <row r="531" spans="1:47">
      <c r="A531" s="459"/>
      <c r="B531" s="459"/>
      <c r="C531" s="459"/>
      <c r="E531" s="461"/>
      <c r="F531" s="461"/>
      <c r="G531" s="461"/>
      <c r="H531" s="461"/>
      <c r="I531" s="462"/>
      <c r="J531" s="462"/>
      <c r="K531" s="462"/>
      <c r="L531" s="462"/>
      <c r="M531" s="462"/>
      <c r="N531" s="463"/>
      <c r="O531" s="464"/>
      <c r="P531" s="463"/>
      <c r="Q531" s="464"/>
      <c r="R531" s="465"/>
      <c r="S531" s="173">
        <f t="shared" si="19"/>
        <v>0</v>
      </c>
      <c r="AT531" s="176" t="e">
        <f>VLOOKUP($E531,RESOURCES!$C:$E,3,FALSE)</f>
        <v>#N/A</v>
      </c>
      <c r="AU531" s="176">
        <f t="shared" si="18"/>
        <v>0</v>
      </c>
    </row>
    <row r="532" spans="1:47">
      <c r="A532" s="459"/>
      <c r="B532" s="459"/>
      <c r="C532" s="459"/>
      <c r="E532" s="461"/>
      <c r="F532" s="461"/>
      <c r="G532" s="461"/>
      <c r="H532" s="461"/>
      <c r="I532" s="462"/>
      <c r="J532" s="462"/>
      <c r="K532" s="462"/>
      <c r="L532" s="462"/>
      <c r="M532" s="462"/>
      <c r="N532" s="463"/>
      <c r="O532" s="464"/>
      <c r="P532" s="463"/>
      <c r="Q532" s="464"/>
      <c r="R532" s="465"/>
      <c r="S532" s="173">
        <f t="shared" si="19"/>
        <v>0</v>
      </c>
      <c r="AT532" s="176" t="e">
        <f>VLOOKUP($E532,RESOURCES!$C:$E,3,FALSE)</f>
        <v>#N/A</v>
      </c>
      <c r="AU532" s="176">
        <f t="shared" si="18"/>
        <v>0</v>
      </c>
    </row>
    <row r="533" spans="1:47">
      <c r="A533" s="459"/>
      <c r="B533" s="459"/>
      <c r="C533" s="459"/>
      <c r="E533" s="461"/>
      <c r="F533" s="461"/>
      <c r="G533" s="461"/>
      <c r="H533" s="461"/>
      <c r="I533" s="462"/>
      <c r="J533" s="462"/>
      <c r="K533" s="462"/>
      <c r="L533" s="462"/>
      <c r="M533" s="462"/>
      <c r="N533" s="463"/>
      <c r="O533" s="464"/>
      <c r="P533" s="463"/>
      <c r="Q533" s="464"/>
      <c r="R533" s="465"/>
      <c r="S533" s="173">
        <f t="shared" si="19"/>
        <v>0</v>
      </c>
      <c r="AT533" s="176" t="e">
        <f>VLOOKUP($E533,RESOURCES!$C:$E,3,FALSE)</f>
        <v>#N/A</v>
      </c>
      <c r="AU533" s="176">
        <f t="shared" si="18"/>
        <v>0</v>
      </c>
    </row>
    <row r="534" spans="1:47">
      <c r="A534" s="459"/>
      <c r="B534" s="459"/>
      <c r="C534" s="459"/>
      <c r="E534" s="461"/>
      <c r="F534" s="461"/>
      <c r="G534" s="461"/>
      <c r="H534" s="461"/>
      <c r="I534" s="462"/>
      <c r="J534" s="462"/>
      <c r="K534" s="462"/>
      <c r="L534" s="462"/>
      <c r="M534" s="462"/>
      <c r="N534" s="463"/>
      <c r="O534" s="464"/>
      <c r="P534" s="463"/>
      <c r="Q534" s="464"/>
      <c r="R534" s="465"/>
      <c r="S534" s="173">
        <f t="shared" si="19"/>
        <v>0</v>
      </c>
      <c r="AT534" s="176" t="e">
        <f>VLOOKUP($E534,RESOURCES!$C:$E,3,FALSE)</f>
        <v>#N/A</v>
      </c>
      <c r="AU534" s="176">
        <f t="shared" si="18"/>
        <v>0</v>
      </c>
    </row>
    <row r="535" spans="1:47">
      <c r="A535" s="459"/>
      <c r="B535" s="459"/>
      <c r="C535" s="459"/>
      <c r="E535" s="461"/>
      <c r="F535" s="461"/>
      <c r="G535" s="461"/>
      <c r="H535" s="461"/>
      <c r="I535" s="462"/>
      <c r="J535" s="462"/>
      <c r="K535" s="462"/>
      <c r="L535" s="462"/>
      <c r="M535" s="462"/>
      <c r="N535" s="463"/>
      <c r="O535" s="464"/>
      <c r="P535" s="463"/>
      <c r="Q535" s="464"/>
      <c r="R535" s="465"/>
      <c r="S535" s="173">
        <f t="shared" si="19"/>
        <v>0</v>
      </c>
      <c r="AT535" s="176" t="e">
        <f>VLOOKUP($E535,RESOURCES!$C:$E,3,FALSE)</f>
        <v>#N/A</v>
      </c>
      <c r="AU535" s="176">
        <f t="shared" si="18"/>
        <v>0</v>
      </c>
    </row>
    <row r="536" spans="1:47">
      <c r="A536" s="459"/>
      <c r="B536" s="459"/>
      <c r="C536" s="459"/>
      <c r="E536" s="461"/>
      <c r="F536" s="461"/>
      <c r="G536" s="461"/>
      <c r="H536" s="461"/>
      <c r="I536" s="462"/>
      <c r="J536" s="462"/>
      <c r="K536" s="462"/>
      <c r="L536" s="462"/>
      <c r="M536" s="462"/>
      <c r="N536" s="463"/>
      <c r="O536" s="464"/>
      <c r="P536" s="463"/>
      <c r="Q536" s="464"/>
      <c r="R536" s="465"/>
      <c r="S536" s="173">
        <f t="shared" si="19"/>
        <v>0</v>
      </c>
      <c r="AT536" s="176" t="e">
        <f>VLOOKUP($E536,RESOURCES!$C:$E,3,FALSE)</f>
        <v>#N/A</v>
      </c>
      <c r="AU536" s="176">
        <f t="shared" si="18"/>
        <v>0</v>
      </c>
    </row>
    <row r="537" spans="1:47">
      <c r="A537" s="459"/>
      <c r="B537" s="459"/>
      <c r="C537" s="459"/>
      <c r="E537" s="461"/>
      <c r="F537" s="461"/>
      <c r="G537" s="461"/>
      <c r="H537" s="461"/>
      <c r="I537" s="462"/>
      <c r="J537" s="462"/>
      <c r="K537" s="462"/>
      <c r="L537" s="462"/>
      <c r="M537" s="462"/>
      <c r="N537" s="463"/>
      <c r="O537" s="464"/>
      <c r="P537" s="463"/>
      <c r="Q537" s="464"/>
      <c r="R537" s="465"/>
      <c r="S537" s="173">
        <f t="shared" si="19"/>
        <v>0</v>
      </c>
      <c r="AT537" s="176" t="e">
        <f>VLOOKUP($E537,RESOURCES!$C:$E,3,FALSE)</f>
        <v>#N/A</v>
      </c>
      <c r="AU537" s="176">
        <f t="shared" si="18"/>
        <v>0</v>
      </c>
    </row>
    <row r="538" spans="1:47">
      <c r="A538" s="459"/>
      <c r="B538" s="459"/>
      <c r="C538" s="459"/>
      <c r="E538" s="461"/>
      <c r="F538" s="461"/>
      <c r="G538" s="461"/>
      <c r="H538" s="461"/>
      <c r="I538" s="462"/>
      <c r="J538" s="462"/>
      <c r="K538" s="462"/>
      <c r="L538" s="462"/>
      <c r="M538" s="462"/>
      <c r="N538" s="463"/>
      <c r="O538" s="464"/>
      <c r="P538" s="463"/>
      <c r="Q538" s="464"/>
      <c r="R538" s="465"/>
      <c r="S538" s="173">
        <f t="shared" si="19"/>
        <v>0</v>
      </c>
      <c r="AT538" s="176" t="e">
        <f>VLOOKUP($E538,RESOURCES!$C:$E,3,FALSE)</f>
        <v>#N/A</v>
      </c>
      <c r="AU538" s="176">
        <f t="shared" si="18"/>
        <v>0</v>
      </c>
    </row>
    <row r="539" spans="1:47">
      <c r="A539" s="459"/>
      <c r="B539" s="459"/>
      <c r="C539" s="459"/>
      <c r="E539" s="461"/>
      <c r="F539" s="461"/>
      <c r="G539" s="461"/>
      <c r="H539" s="461"/>
      <c r="I539" s="462"/>
      <c r="J539" s="462"/>
      <c r="K539" s="462"/>
      <c r="L539" s="462"/>
      <c r="M539" s="462"/>
      <c r="N539" s="463"/>
      <c r="O539" s="464"/>
      <c r="P539" s="463"/>
      <c r="Q539" s="464"/>
      <c r="R539" s="465"/>
      <c r="S539" s="173">
        <f t="shared" si="19"/>
        <v>0</v>
      </c>
      <c r="AT539" s="176" t="e">
        <f>VLOOKUP($E539,RESOURCES!$C:$E,3,FALSE)</f>
        <v>#N/A</v>
      </c>
      <c r="AU539" s="176">
        <f t="shared" si="18"/>
        <v>0</v>
      </c>
    </row>
    <row r="540" spans="1:47">
      <c r="A540" s="459"/>
      <c r="B540" s="459"/>
      <c r="C540" s="459"/>
      <c r="E540" s="461"/>
      <c r="F540" s="461"/>
      <c r="G540" s="461"/>
      <c r="H540" s="461"/>
      <c r="I540" s="462"/>
      <c r="J540" s="462"/>
      <c r="K540" s="462"/>
      <c r="L540" s="462"/>
      <c r="M540" s="462"/>
      <c r="N540" s="463"/>
      <c r="O540" s="464"/>
      <c r="P540" s="463"/>
      <c r="Q540" s="464"/>
      <c r="R540" s="465"/>
      <c r="S540" s="173">
        <f t="shared" si="19"/>
        <v>0</v>
      </c>
      <c r="AT540" s="176" t="e">
        <f>VLOOKUP($E540,RESOURCES!$C:$E,3,FALSE)</f>
        <v>#N/A</v>
      </c>
      <c r="AU540" s="176">
        <f t="shared" si="18"/>
        <v>0</v>
      </c>
    </row>
    <row r="541" spans="1:47">
      <c r="A541" s="459"/>
      <c r="B541" s="459"/>
      <c r="C541" s="459"/>
      <c r="E541" s="461"/>
      <c r="F541" s="461"/>
      <c r="G541" s="461"/>
      <c r="H541" s="461"/>
      <c r="I541" s="462"/>
      <c r="J541" s="462"/>
      <c r="K541" s="462"/>
      <c r="L541" s="462"/>
      <c r="M541" s="462"/>
      <c r="N541" s="463"/>
      <c r="O541" s="464"/>
      <c r="P541" s="463"/>
      <c r="Q541" s="464"/>
      <c r="R541" s="465"/>
      <c r="S541" s="173">
        <f t="shared" si="19"/>
        <v>0</v>
      </c>
      <c r="AT541" s="176" t="e">
        <f>VLOOKUP($E541,RESOURCES!$C:$E,3,FALSE)</f>
        <v>#N/A</v>
      </c>
      <c r="AU541" s="176">
        <f t="shared" si="18"/>
        <v>0</v>
      </c>
    </row>
    <row r="542" spans="1:47">
      <c r="A542" s="459"/>
      <c r="B542" s="459"/>
      <c r="C542" s="459"/>
      <c r="E542" s="461"/>
      <c r="F542" s="461"/>
      <c r="G542" s="461"/>
      <c r="H542" s="461"/>
      <c r="I542" s="462"/>
      <c r="J542" s="462"/>
      <c r="K542" s="462"/>
      <c r="L542" s="462"/>
      <c r="M542" s="462"/>
      <c r="N542" s="463"/>
      <c r="O542" s="464"/>
      <c r="P542" s="463"/>
      <c r="Q542" s="464"/>
      <c r="R542" s="465"/>
      <c r="S542" s="173">
        <f t="shared" si="19"/>
        <v>0</v>
      </c>
      <c r="AT542" s="176" t="e">
        <f>VLOOKUP($E542,RESOURCES!$C:$E,3,FALSE)</f>
        <v>#N/A</v>
      </c>
      <c r="AU542" s="176">
        <f t="shared" si="18"/>
        <v>0</v>
      </c>
    </row>
    <row r="543" spans="1:47">
      <c r="A543" s="459"/>
      <c r="B543" s="459"/>
      <c r="C543" s="459"/>
      <c r="E543" s="461"/>
      <c r="F543" s="461"/>
      <c r="G543" s="461"/>
      <c r="H543" s="461"/>
      <c r="I543" s="462"/>
      <c r="J543" s="462"/>
      <c r="K543" s="462"/>
      <c r="L543" s="462"/>
      <c r="M543" s="462"/>
      <c r="N543" s="463"/>
      <c r="O543" s="464"/>
      <c r="P543" s="463"/>
      <c r="Q543" s="464"/>
      <c r="R543" s="465"/>
      <c r="S543" s="173">
        <f t="shared" si="19"/>
        <v>0</v>
      </c>
      <c r="AT543" s="176" t="e">
        <f>VLOOKUP($E543,RESOURCES!$C:$E,3,FALSE)</f>
        <v>#N/A</v>
      </c>
      <c r="AU543" s="176">
        <f t="shared" si="18"/>
        <v>0</v>
      </c>
    </row>
    <row r="544" spans="1:47">
      <c r="A544" s="459"/>
      <c r="B544" s="459"/>
      <c r="C544" s="459"/>
      <c r="E544" s="461"/>
      <c r="F544" s="461"/>
      <c r="G544" s="461"/>
      <c r="H544" s="461"/>
      <c r="I544" s="462"/>
      <c r="J544" s="462"/>
      <c r="K544" s="462"/>
      <c r="L544" s="462"/>
      <c r="M544" s="462"/>
      <c r="N544" s="463"/>
      <c r="O544" s="464"/>
      <c r="P544" s="463"/>
      <c r="Q544" s="464"/>
      <c r="R544" s="465"/>
      <c r="S544" s="173">
        <f t="shared" si="19"/>
        <v>0</v>
      </c>
      <c r="AT544" s="176" t="e">
        <f>VLOOKUP($E544,RESOURCES!$C:$E,3,FALSE)</f>
        <v>#N/A</v>
      </c>
      <c r="AU544" s="176">
        <f t="shared" si="18"/>
        <v>0</v>
      </c>
    </row>
    <row r="545" spans="1:47">
      <c r="A545" s="459"/>
      <c r="B545" s="459"/>
      <c r="C545" s="459"/>
      <c r="E545" s="461"/>
      <c r="F545" s="461"/>
      <c r="G545" s="461"/>
      <c r="H545" s="461"/>
      <c r="I545" s="462"/>
      <c r="J545" s="462"/>
      <c r="K545" s="462"/>
      <c r="L545" s="462"/>
      <c r="M545" s="462"/>
      <c r="N545" s="463"/>
      <c r="O545" s="464"/>
      <c r="P545" s="463"/>
      <c r="Q545" s="464"/>
      <c r="R545" s="465"/>
      <c r="S545" s="173">
        <f t="shared" si="19"/>
        <v>0</v>
      </c>
      <c r="AT545" s="176" t="e">
        <f>VLOOKUP($E545,RESOURCES!$C:$E,3,FALSE)</f>
        <v>#N/A</v>
      </c>
      <c r="AU545" s="176">
        <f t="shared" si="18"/>
        <v>0</v>
      </c>
    </row>
    <row r="546" spans="1:47">
      <c r="A546" s="459"/>
      <c r="B546" s="459"/>
      <c r="C546" s="459"/>
      <c r="E546" s="461"/>
      <c r="F546" s="461"/>
      <c r="G546" s="461"/>
      <c r="H546" s="461"/>
      <c r="I546" s="462"/>
      <c r="J546" s="462"/>
      <c r="K546" s="462"/>
      <c r="L546" s="462"/>
      <c r="M546" s="462"/>
      <c r="N546" s="463"/>
      <c r="O546" s="464"/>
      <c r="P546" s="463"/>
      <c r="Q546" s="464"/>
      <c r="R546" s="465"/>
      <c r="S546" s="173">
        <f t="shared" si="19"/>
        <v>0</v>
      </c>
      <c r="AT546" s="176" t="e">
        <f>VLOOKUP($E546,RESOURCES!$C:$E,3,FALSE)</f>
        <v>#N/A</v>
      </c>
      <c r="AU546" s="176">
        <f t="shared" si="18"/>
        <v>0</v>
      </c>
    </row>
    <row r="547" spans="1:47">
      <c r="A547" s="459"/>
      <c r="B547" s="459"/>
      <c r="C547" s="459"/>
      <c r="E547" s="461"/>
      <c r="F547" s="461"/>
      <c r="G547" s="461"/>
      <c r="H547" s="461"/>
      <c r="I547" s="462"/>
      <c r="J547" s="462"/>
      <c r="K547" s="462"/>
      <c r="L547" s="462"/>
      <c r="M547" s="462"/>
      <c r="N547" s="463"/>
      <c r="O547" s="464"/>
      <c r="P547" s="463"/>
      <c r="Q547" s="464"/>
      <c r="R547" s="465"/>
      <c r="S547" s="173">
        <f t="shared" si="19"/>
        <v>0</v>
      </c>
      <c r="AT547" s="176" t="e">
        <f>VLOOKUP($E547,RESOURCES!$C:$E,3,FALSE)</f>
        <v>#N/A</v>
      </c>
      <c r="AU547" s="176">
        <f t="shared" si="18"/>
        <v>0</v>
      </c>
    </row>
    <row r="548" spans="1:47">
      <c r="A548" s="459"/>
      <c r="B548" s="459"/>
      <c r="C548" s="459"/>
      <c r="E548" s="461"/>
      <c r="F548" s="461"/>
      <c r="G548" s="461"/>
      <c r="H548" s="461"/>
      <c r="I548" s="462"/>
      <c r="J548" s="462"/>
      <c r="K548" s="462"/>
      <c r="L548" s="462"/>
      <c r="M548" s="462"/>
      <c r="N548" s="463"/>
      <c r="O548" s="464"/>
      <c r="P548" s="463"/>
      <c r="Q548" s="464"/>
      <c r="R548" s="465"/>
      <c r="S548" s="173">
        <f t="shared" si="19"/>
        <v>0</v>
      </c>
      <c r="AT548" s="176" t="e">
        <f>VLOOKUP($E548,RESOURCES!$C:$E,3,FALSE)</f>
        <v>#N/A</v>
      </c>
      <c r="AU548" s="176">
        <f t="shared" si="18"/>
        <v>0</v>
      </c>
    </row>
    <row r="549" spans="1:47">
      <c r="A549" s="459"/>
      <c r="B549" s="459"/>
      <c r="C549" s="459"/>
      <c r="E549" s="461"/>
      <c r="F549" s="461"/>
      <c r="G549" s="461"/>
      <c r="H549" s="461"/>
      <c r="I549" s="462"/>
      <c r="J549" s="462"/>
      <c r="K549" s="462"/>
      <c r="L549" s="462"/>
      <c r="M549" s="462"/>
      <c r="N549" s="463"/>
      <c r="O549" s="464"/>
      <c r="P549" s="463"/>
      <c r="Q549" s="464"/>
      <c r="R549" s="465"/>
      <c r="S549" s="173">
        <f t="shared" si="19"/>
        <v>0</v>
      </c>
      <c r="AT549" s="176" t="e">
        <f>VLOOKUP($E549,RESOURCES!$C:$E,3,FALSE)</f>
        <v>#N/A</v>
      </c>
      <c r="AU549" s="176">
        <f t="shared" si="18"/>
        <v>0</v>
      </c>
    </row>
    <row r="550" spans="1:47">
      <c r="A550" s="459"/>
      <c r="B550" s="459"/>
      <c r="C550" s="459"/>
      <c r="E550" s="461"/>
      <c r="F550" s="461"/>
      <c r="G550" s="461"/>
      <c r="H550" s="461"/>
      <c r="I550" s="462"/>
      <c r="J550" s="462"/>
      <c r="K550" s="462"/>
      <c r="L550" s="462"/>
      <c r="M550" s="462"/>
      <c r="N550" s="463"/>
      <c r="O550" s="464"/>
      <c r="P550" s="463"/>
      <c r="Q550" s="464"/>
      <c r="R550" s="465"/>
      <c r="S550" s="173">
        <f t="shared" si="19"/>
        <v>0</v>
      </c>
      <c r="AT550" s="176" t="e">
        <f>VLOOKUP($E550,RESOURCES!$C:$E,3,FALSE)</f>
        <v>#N/A</v>
      </c>
      <c r="AU550" s="176">
        <f t="shared" si="18"/>
        <v>0</v>
      </c>
    </row>
    <row r="551" spans="1:47">
      <c r="A551" s="459"/>
      <c r="B551" s="459"/>
      <c r="C551" s="459"/>
      <c r="E551" s="461"/>
      <c r="F551" s="461"/>
      <c r="G551" s="461"/>
      <c r="H551" s="461"/>
      <c r="I551" s="462"/>
      <c r="J551" s="462"/>
      <c r="K551" s="462"/>
      <c r="L551" s="462"/>
      <c r="M551" s="462"/>
      <c r="N551" s="463"/>
      <c r="O551" s="464"/>
      <c r="P551" s="463"/>
      <c r="Q551" s="464"/>
      <c r="R551" s="465"/>
      <c r="S551" s="173">
        <f t="shared" si="19"/>
        <v>0</v>
      </c>
      <c r="AT551" s="176" t="e">
        <f>VLOOKUP($E551,RESOURCES!$C:$E,3,FALSE)</f>
        <v>#N/A</v>
      </c>
      <c r="AU551" s="176">
        <f t="shared" si="18"/>
        <v>0</v>
      </c>
    </row>
    <row r="552" spans="1:47">
      <c r="A552" s="459"/>
      <c r="B552" s="459"/>
      <c r="C552" s="459"/>
      <c r="E552" s="461"/>
      <c r="F552" s="461"/>
      <c r="G552" s="461"/>
      <c r="H552" s="461"/>
      <c r="I552" s="462"/>
      <c r="J552" s="462"/>
      <c r="K552" s="462"/>
      <c r="L552" s="462"/>
      <c r="M552" s="462"/>
      <c r="N552" s="463"/>
      <c r="O552" s="464"/>
      <c r="P552" s="463"/>
      <c r="Q552" s="464"/>
      <c r="R552" s="465"/>
      <c r="S552" s="173">
        <f t="shared" si="19"/>
        <v>0</v>
      </c>
      <c r="AT552" s="176" t="e">
        <f>VLOOKUP($E552,RESOURCES!$C:$E,3,FALSE)</f>
        <v>#N/A</v>
      </c>
      <c r="AU552" s="176">
        <f t="shared" si="18"/>
        <v>0</v>
      </c>
    </row>
    <row r="553" spans="1:47">
      <c r="A553" s="459"/>
      <c r="B553" s="459"/>
      <c r="C553" s="459"/>
      <c r="E553" s="461"/>
      <c r="F553" s="461"/>
      <c r="G553" s="461"/>
      <c r="H553" s="461"/>
      <c r="I553" s="462"/>
      <c r="J553" s="462"/>
      <c r="K553" s="462"/>
      <c r="L553" s="462"/>
      <c r="M553" s="462"/>
      <c r="N553" s="463"/>
      <c r="O553" s="464"/>
      <c r="P553" s="463"/>
      <c r="Q553" s="464"/>
      <c r="R553" s="465"/>
      <c r="S553" s="173">
        <f t="shared" si="19"/>
        <v>0</v>
      </c>
      <c r="AT553" s="176" t="e">
        <f>VLOOKUP($E553,RESOURCES!$C:$E,3,FALSE)</f>
        <v>#N/A</v>
      </c>
      <c r="AU553" s="176">
        <f t="shared" si="18"/>
        <v>0</v>
      </c>
    </row>
    <row r="554" spans="1:47">
      <c r="A554" s="459"/>
      <c r="B554" s="459"/>
      <c r="C554" s="459"/>
      <c r="E554" s="461"/>
      <c r="F554" s="461"/>
      <c r="G554" s="461"/>
      <c r="H554" s="461"/>
      <c r="I554" s="462"/>
      <c r="J554" s="462"/>
      <c r="K554" s="462"/>
      <c r="L554" s="462"/>
      <c r="M554" s="462"/>
      <c r="N554" s="463"/>
      <c r="O554" s="464"/>
      <c r="P554" s="463"/>
      <c r="Q554" s="464"/>
      <c r="R554" s="465"/>
      <c r="S554" s="173">
        <f t="shared" si="19"/>
        <v>0</v>
      </c>
      <c r="AT554" s="176" t="e">
        <f>VLOOKUP($E554,RESOURCES!$C:$E,3,FALSE)</f>
        <v>#N/A</v>
      </c>
      <c r="AU554" s="176">
        <f t="shared" si="18"/>
        <v>0</v>
      </c>
    </row>
    <row r="555" spans="1:47">
      <c r="A555" s="459"/>
      <c r="B555" s="459"/>
      <c r="C555" s="459"/>
      <c r="E555" s="461"/>
      <c r="F555" s="461"/>
      <c r="G555" s="461"/>
      <c r="H555" s="461"/>
      <c r="I555" s="462"/>
      <c r="J555" s="462"/>
      <c r="K555" s="462"/>
      <c r="L555" s="462"/>
      <c r="M555" s="462"/>
      <c r="N555" s="463"/>
      <c r="O555" s="464"/>
      <c r="P555" s="463"/>
      <c r="Q555" s="464"/>
      <c r="R555" s="465"/>
      <c r="S555" s="173">
        <f t="shared" si="19"/>
        <v>0</v>
      </c>
      <c r="AT555" s="176" t="e">
        <f>VLOOKUP($E555,RESOURCES!$C:$E,3,FALSE)</f>
        <v>#N/A</v>
      </c>
      <c r="AU555" s="176">
        <f t="shared" si="18"/>
        <v>0</v>
      </c>
    </row>
    <row r="556" spans="1:47">
      <c r="A556" s="459"/>
      <c r="B556" s="459"/>
      <c r="C556" s="459"/>
      <c r="E556" s="461"/>
      <c r="F556" s="461"/>
      <c r="G556" s="461"/>
      <c r="H556" s="461"/>
      <c r="I556" s="462"/>
      <c r="J556" s="462"/>
      <c r="K556" s="462"/>
      <c r="L556" s="462"/>
      <c r="M556" s="462"/>
      <c r="N556" s="463"/>
      <c r="O556" s="464"/>
      <c r="P556" s="463"/>
      <c r="Q556" s="464"/>
      <c r="R556" s="465"/>
      <c r="S556" s="173">
        <f t="shared" si="19"/>
        <v>0</v>
      </c>
      <c r="AT556" s="176" t="e">
        <f>VLOOKUP($E556,RESOURCES!$C:$E,3,FALSE)</f>
        <v>#N/A</v>
      </c>
      <c r="AU556" s="176">
        <f t="shared" si="18"/>
        <v>0</v>
      </c>
    </row>
    <row r="557" spans="1:47">
      <c r="A557" s="459"/>
      <c r="B557" s="459"/>
      <c r="C557" s="459"/>
      <c r="E557" s="461"/>
      <c r="F557" s="461"/>
      <c r="G557" s="461"/>
      <c r="H557" s="461"/>
      <c r="I557" s="462"/>
      <c r="J557" s="462"/>
      <c r="K557" s="462"/>
      <c r="L557" s="462"/>
      <c r="M557" s="462"/>
      <c r="N557" s="463"/>
      <c r="O557" s="464"/>
      <c r="P557" s="463"/>
      <c r="Q557" s="464"/>
      <c r="R557" s="465"/>
      <c r="S557" s="173">
        <f t="shared" si="19"/>
        <v>0</v>
      </c>
      <c r="AT557" s="176" t="e">
        <f>VLOOKUP($E557,RESOURCES!$C:$E,3,FALSE)</f>
        <v>#N/A</v>
      </c>
      <c r="AU557" s="176">
        <f t="shared" si="18"/>
        <v>0</v>
      </c>
    </row>
    <row r="558" spans="1:47">
      <c r="A558" s="459"/>
      <c r="B558" s="459"/>
      <c r="C558" s="459"/>
      <c r="E558" s="461"/>
      <c r="F558" s="461"/>
      <c r="G558" s="461"/>
      <c r="H558" s="461"/>
      <c r="I558" s="462"/>
      <c r="J558" s="462"/>
      <c r="K558" s="462"/>
      <c r="L558" s="462"/>
      <c r="M558" s="462"/>
      <c r="N558" s="463"/>
      <c r="O558" s="464"/>
      <c r="P558" s="463"/>
      <c r="Q558" s="464"/>
      <c r="R558" s="465"/>
      <c r="S558" s="173">
        <f t="shared" si="19"/>
        <v>0</v>
      </c>
      <c r="AT558" s="176" t="e">
        <f>VLOOKUP($E558,RESOURCES!$C:$E,3,FALSE)</f>
        <v>#N/A</v>
      </c>
      <c r="AU558" s="176">
        <f t="shared" si="18"/>
        <v>0</v>
      </c>
    </row>
    <row r="559" spans="1:47">
      <c r="A559" s="459"/>
      <c r="B559" s="459"/>
      <c r="C559" s="459"/>
      <c r="E559" s="461"/>
      <c r="F559" s="461"/>
      <c r="G559" s="461"/>
      <c r="H559" s="461"/>
      <c r="I559" s="462"/>
      <c r="J559" s="462"/>
      <c r="K559" s="462"/>
      <c r="L559" s="462"/>
      <c r="M559" s="462"/>
      <c r="N559" s="463"/>
      <c r="O559" s="464"/>
      <c r="P559" s="463"/>
      <c r="Q559" s="464"/>
      <c r="R559" s="465"/>
      <c r="S559" s="173">
        <f t="shared" si="19"/>
        <v>0</v>
      </c>
      <c r="AT559" s="176" t="e">
        <f>VLOOKUP($E559,RESOURCES!$C:$E,3,FALSE)</f>
        <v>#N/A</v>
      </c>
      <c r="AU559" s="176">
        <f t="shared" si="18"/>
        <v>0</v>
      </c>
    </row>
    <row r="560" spans="1:47">
      <c r="A560" s="459"/>
      <c r="B560" s="459"/>
      <c r="C560" s="459"/>
      <c r="E560" s="461"/>
      <c r="F560" s="461"/>
      <c r="G560" s="461"/>
      <c r="H560" s="461"/>
      <c r="I560" s="462"/>
      <c r="J560" s="462"/>
      <c r="K560" s="462"/>
      <c r="L560" s="462"/>
      <c r="M560" s="462"/>
      <c r="N560" s="463"/>
      <c r="O560" s="464"/>
      <c r="P560" s="463"/>
      <c r="Q560" s="464"/>
      <c r="R560" s="465"/>
      <c r="S560" s="173">
        <f t="shared" si="19"/>
        <v>0</v>
      </c>
      <c r="AT560" s="176" t="e">
        <f>VLOOKUP($E560,RESOURCES!$C:$E,3,FALSE)</f>
        <v>#N/A</v>
      </c>
      <c r="AU560" s="176">
        <f t="shared" si="18"/>
        <v>0</v>
      </c>
    </row>
    <row r="561" spans="1:47">
      <c r="A561" s="459"/>
      <c r="B561" s="459"/>
      <c r="C561" s="459"/>
      <c r="E561" s="461"/>
      <c r="F561" s="461"/>
      <c r="G561" s="461"/>
      <c r="H561" s="461"/>
      <c r="I561" s="462"/>
      <c r="J561" s="462"/>
      <c r="K561" s="462"/>
      <c r="L561" s="462"/>
      <c r="M561" s="462"/>
      <c r="N561" s="463"/>
      <c r="O561" s="464"/>
      <c r="P561" s="463"/>
      <c r="Q561" s="464"/>
      <c r="R561" s="465"/>
      <c r="S561" s="173">
        <f t="shared" si="19"/>
        <v>0</v>
      </c>
      <c r="AT561" s="176" t="e">
        <f>VLOOKUP($E561,RESOURCES!$C:$E,3,FALSE)</f>
        <v>#N/A</v>
      </c>
      <c r="AU561" s="176">
        <f t="shared" si="18"/>
        <v>0</v>
      </c>
    </row>
    <row r="562" spans="1:47">
      <c r="A562" s="459"/>
      <c r="B562" s="459"/>
      <c r="C562" s="459"/>
      <c r="E562" s="461"/>
      <c r="F562" s="461"/>
      <c r="G562" s="461"/>
      <c r="H562" s="461"/>
      <c r="I562" s="462"/>
      <c r="J562" s="462"/>
      <c r="K562" s="462"/>
      <c r="L562" s="462"/>
      <c r="M562" s="462"/>
      <c r="N562" s="463"/>
      <c r="O562" s="464"/>
      <c r="P562" s="463"/>
      <c r="Q562" s="464"/>
      <c r="R562" s="465"/>
      <c r="S562" s="173">
        <f t="shared" si="19"/>
        <v>0</v>
      </c>
      <c r="AT562" s="176" t="e">
        <f>VLOOKUP($E562,RESOURCES!$C:$E,3,FALSE)</f>
        <v>#N/A</v>
      </c>
      <c r="AU562" s="176">
        <f t="shared" si="18"/>
        <v>0</v>
      </c>
    </row>
    <row r="563" spans="1:47">
      <c r="A563" s="459"/>
      <c r="B563" s="459"/>
      <c r="C563" s="459"/>
      <c r="E563" s="461"/>
      <c r="F563" s="461"/>
      <c r="G563" s="461"/>
      <c r="H563" s="461"/>
      <c r="I563" s="462"/>
      <c r="J563" s="462"/>
      <c r="K563" s="462"/>
      <c r="L563" s="462"/>
      <c r="M563" s="462"/>
      <c r="N563" s="463"/>
      <c r="O563" s="464"/>
      <c r="P563" s="463"/>
      <c r="Q563" s="464"/>
      <c r="R563" s="465"/>
      <c r="S563" s="173">
        <f t="shared" si="19"/>
        <v>0</v>
      </c>
      <c r="AT563" s="176" t="e">
        <f>VLOOKUP($E563,RESOURCES!$C:$E,3,FALSE)</f>
        <v>#N/A</v>
      </c>
      <c r="AU563" s="176">
        <f t="shared" si="18"/>
        <v>0</v>
      </c>
    </row>
    <row r="564" spans="1:47">
      <c r="A564" s="459"/>
      <c r="B564" s="459"/>
      <c r="C564" s="459"/>
      <c r="E564" s="461"/>
      <c r="F564" s="461"/>
      <c r="G564" s="461"/>
      <c r="H564" s="461"/>
      <c r="I564" s="462"/>
      <c r="J564" s="462"/>
      <c r="K564" s="462"/>
      <c r="L564" s="462"/>
      <c r="M564" s="462"/>
      <c r="N564" s="463"/>
      <c r="O564" s="464"/>
      <c r="P564" s="463"/>
      <c r="Q564" s="464"/>
      <c r="R564" s="465"/>
      <c r="S564" s="173">
        <f t="shared" si="19"/>
        <v>0</v>
      </c>
      <c r="AT564" s="176" t="e">
        <f>VLOOKUP($E564,RESOURCES!$C:$E,3,FALSE)</f>
        <v>#N/A</v>
      </c>
      <c r="AU564" s="176">
        <f t="shared" si="18"/>
        <v>0</v>
      </c>
    </row>
    <row r="565" spans="1:47">
      <c r="A565" s="459"/>
      <c r="B565" s="459"/>
      <c r="C565" s="459"/>
      <c r="E565" s="461"/>
      <c r="F565" s="461"/>
      <c r="G565" s="461"/>
      <c r="H565" s="461"/>
      <c r="I565" s="462"/>
      <c r="J565" s="462"/>
      <c r="K565" s="462"/>
      <c r="L565" s="462"/>
      <c r="M565" s="462"/>
      <c r="N565" s="463"/>
      <c r="O565" s="464"/>
      <c r="P565" s="463"/>
      <c r="Q565" s="464"/>
      <c r="R565" s="465"/>
      <c r="S565" s="173">
        <f t="shared" si="19"/>
        <v>0</v>
      </c>
      <c r="AT565" s="176" t="e">
        <f>VLOOKUP($E565,RESOURCES!$C:$E,3,FALSE)</f>
        <v>#N/A</v>
      </c>
      <c r="AU565" s="176">
        <f t="shared" si="18"/>
        <v>0</v>
      </c>
    </row>
    <row r="566" spans="1:47">
      <c r="A566" s="459"/>
      <c r="B566" s="459"/>
      <c r="C566" s="459"/>
      <c r="E566" s="461"/>
      <c r="F566" s="461"/>
      <c r="G566" s="461"/>
      <c r="H566" s="461"/>
      <c r="I566" s="462"/>
      <c r="J566" s="462"/>
      <c r="K566" s="462"/>
      <c r="L566" s="462"/>
      <c r="M566" s="462"/>
      <c r="N566" s="463"/>
      <c r="O566" s="464"/>
      <c r="P566" s="463"/>
      <c r="Q566" s="464"/>
      <c r="R566" s="465"/>
      <c r="S566" s="173">
        <f t="shared" si="19"/>
        <v>0</v>
      </c>
      <c r="AT566" s="176" t="e">
        <f>VLOOKUP($E566,RESOURCES!$C:$E,3,FALSE)</f>
        <v>#N/A</v>
      </c>
      <c r="AU566" s="176">
        <f t="shared" si="18"/>
        <v>0</v>
      </c>
    </row>
    <row r="567" spans="1:47">
      <c r="A567" s="459"/>
      <c r="B567" s="459"/>
      <c r="C567" s="459"/>
      <c r="E567" s="461"/>
      <c r="F567" s="461"/>
      <c r="G567" s="461"/>
      <c r="H567" s="461"/>
      <c r="I567" s="462"/>
      <c r="J567" s="462"/>
      <c r="K567" s="462"/>
      <c r="L567" s="462"/>
      <c r="M567" s="462"/>
      <c r="N567" s="463"/>
      <c r="O567" s="464"/>
      <c r="P567" s="463"/>
      <c r="Q567" s="464"/>
      <c r="R567" s="465"/>
      <c r="S567" s="173">
        <f t="shared" si="19"/>
        <v>0</v>
      </c>
      <c r="AT567" s="176" t="e">
        <f>VLOOKUP($E567,RESOURCES!$C:$E,3,FALSE)</f>
        <v>#N/A</v>
      </c>
      <c r="AU567" s="176">
        <f t="shared" si="18"/>
        <v>0</v>
      </c>
    </row>
    <row r="568" spans="1:47">
      <c r="A568" s="459"/>
      <c r="B568" s="459"/>
      <c r="C568" s="459"/>
      <c r="E568" s="461"/>
      <c r="F568" s="461"/>
      <c r="G568" s="461"/>
      <c r="H568" s="461"/>
      <c r="I568" s="462"/>
      <c r="J568" s="462"/>
      <c r="K568" s="462"/>
      <c r="L568" s="462"/>
      <c r="M568" s="462"/>
      <c r="N568" s="463"/>
      <c r="O568" s="464"/>
      <c r="P568" s="463"/>
      <c r="Q568" s="464"/>
      <c r="R568" s="465"/>
      <c r="S568" s="173">
        <f t="shared" si="19"/>
        <v>0</v>
      </c>
      <c r="AT568" s="176" t="e">
        <f>VLOOKUP($E568,RESOURCES!$C:$E,3,FALSE)</f>
        <v>#N/A</v>
      </c>
      <c r="AU568" s="176">
        <f t="shared" si="18"/>
        <v>0</v>
      </c>
    </row>
    <row r="569" spans="1:47">
      <c r="A569" s="459"/>
      <c r="B569" s="459"/>
      <c r="C569" s="459"/>
      <c r="E569" s="461"/>
      <c r="F569" s="461"/>
      <c r="G569" s="461"/>
      <c r="H569" s="461"/>
      <c r="I569" s="462"/>
      <c r="J569" s="462"/>
      <c r="K569" s="462"/>
      <c r="L569" s="462"/>
      <c r="M569" s="462"/>
      <c r="N569" s="463"/>
      <c r="O569" s="464"/>
      <c r="P569" s="463"/>
      <c r="Q569" s="464"/>
      <c r="R569" s="465"/>
      <c r="S569" s="173">
        <f t="shared" si="19"/>
        <v>0</v>
      </c>
      <c r="AT569" s="176" t="e">
        <f>VLOOKUP($E569,RESOURCES!$C:$E,3,FALSE)</f>
        <v>#N/A</v>
      </c>
      <c r="AU569" s="176">
        <f t="shared" si="18"/>
        <v>0</v>
      </c>
    </row>
    <row r="570" spans="1:47">
      <c r="A570" s="459"/>
      <c r="B570" s="459"/>
      <c r="C570" s="459"/>
      <c r="E570" s="461"/>
      <c r="F570" s="461"/>
      <c r="G570" s="461"/>
      <c r="H570" s="461"/>
      <c r="I570" s="462"/>
      <c r="J570" s="462"/>
      <c r="K570" s="462"/>
      <c r="L570" s="462"/>
      <c r="M570" s="462"/>
      <c r="N570" s="463"/>
      <c r="O570" s="464"/>
      <c r="P570" s="463"/>
      <c r="Q570" s="464"/>
      <c r="R570" s="465"/>
      <c r="S570" s="173">
        <f t="shared" si="19"/>
        <v>0</v>
      </c>
      <c r="AT570" s="176" t="e">
        <f>VLOOKUP($E570,RESOURCES!$C:$E,3,FALSE)</f>
        <v>#N/A</v>
      </c>
      <c r="AU570" s="176">
        <f t="shared" si="18"/>
        <v>0</v>
      </c>
    </row>
    <row r="571" spans="1:47">
      <c r="A571" s="459"/>
      <c r="B571" s="459"/>
      <c r="C571" s="459"/>
      <c r="E571" s="461"/>
      <c r="F571" s="461"/>
      <c r="G571" s="461"/>
      <c r="H571" s="461"/>
      <c r="I571" s="462"/>
      <c r="J571" s="462"/>
      <c r="K571" s="462"/>
      <c r="L571" s="462"/>
      <c r="M571" s="462"/>
      <c r="N571" s="463"/>
      <c r="O571" s="464"/>
      <c r="P571" s="463"/>
      <c r="Q571" s="464"/>
      <c r="R571" s="465"/>
      <c r="S571" s="173">
        <f t="shared" si="19"/>
        <v>0</v>
      </c>
      <c r="AT571" s="176" t="e">
        <f>VLOOKUP($E571,RESOURCES!$C:$E,3,FALSE)</f>
        <v>#N/A</v>
      </c>
      <c r="AU571" s="176">
        <f t="shared" si="18"/>
        <v>0</v>
      </c>
    </row>
    <row r="572" spans="1:47">
      <c r="A572" s="459"/>
      <c r="B572" s="459"/>
      <c r="C572" s="459"/>
      <c r="E572" s="461"/>
      <c r="F572" s="461"/>
      <c r="G572" s="461"/>
      <c r="H572" s="461"/>
      <c r="I572" s="462"/>
      <c r="J572" s="462"/>
      <c r="K572" s="462"/>
      <c r="L572" s="462"/>
      <c r="M572" s="462"/>
      <c r="N572" s="463"/>
      <c r="O572" s="464"/>
      <c r="P572" s="463"/>
      <c r="Q572" s="464"/>
      <c r="R572" s="465"/>
      <c r="S572" s="173">
        <f t="shared" si="19"/>
        <v>0</v>
      </c>
      <c r="AT572" s="176" t="e">
        <f>VLOOKUP($E572,RESOURCES!$C:$E,3,FALSE)</f>
        <v>#N/A</v>
      </c>
      <c r="AU572" s="176">
        <f t="shared" si="18"/>
        <v>0</v>
      </c>
    </row>
    <row r="573" spans="1:47">
      <c r="A573" s="459"/>
      <c r="B573" s="459"/>
      <c r="C573" s="459"/>
      <c r="E573" s="461"/>
      <c r="F573" s="461"/>
      <c r="G573" s="461"/>
      <c r="H573" s="461"/>
      <c r="I573" s="462"/>
      <c r="J573" s="462"/>
      <c r="K573" s="462"/>
      <c r="L573" s="462"/>
      <c r="M573" s="462"/>
      <c r="N573" s="463"/>
      <c r="O573" s="464"/>
      <c r="P573" s="463"/>
      <c r="Q573" s="464"/>
      <c r="R573" s="465"/>
      <c r="S573" s="173">
        <f t="shared" si="19"/>
        <v>0</v>
      </c>
      <c r="AT573" s="176" t="e">
        <f>VLOOKUP($E573,RESOURCES!$C:$E,3,FALSE)</f>
        <v>#N/A</v>
      </c>
      <c r="AU573" s="176">
        <f t="shared" si="18"/>
        <v>0</v>
      </c>
    </row>
    <row r="574" spans="1:47">
      <c r="A574" s="459"/>
      <c r="B574" s="459"/>
      <c r="C574" s="459"/>
      <c r="E574" s="461"/>
      <c r="F574" s="461"/>
      <c r="G574" s="461"/>
      <c r="H574" s="461"/>
      <c r="I574" s="462"/>
      <c r="J574" s="462"/>
      <c r="K574" s="462"/>
      <c r="L574" s="462"/>
      <c r="M574" s="462"/>
      <c r="N574" s="463"/>
      <c r="O574" s="464"/>
      <c r="P574" s="463"/>
      <c r="Q574" s="464"/>
      <c r="R574" s="465"/>
      <c r="S574" s="173">
        <f t="shared" si="19"/>
        <v>0</v>
      </c>
      <c r="AT574" s="176" t="e">
        <f>VLOOKUP($E574,RESOURCES!$C:$E,3,FALSE)</f>
        <v>#N/A</v>
      </c>
      <c r="AU574" s="176">
        <f t="shared" si="18"/>
        <v>0</v>
      </c>
    </row>
    <row r="575" spans="1:47">
      <c r="A575" s="459"/>
      <c r="B575" s="459"/>
      <c r="C575" s="459"/>
      <c r="E575" s="461"/>
      <c r="F575" s="461"/>
      <c r="G575" s="461"/>
      <c r="H575" s="461"/>
      <c r="I575" s="462"/>
      <c r="J575" s="462"/>
      <c r="K575" s="462"/>
      <c r="L575" s="462"/>
      <c r="M575" s="462"/>
      <c r="N575" s="463"/>
      <c r="O575" s="464"/>
      <c r="P575" s="463"/>
      <c r="Q575" s="464"/>
      <c r="R575" s="465"/>
      <c r="S575" s="173">
        <f t="shared" si="19"/>
        <v>0</v>
      </c>
      <c r="AT575" s="176" t="e">
        <f>VLOOKUP($E575,RESOURCES!$C:$E,3,FALSE)</f>
        <v>#N/A</v>
      </c>
      <c r="AU575" s="176">
        <f t="shared" si="18"/>
        <v>0</v>
      </c>
    </row>
    <row r="576" spans="1:47">
      <c r="A576" s="459"/>
      <c r="B576" s="459"/>
      <c r="C576" s="459"/>
      <c r="E576" s="461"/>
      <c r="F576" s="461"/>
      <c r="G576" s="461"/>
      <c r="H576" s="461"/>
      <c r="I576" s="462"/>
      <c r="J576" s="462"/>
      <c r="K576" s="462"/>
      <c r="L576" s="462"/>
      <c r="M576" s="462"/>
      <c r="N576" s="463"/>
      <c r="O576" s="464"/>
      <c r="P576" s="463"/>
      <c r="Q576" s="464"/>
      <c r="R576" s="465"/>
      <c r="S576" s="173">
        <f t="shared" si="19"/>
        <v>0</v>
      </c>
      <c r="AT576" s="176" t="e">
        <f>VLOOKUP($E576,RESOURCES!$C:$E,3,FALSE)</f>
        <v>#N/A</v>
      </c>
      <c r="AU576" s="176">
        <f t="shared" si="18"/>
        <v>0</v>
      </c>
    </row>
    <row r="577" spans="1:47">
      <c r="A577" s="459"/>
      <c r="B577" s="459"/>
      <c r="C577" s="459"/>
      <c r="E577" s="461"/>
      <c r="F577" s="461"/>
      <c r="G577" s="461"/>
      <c r="H577" s="461"/>
      <c r="I577" s="462"/>
      <c r="J577" s="462"/>
      <c r="K577" s="462"/>
      <c r="L577" s="462"/>
      <c r="M577" s="462"/>
      <c r="N577" s="463"/>
      <c r="O577" s="464"/>
      <c r="P577" s="463"/>
      <c r="Q577" s="464"/>
      <c r="R577" s="465"/>
      <c r="S577" s="173">
        <f t="shared" si="19"/>
        <v>0</v>
      </c>
      <c r="AT577" s="176" t="e">
        <f>VLOOKUP($E577,RESOURCES!$C:$E,3,FALSE)</f>
        <v>#N/A</v>
      </c>
      <c r="AU577" s="176">
        <f t="shared" si="18"/>
        <v>0</v>
      </c>
    </row>
    <row r="578" spans="1:47">
      <c r="A578" s="459"/>
      <c r="B578" s="459"/>
      <c r="C578" s="459"/>
      <c r="E578" s="461"/>
      <c r="F578" s="461"/>
      <c r="G578" s="461"/>
      <c r="H578" s="461"/>
      <c r="I578" s="462"/>
      <c r="J578" s="462"/>
      <c r="K578" s="462"/>
      <c r="L578" s="462"/>
      <c r="M578" s="462"/>
      <c r="N578" s="463"/>
      <c r="O578" s="464"/>
      <c r="P578" s="463"/>
      <c r="Q578" s="464"/>
      <c r="R578" s="465"/>
      <c r="S578" s="173">
        <f t="shared" si="19"/>
        <v>0</v>
      </c>
      <c r="AT578" s="176" t="e">
        <f>VLOOKUP($E578,RESOURCES!$C:$E,3,FALSE)</f>
        <v>#N/A</v>
      </c>
      <c r="AU578" s="176">
        <f t="shared" si="18"/>
        <v>0</v>
      </c>
    </row>
    <row r="579" spans="1:47">
      <c r="A579" s="459"/>
      <c r="B579" s="459"/>
      <c r="C579" s="459"/>
      <c r="E579" s="461"/>
      <c r="F579" s="461"/>
      <c r="G579" s="461"/>
      <c r="H579" s="461"/>
      <c r="I579" s="462"/>
      <c r="J579" s="462"/>
      <c r="K579" s="462"/>
      <c r="L579" s="462"/>
      <c r="M579" s="462"/>
      <c r="N579" s="463"/>
      <c r="O579" s="464"/>
      <c r="P579" s="463"/>
      <c r="Q579" s="464"/>
      <c r="R579" s="465"/>
      <c r="S579" s="173">
        <f t="shared" si="19"/>
        <v>0</v>
      </c>
      <c r="AT579" s="176" t="e">
        <f>VLOOKUP($E579,RESOURCES!$C:$E,3,FALSE)</f>
        <v>#N/A</v>
      </c>
      <c r="AU579" s="176">
        <f t="shared" si="18"/>
        <v>0</v>
      </c>
    </row>
    <row r="580" spans="1:47">
      <c r="A580" s="459"/>
      <c r="B580" s="459"/>
      <c r="C580" s="459"/>
      <c r="E580" s="461"/>
      <c r="F580" s="461"/>
      <c r="G580" s="461"/>
      <c r="H580" s="461"/>
      <c r="I580" s="462"/>
      <c r="J580" s="462"/>
      <c r="K580" s="462"/>
      <c r="L580" s="462"/>
      <c r="M580" s="462"/>
      <c r="N580" s="463"/>
      <c r="O580" s="464"/>
      <c r="P580" s="463"/>
      <c r="Q580" s="464"/>
      <c r="R580" s="465"/>
      <c r="S580" s="173">
        <f t="shared" si="19"/>
        <v>0</v>
      </c>
      <c r="AT580" s="176" t="e">
        <f>VLOOKUP($E580,RESOURCES!$C:$E,3,FALSE)</f>
        <v>#N/A</v>
      </c>
      <c r="AU580" s="176">
        <f t="shared" si="18"/>
        <v>0</v>
      </c>
    </row>
    <row r="581" spans="1:47">
      <c r="A581" s="459"/>
      <c r="B581" s="459"/>
      <c r="C581" s="459"/>
      <c r="E581" s="461"/>
      <c r="F581" s="461"/>
      <c r="G581" s="461"/>
      <c r="H581" s="461"/>
      <c r="I581" s="462"/>
      <c r="J581" s="462"/>
      <c r="K581" s="462"/>
      <c r="L581" s="462"/>
      <c r="M581" s="462"/>
      <c r="N581" s="463"/>
      <c r="O581" s="464"/>
      <c r="P581" s="463"/>
      <c r="Q581" s="464"/>
      <c r="R581" s="465"/>
      <c r="S581" s="173">
        <f t="shared" si="19"/>
        <v>0</v>
      </c>
      <c r="AT581" s="176" t="e">
        <f>VLOOKUP($E581,RESOURCES!$C:$E,3,FALSE)</f>
        <v>#N/A</v>
      </c>
      <c r="AU581" s="176">
        <f t="shared" ref="AU581:AU644" si="20">C581</f>
        <v>0</v>
      </c>
    </row>
    <row r="582" spans="1:47">
      <c r="A582" s="459"/>
      <c r="B582" s="459"/>
      <c r="C582" s="459"/>
      <c r="E582" s="461"/>
      <c r="F582" s="461"/>
      <c r="G582" s="461"/>
      <c r="H582" s="461"/>
      <c r="I582" s="462"/>
      <c r="J582" s="462"/>
      <c r="K582" s="462"/>
      <c r="L582" s="462"/>
      <c r="M582" s="462"/>
      <c r="N582" s="463"/>
      <c r="O582" s="464"/>
      <c r="P582" s="463"/>
      <c r="Q582" s="464"/>
      <c r="R582" s="465"/>
      <c r="S582" s="173">
        <f t="shared" si="19"/>
        <v>0</v>
      </c>
      <c r="AT582" s="176" t="e">
        <f>VLOOKUP($E582,RESOURCES!$C:$E,3,FALSE)</f>
        <v>#N/A</v>
      </c>
      <c r="AU582" s="176">
        <f t="shared" si="20"/>
        <v>0</v>
      </c>
    </row>
    <row r="583" spans="1:47">
      <c r="A583" s="459"/>
      <c r="B583" s="459"/>
      <c r="C583" s="459"/>
      <c r="E583" s="461"/>
      <c r="F583" s="461"/>
      <c r="G583" s="461"/>
      <c r="H583" s="461"/>
      <c r="I583" s="462"/>
      <c r="J583" s="462"/>
      <c r="K583" s="462"/>
      <c r="L583" s="462"/>
      <c r="M583" s="462"/>
      <c r="N583" s="463"/>
      <c r="O583" s="464"/>
      <c r="P583" s="463"/>
      <c r="Q583" s="464"/>
      <c r="R583" s="465"/>
      <c r="S583" s="173">
        <f t="shared" si="19"/>
        <v>0</v>
      </c>
      <c r="AT583" s="176" t="e">
        <f>VLOOKUP($E583,RESOURCES!$C:$E,3,FALSE)</f>
        <v>#N/A</v>
      </c>
      <c r="AU583" s="176">
        <f t="shared" si="20"/>
        <v>0</v>
      </c>
    </row>
    <row r="584" spans="1:47">
      <c r="A584" s="459"/>
      <c r="B584" s="459"/>
      <c r="C584" s="459"/>
      <c r="E584" s="461"/>
      <c r="F584" s="461"/>
      <c r="G584" s="461"/>
      <c r="H584" s="461"/>
      <c r="I584" s="462"/>
      <c r="J584" s="462"/>
      <c r="K584" s="462"/>
      <c r="L584" s="462"/>
      <c r="M584" s="462"/>
      <c r="N584" s="463"/>
      <c r="O584" s="464"/>
      <c r="P584" s="463"/>
      <c r="Q584" s="464"/>
      <c r="R584" s="465"/>
      <c r="S584" s="173">
        <f t="shared" si="19"/>
        <v>0</v>
      </c>
      <c r="AT584" s="176" t="e">
        <f>VLOOKUP($E584,RESOURCES!$C:$E,3,FALSE)</f>
        <v>#N/A</v>
      </c>
      <c r="AU584" s="176">
        <f t="shared" si="20"/>
        <v>0</v>
      </c>
    </row>
    <row r="585" spans="1:47">
      <c r="A585" s="459"/>
      <c r="B585" s="459"/>
      <c r="C585" s="459"/>
      <c r="E585" s="461"/>
      <c r="F585" s="461"/>
      <c r="G585" s="461"/>
      <c r="H585" s="461"/>
      <c r="I585" s="462"/>
      <c r="J585" s="462"/>
      <c r="K585" s="462"/>
      <c r="L585" s="462"/>
      <c r="M585" s="462"/>
      <c r="N585" s="463"/>
      <c r="O585" s="464"/>
      <c r="P585" s="463"/>
      <c r="Q585" s="464"/>
      <c r="R585" s="465"/>
      <c r="S585" s="173">
        <f t="shared" si="19"/>
        <v>0</v>
      </c>
      <c r="AT585" s="176" t="e">
        <f>VLOOKUP($E585,RESOURCES!$C:$E,3,FALSE)</f>
        <v>#N/A</v>
      </c>
      <c r="AU585" s="176">
        <f t="shared" si="20"/>
        <v>0</v>
      </c>
    </row>
    <row r="586" spans="1:47">
      <c r="A586" s="459"/>
      <c r="B586" s="459"/>
      <c r="C586" s="459"/>
      <c r="E586" s="461"/>
      <c r="F586" s="461"/>
      <c r="G586" s="461"/>
      <c r="H586" s="461"/>
      <c r="I586" s="462"/>
      <c r="J586" s="462"/>
      <c r="K586" s="462"/>
      <c r="L586" s="462"/>
      <c r="M586" s="462"/>
      <c r="N586" s="463"/>
      <c r="O586" s="464"/>
      <c r="P586" s="463"/>
      <c r="Q586" s="464"/>
      <c r="R586" s="465"/>
      <c r="S586" s="173">
        <f t="shared" si="19"/>
        <v>0</v>
      </c>
      <c r="AT586" s="176" t="e">
        <f>VLOOKUP($E586,RESOURCES!$C:$E,3,FALSE)</f>
        <v>#N/A</v>
      </c>
      <c r="AU586" s="176">
        <f t="shared" si="20"/>
        <v>0</v>
      </c>
    </row>
    <row r="587" spans="1:47">
      <c r="A587" s="459"/>
      <c r="B587" s="459"/>
      <c r="C587" s="459"/>
      <c r="E587" s="461"/>
      <c r="F587" s="461"/>
      <c r="G587" s="461"/>
      <c r="H587" s="461"/>
      <c r="I587" s="462"/>
      <c r="J587" s="462"/>
      <c r="K587" s="462"/>
      <c r="L587" s="462"/>
      <c r="M587" s="462"/>
      <c r="N587" s="463"/>
      <c r="O587" s="464"/>
      <c r="P587" s="463"/>
      <c r="Q587" s="464"/>
      <c r="R587" s="465"/>
      <c r="S587" s="173">
        <f t="shared" si="19"/>
        <v>0</v>
      </c>
      <c r="AT587" s="176" t="e">
        <f>VLOOKUP($E587,RESOURCES!$C:$E,3,FALSE)</f>
        <v>#N/A</v>
      </c>
      <c r="AU587" s="176">
        <f t="shared" si="20"/>
        <v>0</v>
      </c>
    </row>
    <row r="588" spans="1:47">
      <c r="A588" s="459"/>
      <c r="B588" s="459"/>
      <c r="C588" s="459"/>
      <c r="E588" s="461"/>
      <c r="F588" s="461"/>
      <c r="G588" s="461"/>
      <c r="H588" s="461"/>
      <c r="I588" s="462"/>
      <c r="J588" s="462"/>
      <c r="K588" s="462"/>
      <c r="L588" s="462"/>
      <c r="M588" s="462"/>
      <c r="N588" s="463"/>
      <c r="O588" s="464"/>
      <c r="P588" s="463"/>
      <c r="Q588" s="464"/>
      <c r="R588" s="465"/>
      <c r="S588" s="173">
        <f t="shared" si="19"/>
        <v>0</v>
      </c>
      <c r="AT588" s="176" t="e">
        <f>VLOOKUP($E588,RESOURCES!$C:$E,3,FALSE)</f>
        <v>#N/A</v>
      </c>
      <c r="AU588" s="176">
        <f t="shared" si="20"/>
        <v>0</v>
      </c>
    </row>
    <row r="589" spans="1:47">
      <c r="A589" s="459"/>
      <c r="B589" s="459"/>
      <c r="C589" s="459"/>
      <c r="E589" s="461"/>
      <c r="F589" s="461"/>
      <c r="G589" s="461"/>
      <c r="H589" s="461"/>
      <c r="I589" s="462"/>
      <c r="J589" s="462"/>
      <c r="K589" s="462"/>
      <c r="L589" s="462"/>
      <c r="M589" s="462"/>
      <c r="N589" s="463"/>
      <c r="O589" s="464"/>
      <c r="P589" s="463"/>
      <c r="Q589" s="464"/>
      <c r="R589" s="465"/>
      <c r="S589" s="173">
        <f t="shared" ref="S589:S652" si="21">F589-(H589/7.5)</f>
        <v>0</v>
      </c>
      <c r="AT589" s="176" t="e">
        <f>VLOOKUP($E589,RESOURCES!$C:$E,3,FALSE)</f>
        <v>#N/A</v>
      </c>
      <c r="AU589" s="176">
        <f t="shared" si="20"/>
        <v>0</v>
      </c>
    </row>
    <row r="590" spans="1:47">
      <c r="A590" s="459"/>
      <c r="B590" s="459"/>
      <c r="C590" s="459"/>
      <c r="E590" s="461"/>
      <c r="F590" s="461"/>
      <c r="G590" s="461"/>
      <c r="H590" s="461"/>
      <c r="I590" s="462"/>
      <c r="J590" s="462"/>
      <c r="K590" s="462"/>
      <c r="L590" s="462"/>
      <c r="M590" s="462"/>
      <c r="N590" s="463"/>
      <c r="O590" s="464"/>
      <c r="P590" s="463"/>
      <c r="Q590" s="464"/>
      <c r="R590" s="465"/>
      <c r="S590" s="173">
        <f t="shared" si="21"/>
        <v>0</v>
      </c>
      <c r="AT590" s="176" t="e">
        <f>VLOOKUP($E590,RESOURCES!$C:$E,3,FALSE)</f>
        <v>#N/A</v>
      </c>
      <c r="AU590" s="176">
        <f t="shared" si="20"/>
        <v>0</v>
      </c>
    </row>
    <row r="591" spans="1:47">
      <c r="A591" s="459"/>
      <c r="B591" s="459"/>
      <c r="C591" s="459"/>
      <c r="E591" s="461"/>
      <c r="F591" s="461"/>
      <c r="G591" s="461"/>
      <c r="H591" s="461"/>
      <c r="I591" s="462"/>
      <c r="J591" s="462"/>
      <c r="K591" s="462"/>
      <c r="L591" s="462"/>
      <c r="M591" s="462"/>
      <c r="N591" s="463"/>
      <c r="O591" s="464"/>
      <c r="P591" s="463"/>
      <c r="Q591" s="464"/>
      <c r="R591" s="465"/>
      <c r="S591" s="173">
        <f t="shared" si="21"/>
        <v>0</v>
      </c>
      <c r="AT591" s="176" t="e">
        <f>VLOOKUP($E591,RESOURCES!$C:$E,3,FALSE)</f>
        <v>#N/A</v>
      </c>
      <c r="AU591" s="176">
        <f t="shared" si="20"/>
        <v>0</v>
      </c>
    </row>
    <row r="592" spans="1:47">
      <c r="A592" s="459"/>
      <c r="B592" s="459"/>
      <c r="C592" s="459"/>
      <c r="E592" s="461"/>
      <c r="F592" s="461"/>
      <c r="G592" s="461"/>
      <c r="H592" s="461"/>
      <c r="I592" s="462"/>
      <c r="J592" s="462"/>
      <c r="K592" s="462"/>
      <c r="L592" s="462"/>
      <c r="M592" s="462"/>
      <c r="N592" s="463"/>
      <c r="O592" s="464"/>
      <c r="P592" s="463"/>
      <c r="Q592" s="464"/>
      <c r="R592" s="465"/>
      <c r="S592" s="173">
        <f t="shared" si="21"/>
        <v>0</v>
      </c>
      <c r="AT592" s="176" t="e">
        <f>VLOOKUP($E592,RESOURCES!$C:$E,3,FALSE)</f>
        <v>#N/A</v>
      </c>
      <c r="AU592" s="176">
        <f t="shared" si="20"/>
        <v>0</v>
      </c>
    </row>
    <row r="593" spans="1:47">
      <c r="A593" s="459"/>
      <c r="B593" s="459"/>
      <c r="C593" s="459"/>
      <c r="E593" s="461"/>
      <c r="F593" s="461"/>
      <c r="G593" s="461"/>
      <c r="H593" s="461"/>
      <c r="I593" s="462"/>
      <c r="J593" s="462"/>
      <c r="K593" s="462"/>
      <c r="L593" s="462"/>
      <c r="M593" s="462"/>
      <c r="N593" s="463"/>
      <c r="O593" s="464"/>
      <c r="P593" s="463"/>
      <c r="Q593" s="464"/>
      <c r="R593" s="465"/>
      <c r="S593" s="173">
        <f t="shared" si="21"/>
        <v>0</v>
      </c>
      <c r="AT593" s="176" t="e">
        <f>VLOOKUP($E593,RESOURCES!$C:$E,3,FALSE)</f>
        <v>#N/A</v>
      </c>
      <c r="AU593" s="176">
        <f t="shared" si="20"/>
        <v>0</v>
      </c>
    </row>
    <row r="594" spans="1:47">
      <c r="A594" s="459"/>
      <c r="B594" s="459"/>
      <c r="C594" s="459"/>
      <c r="E594" s="461"/>
      <c r="F594" s="461"/>
      <c r="G594" s="461"/>
      <c r="H594" s="461"/>
      <c r="I594" s="462"/>
      <c r="J594" s="462"/>
      <c r="K594" s="462"/>
      <c r="L594" s="462"/>
      <c r="M594" s="462"/>
      <c r="N594" s="463"/>
      <c r="O594" s="464"/>
      <c r="P594" s="463"/>
      <c r="Q594" s="464"/>
      <c r="R594" s="465"/>
      <c r="S594" s="173">
        <f t="shared" si="21"/>
        <v>0</v>
      </c>
      <c r="AT594" s="176" t="e">
        <f>VLOOKUP($E594,RESOURCES!$C:$E,3,FALSE)</f>
        <v>#N/A</v>
      </c>
      <c r="AU594" s="176">
        <f t="shared" si="20"/>
        <v>0</v>
      </c>
    </row>
    <row r="595" spans="1:47">
      <c r="A595" s="459"/>
      <c r="B595" s="459"/>
      <c r="C595" s="459"/>
      <c r="E595" s="461"/>
      <c r="F595" s="461"/>
      <c r="G595" s="461"/>
      <c r="H595" s="461"/>
      <c r="I595" s="462"/>
      <c r="J595" s="462"/>
      <c r="K595" s="462"/>
      <c r="L595" s="462"/>
      <c r="M595" s="462"/>
      <c r="N595" s="463"/>
      <c r="O595" s="464"/>
      <c r="P595" s="463"/>
      <c r="Q595" s="464"/>
      <c r="R595" s="465"/>
      <c r="S595" s="173">
        <f t="shared" si="21"/>
        <v>0</v>
      </c>
      <c r="AT595" s="176" t="e">
        <f>VLOOKUP($E595,RESOURCES!$C:$E,3,FALSE)</f>
        <v>#N/A</v>
      </c>
      <c r="AU595" s="176">
        <f t="shared" si="20"/>
        <v>0</v>
      </c>
    </row>
    <row r="596" spans="1:47">
      <c r="A596" s="459"/>
      <c r="B596" s="459"/>
      <c r="C596" s="459"/>
      <c r="E596" s="461"/>
      <c r="F596" s="461"/>
      <c r="G596" s="461"/>
      <c r="H596" s="461"/>
      <c r="I596" s="462"/>
      <c r="J596" s="462"/>
      <c r="K596" s="462"/>
      <c r="L596" s="462"/>
      <c r="M596" s="462"/>
      <c r="N596" s="463"/>
      <c r="O596" s="464"/>
      <c r="P596" s="463"/>
      <c r="Q596" s="464"/>
      <c r="R596" s="465"/>
      <c r="S596" s="173">
        <f t="shared" si="21"/>
        <v>0</v>
      </c>
      <c r="AT596" s="176" t="e">
        <f>VLOOKUP($E596,RESOURCES!$C:$E,3,FALSE)</f>
        <v>#N/A</v>
      </c>
      <c r="AU596" s="176">
        <f t="shared" si="20"/>
        <v>0</v>
      </c>
    </row>
    <row r="597" spans="1:47">
      <c r="A597" s="459"/>
      <c r="B597" s="459"/>
      <c r="C597" s="459"/>
      <c r="E597" s="461"/>
      <c r="F597" s="461"/>
      <c r="G597" s="461"/>
      <c r="H597" s="461"/>
      <c r="I597" s="462"/>
      <c r="J597" s="462"/>
      <c r="K597" s="462"/>
      <c r="L597" s="462"/>
      <c r="M597" s="462"/>
      <c r="N597" s="463"/>
      <c r="O597" s="464"/>
      <c r="P597" s="463"/>
      <c r="Q597" s="464"/>
      <c r="R597" s="465"/>
      <c r="S597" s="173">
        <f t="shared" si="21"/>
        <v>0</v>
      </c>
      <c r="AT597" s="176" t="e">
        <f>VLOOKUP($E597,RESOURCES!$C:$E,3,FALSE)</f>
        <v>#N/A</v>
      </c>
      <c r="AU597" s="176">
        <f t="shared" si="20"/>
        <v>0</v>
      </c>
    </row>
    <row r="598" spans="1:47">
      <c r="A598" s="459"/>
      <c r="B598" s="459"/>
      <c r="C598" s="459"/>
      <c r="E598" s="461"/>
      <c r="F598" s="461"/>
      <c r="G598" s="461"/>
      <c r="H598" s="461"/>
      <c r="I598" s="462"/>
      <c r="J598" s="462"/>
      <c r="K598" s="462"/>
      <c r="L598" s="462"/>
      <c r="M598" s="462"/>
      <c r="N598" s="463"/>
      <c r="O598" s="464"/>
      <c r="P598" s="463"/>
      <c r="Q598" s="464"/>
      <c r="R598" s="465"/>
      <c r="S598" s="173">
        <f t="shared" si="21"/>
        <v>0</v>
      </c>
      <c r="AT598" s="176" t="e">
        <f>VLOOKUP($E598,RESOURCES!$C:$E,3,FALSE)</f>
        <v>#N/A</v>
      </c>
      <c r="AU598" s="176">
        <f t="shared" si="20"/>
        <v>0</v>
      </c>
    </row>
    <row r="599" spans="1:47">
      <c r="A599" s="459"/>
      <c r="B599" s="459"/>
      <c r="C599" s="459"/>
      <c r="E599" s="461"/>
      <c r="F599" s="461"/>
      <c r="G599" s="461"/>
      <c r="H599" s="461"/>
      <c r="I599" s="462"/>
      <c r="J599" s="462"/>
      <c r="K599" s="462"/>
      <c r="L599" s="462"/>
      <c r="M599" s="462"/>
      <c r="N599" s="463"/>
      <c r="O599" s="464"/>
      <c r="P599" s="463"/>
      <c r="Q599" s="464"/>
      <c r="R599" s="465"/>
      <c r="S599" s="173">
        <f t="shared" si="21"/>
        <v>0</v>
      </c>
      <c r="AT599" s="176" t="e">
        <f>VLOOKUP($E599,RESOURCES!$C:$E,3,FALSE)</f>
        <v>#N/A</v>
      </c>
      <c r="AU599" s="176">
        <f t="shared" si="20"/>
        <v>0</v>
      </c>
    </row>
    <row r="600" spans="1:47">
      <c r="A600" s="459"/>
      <c r="B600" s="459"/>
      <c r="C600" s="459"/>
      <c r="E600" s="461"/>
      <c r="F600" s="461"/>
      <c r="G600" s="461"/>
      <c r="H600" s="461"/>
      <c r="I600" s="462"/>
      <c r="J600" s="462"/>
      <c r="K600" s="462"/>
      <c r="L600" s="462"/>
      <c r="M600" s="462"/>
      <c r="N600" s="463"/>
      <c r="O600" s="464"/>
      <c r="P600" s="463"/>
      <c r="Q600" s="464"/>
      <c r="R600" s="465"/>
      <c r="S600" s="173">
        <f t="shared" si="21"/>
        <v>0</v>
      </c>
      <c r="AT600" s="176" t="e">
        <f>VLOOKUP($E600,RESOURCES!$C:$E,3,FALSE)</f>
        <v>#N/A</v>
      </c>
      <c r="AU600" s="176">
        <f t="shared" si="20"/>
        <v>0</v>
      </c>
    </row>
    <row r="601" spans="1:47">
      <c r="A601" s="459"/>
      <c r="B601" s="459"/>
      <c r="C601" s="459"/>
      <c r="E601" s="461"/>
      <c r="F601" s="461"/>
      <c r="G601" s="461"/>
      <c r="H601" s="461"/>
      <c r="I601" s="462"/>
      <c r="J601" s="462"/>
      <c r="K601" s="462"/>
      <c r="L601" s="462"/>
      <c r="M601" s="462"/>
      <c r="N601" s="463"/>
      <c r="O601" s="464"/>
      <c r="P601" s="463"/>
      <c r="Q601" s="464"/>
      <c r="R601" s="465"/>
      <c r="S601" s="173">
        <f t="shared" si="21"/>
        <v>0</v>
      </c>
      <c r="AT601" s="176" t="e">
        <f>VLOOKUP($E601,RESOURCES!$C:$E,3,FALSE)</f>
        <v>#N/A</v>
      </c>
      <c r="AU601" s="176">
        <f t="shared" si="20"/>
        <v>0</v>
      </c>
    </row>
    <row r="602" spans="1:47">
      <c r="A602" s="459"/>
      <c r="B602" s="459"/>
      <c r="C602" s="459"/>
      <c r="E602" s="461"/>
      <c r="F602" s="461"/>
      <c r="G602" s="461"/>
      <c r="H602" s="461"/>
      <c r="I602" s="462"/>
      <c r="J602" s="462"/>
      <c r="K602" s="462"/>
      <c r="L602" s="462"/>
      <c r="M602" s="462"/>
      <c r="N602" s="463"/>
      <c r="O602" s="464"/>
      <c r="P602" s="463"/>
      <c r="Q602" s="464"/>
      <c r="R602" s="465"/>
      <c r="S602" s="173">
        <f t="shared" si="21"/>
        <v>0</v>
      </c>
      <c r="AT602" s="176" t="e">
        <f>VLOOKUP($E602,RESOURCES!$C:$E,3,FALSE)</f>
        <v>#N/A</v>
      </c>
      <c r="AU602" s="176">
        <f t="shared" si="20"/>
        <v>0</v>
      </c>
    </row>
    <row r="603" spans="1:47">
      <c r="A603" s="459"/>
      <c r="B603" s="459"/>
      <c r="C603" s="459"/>
      <c r="E603" s="461"/>
      <c r="F603" s="461"/>
      <c r="G603" s="461"/>
      <c r="H603" s="461"/>
      <c r="I603" s="462"/>
      <c r="J603" s="462"/>
      <c r="K603" s="462"/>
      <c r="L603" s="462"/>
      <c r="M603" s="462"/>
      <c r="N603" s="463"/>
      <c r="O603" s="464"/>
      <c r="P603" s="463"/>
      <c r="Q603" s="464"/>
      <c r="R603" s="465"/>
      <c r="S603" s="173">
        <f t="shared" si="21"/>
        <v>0</v>
      </c>
      <c r="AT603" s="176" t="e">
        <f>VLOOKUP($E603,RESOURCES!$C:$E,3,FALSE)</f>
        <v>#N/A</v>
      </c>
      <c r="AU603" s="176">
        <f t="shared" si="20"/>
        <v>0</v>
      </c>
    </row>
    <row r="604" spans="1:47">
      <c r="A604" s="459"/>
      <c r="B604" s="459"/>
      <c r="C604" s="459"/>
      <c r="E604" s="461"/>
      <c r="F604" s="461"/>
      <c r="G604" s="461"/>
      <c r="H604" s="461"/>
      <c r="I604" s="462"/>
      <c r="J604" s="462"/>
      <c r="K604" s="462"/>
      <c r="L604" s="462"/>
      <c r="M604" s="462"/>
      <c r="N604" s="463"/>
      <c r="O604" s="464"/>
      <c r="P604" s="463"/>
      <c r="Q604" s="464"/>
      <c r="R604" s="465"/>
      <c r="S604" s="173">
        <f t="shared" si="21"/>
        <v>0</v>
      </c>
      <c r="AT604" s="176" t="e">
        <f>VLOOKUP($E604,RESOURCES!$C:$E,3,FALSE)</f>
        <v>#N/A</v>
      </c>
      <c r="AU604" s="176">
        <f t="shared" si="20"/>
        <v>0</v>
      </c>
    </row>
    <row r="605" spans="1:47">
      <c r="A605" s="459"/>
      <c r="B605" s="459"/>
      <c r="C605" s="459"/>
      <c r="E605" s="461"/>
      <c r="F605" s="461"/>
      <c r="G605" s="461"/>
      <c r="H605" s="461"/>
      <c r="I605" s="462"/>
      <c r="J605" s="462"/>
      <c r="K605" s="462"/>
      <c r="L605" s="462"/>
      <c r="M605" s="462"/>
      <c r="N605" s="463"/>
      <c r="O605" s="464"/>
      <c r="P605" s="463"/>
      <c r="Q605" s="464"/>
      <c r="R605" s="465"/>
      <c r="S605" s="173">
        <f t="shared" si="21"/>
        <v>0</v>
      </c>
      <c r="AT605" s="176" t="e">
        <f>VLOOKUP($E605,RESOURCES!$C:$E,3,FALSE)</f>
        <v>#N/A</v>
      </c>
      <c r="AU605" s="176">
        <f t="shared" si="20"/>
        <v>0</v>
      </c>
    </row>
    <row r="606" spans="1:47">
      <c r="A606" s="459"/>
      <c r="B606" s="459"/>
      <c r="C606" s="459"/>
      <c r="E606" s="461"/>
      <c r="F606" s="461"/>
      <c r="G606" s="461"/>
      <c r="H606" s="461"/>
      <c r="I606" s="462"/>
      <c r="J606" s="462"/>
      <c r="K606" s="462"/>
      <c r="L606" s="462"/>
      <c r="M606" s="462"/>
      <c r="N606" s="463"/>
      <c r="O606" s="464"/>
      <c r="P606" s="463"/>
      <c r="Q606" s="464"/>
      <c r="R606" s="465"/>
      <c r="S606" s="173">
        <f t="shared" si="21"/>
        <v>0</v>
      </c>
      <c r="AT606" s="176" t="e">
        <f>VLOOKUP($E606,RESOURCES!$C:$E,3,FALSE)</f>
        <v>#N/A</v>
      </c>
      <c r="AU606" s="176">
        <f t="shared" si="20"/>
        <v>0</v>
      </c>
    </row>
    <row r="607" spans="1:47">
      <c r="A607" s="459"/>
      <c r="B607" s="459"/>
      <c r="C607" s="459"/>
      <c r="E607" s="461"/>
      <c r="F607" s="461"/>
      <c r="G607" s="461"/>
      <c r="H607" s="461"/>
      <c r="I607" s="462"/>
      <c r="J607" s="462"/>
      <c r="K607" s="462"/>
      <c r="L607" s="462"/>
      <c r="M607" s="462"/>
      <c r="N607" s="463"/>
      <c r="O607" s="464"/>
      <c r="P607" s="463"/>
      <c r="Q607" s="464"/>
      <c r="R607" s="465"/>
      <c r="S607" s="173">
        <f t="shared" si="21"/>
        <v>0</v>
      </c>
      <c r="AT607" s="176" t="e">
        <f>VLOOKUP($E607,RESOURCES!$C:$E,3,FALSE)</f>
        <v>#N/A</v>
      </c>
      <c r="AU607" s="176">
        <f t="shared" si="20"/>
        <v>0</v>
      </c>
    </row>
    <row r="608" spans="1:47">
      <c r="A608" s="459"/>
      <c r="B608" s="459"/>
      <c r="C608" s="459"/>
      <c r="E608" s="461"/>
      <c r="F608" s="461"/>
      <c r="G608" s="461"/>
      <c r="H608" s="461"/>
      <c r="I608" s="462"/>
      <c r="J608" s="462"/>
      <c r="K608" s="462"/>
      <c r="L608" s="462"/>
      <c r="M608" s="462"/>
      <c r="N608" s="463"/>
      <c r="O608" s="464"/>
      <c r="P608" s="463"/>
      <c r="Q608" s="464"/>
      <c r="R608" s="465"/>
      <c r="S608" s="173">
        <f t="shared" si="21"/>
        <v>0</v>
      </c>
      <c r="AT608" s="176" t="e">
        <f>VLOOKUP($E608,RESOURCES!$C:$E,3,FALSE)</f>
        <v>#N/A</v>
      </c>
      <c r="AU608" s="176">
        <f t="shared" si="20"/>
        <v>0</v>
      </c>
    </row>
    <row r="609" spans="1:47">
      <c r="A609" s="459"/>
      <c r="B609" s="459"/>
      <c r="C609" s="459"/>
      <c r="E609" s="461"/>
      <c r="F609" s="461"/>
      <c r="G609" s="461"/>
      <c r="H609" s="461"/>
      <c r="I609" s="462"/>
      <c r="J609" s="462"/>
      <c r="K609" s="462"/>
      <c r="L609" s="462"/>
      <c r="M609" s="462"/>
      <c r="N609" s="463"/>
      <c r="O609" s="464"/>
      <c r="P609" s="463"/>
      <c r="Q609" s="464"/>
      <c r="R609" s="465"/>
      <c r="S609" s="173">
        <f t="shared" si="21"/>
        <v>0</v>
      </c>
      <c r="AT609" s="176" t="e">
        <f>VLOOKUP($E609,RESOURCES!$C:$E,3,FALSE)</f>
        <v>#N/A</v>
      </c>
      <c r="AU609" s="176">
        <f t="shared" si="20"/>
        <v>0</v>
      </c>
    </row>
    <row r="610" spans="1:47">
      <c r="A610" s="459"/>
      <c r="B610" s="459"/>
      <c r="C610" s="459"/>
      <c r="E610" s="461"/>
      <c r="F610" s="461"/>
      <c r="G610" s="461"/>
      <c r="H610" s="461"/>
      <c r="I610" s="462"/>
      <c r="J610" s="462"/>
      <c r="K610" s="462"/>
      <c r="L610" s="462"/>
      <c r="M610" s="462"/>
      <c r="N610" s="463"/>
      <c r="O610" s="464"/>
      <c r="P610" s="463"/>
      <c r="Q610" s="464"/>
      <c r="R610" s="465"/>
      <c r="S610" s="173">
        <f t="shared" si="21"/>
        <v>0</v>
      </c>
      <c r="AT610" s="176" t="e">
        <f>VLOOKUP($E610,RESOURCES!$C:$E,3,FALSE)</f>
        <v>#N/A</v>
      </c>
      <c r="AU610" s="176">
        <f t="shared" si="20"/>
        <v>0</v>
      </c>
    </row>
    <row r="611" spans="1:47">
      <c r="A611" s="459"/>
      <c r="B611" s="459"/>
      <c r="C611" s="459"/>
      <c r="E611" s="461"/>
      <c r="F611" s="461"/>
      <c r="G611" s="461"/>
      <c r="H611" s="461"/>
      <c r="I611" s="462"/>
      <c r="J611" s="462"/>
      <c r="K611" s="462"/>
      <c r="L611" s="462"/>
      <c r="M611" s="462"/>
      <c r="N611" s="463"/>
      <c r="O611" s="464"/>
      <c r="P611" s="463"/>
      <c r="Q611" s="464"/>
      <c r="R611" s="465"/>
      <c r="S611" s="173">
        <f t="shared" si="21"/>
        <v>0</v>
      </c>
      <c r="AT611" s="176" t="e">
        <f>VLOOKUP($E611,RESOURCES!$C:$E,3,FALSE)</f>
        <v>#N/A</v>
      </c>
      <c r="AU611" s="176">
        <f t="shared" si="20"/>
        <v>0</v>
      </c>
    </row>
    <row r="612" spans="1:47">
      <c r="A612" s="459"/>
      <c r="B612" s="459"/>
      <c r="C612" s="459"/>
      <c r="E612" s="461"/>
      <c r="F612" s="461"/>
      <c r="G612" s="461"/>
      <c r="H612" s="461"/>
      <c r="I612" s="462"/>
      <c r="J612" s="462"/>
      <c r="K612" s="462"/>
      <c r="L612" s="462"/>
      <c r="M612" s="462"/>
      <c r="N612" s="463"/>
      <c r="O612" s="464"/>
      <c r="P612" s="463"/>
      <c r="Q612" s="464"/>
      <c r="R612" s="465"/>
      <c r="S612" s="173">
        <f t="shared" si="21"/>
        <v>0</v>
      </c>
      <c r="AT612" s="176" t="e">
        <f>VLOOKUP($E612,RESOURCES!$C:$E,3,FALSE)</f>
        <v>#N/A</v>
      </c>
      <c r="AU612" s="176">
        <f t="shared" si="20"/>
        <v>0</v>
      </c>
    </row>
    <row r="613" spans="1:47">
      <c r="A613" s="459"/>
      <c r="B613" s="459"/>
      <c r="C613" s="459"/>
      <c r="E613" s="461"/>
      <c r="F613" s="461"/>
      <c r="G613" s="461"/>
      <c r="H613" s="461"/>
      <c r="I613" s="462"/>
      <c r="J613" s="462"/>
      <c r="K613" s="462"/>
      <c r="L613" s="462"/>
      <c r="M613" s="462"/>
      <c r="N613" s="463"/>
      <c r="O613" s="464"/>
      <c r="P613" s="463"/>
      <c r="Q613" s="464"/>
      <c r="R613" s="465"/>
      <c r="S613" s="173">
        <f t="shared" si="21"/>
        <v>0</v>
      </c>
      <c r="AT613" s="176" t="e">
        <f>VLOOKUP($E613,RESOURCES!$C:$E,3,FALSE)</f>
        <v>#N/A</v>
      </c>
      <c r="AU613" s="176">
        <f t="shared" si="20"/>
        <v>0</v>
      </c>
    </row>
    <row r="614" spans="1:47">
      <c r="A614" s="459"/>
      <c r="B614" s="459"/>
      <c r="C614" s="459"/>
      <c r="E614" s="461"/>
      <c r="F614" s="461"/>
      <c r="G614" s="461"/>
      <c r="H614" s="461"/>
      <c r="I614" s="462"/>
      <c r="J614" s="462"/>
      <c r="K614" s="462"/>
      <c r="L614" s="462"/>
      <c r="M614" s="462"/>
      <c r="N614" s="463"/>
      <c r="O614" s="464"/>
      <c r="P614" s="463"/>
      <c r="Q614" s="464"/>
      <c r="R614" s="465"/>
      <c r="S614" s="173">
        <f t="shared" si="21"/>
        <v>0</v>
      </c>
      <c r="AT614" s="176" t="e">
        <f>VLOOKUP($E614,RESOURCES!$C:$E,3,FALSE)</f>
        <v>#N/A</v>
      </c>
      <c r="AU614" s="176">
        <f t="shared" si="20"/>
        <v>0</v>
      </c>
    </row>
    <row r="615" spans="1:47">
      <c r="A615" s="459"/>
      <c r="B615" s="459"/>
      <c r="C615" s="459"/>
      <c r="E615" s="461"/>
      <c r="F615" s="461"/>
      <c r="G615" s="461"/>
      <c r="H615" s="461"/>
      <c r="I615" s="462"/>
      <c r="J615" s="462"/>
      <c r="K615" s="462"/>
      <c r="L615" s="462"/>
      <c r="M615" s="462"/>
      <c r="N615" s="463"/>
      <c r="O615" s="464"/>
      <c r="P615" s="463"/>
      <c r="Q615" s="464"/>
      <c r="R615" s="465"/>
      <c r="S615" s="173">
        <f t="shared" si="21"/>
        <v>0</v>
      </c>
      <c r="AT615" s="176" t="e">
        <f>VLOOKUP($E615,RESOURCES!$C:$E,3,FALSE)</f>
        <v>#N/A</v>
      </c>
      <c r="AU615" s="176">
        <f t="shared" si="20"/>
        <v>0</v>
      </c>
    </row>
    <row r="616" spans="1:47">
      <c r="A616" s="459"/>
      <c r="B616" s="459"/>
      <c r="C616" s="459"/>
      <c r="E616" s="461"/>
      <c r="F616" s="461"/>
      <c r="G616" s="461"/>
      <c r="H616" s="461"/>
      <c r="I616" s="462"/>
      <c r="J616" s="462"/>
      <c r="K616" s="462"/>
      <c r="L616" s="462"/>
      <c r="M616" s="462"/>
      <c r="N616" s="463"/>
      <c r="O616" s="464"/>
      <c r="P616" s="463"/>
      <c r="Q616" s="464"/>
      <c r="R616" s="465"/>
      <c r="S616" s="173">
        <f t="shared" si="21"/>
        <v>0</v>
      </c>
      <c r="AT616" s="176" t="e">
        <f>VLOOKUP($E616,RESOURCES!$C:$E,3,FALSE)</f>
        <v>#N/A</v>
      </c>
      <c r="AU616" s="176">
        <f t="shared" si="20"/>
        <v>0</v>
      </c>
    </row>
    <row r="617" spans="1:47">
      <c r="A617" s="459"/>
      <c r="B617" s="459"/>
      <c r="C617" s="459"/>
      <c r="E617" s="461"/>
      <c r="F617" s="461"/>
      <c r="G617" s="461"/>
      <c r="H617" s="461"/>
      <c r="I617" s="462"/>
      <c r="J617" s="462"/>
      <c r="K617" s="462"/>
      <c r="L617" s="462"/>
      <c r="M617" s="462"/>
      <c r="N617" s="463"/>
      <c r="O617" s="464"/>
      <c r="P617" s="463"/>
      <c r="Q617" s="464"/>
      <c r="R617" s="465"/>
      <c r="S617" s="173">
        <f t="shared" si="21"/>
        <v>0</v>
      </c>
      <c r="AT617" s="176" t="e">
        <f>VLOOKUP($E617,RESOURCES!$C:$E,3,FALSE)</f>
        <v>#N/A</v>
      </c>
      <c r="AU617" s="176">
        <f t="shared" si="20"/>
        <v>0</v>
      </c>
    </row>
    <row r="618" spans="1:47">
      <c r="A618" s="459"/>
      <c r="B618" s="459"/>
      <c r="C618" s="459"/>
      <c r="E618" s="461"/>
      <c r="F618" s="461"/>
      <c r="G618" s="461"/>
      <c r="H618" s="461"/>
      <c r="I618" s="462"/>
      <c r="J618" s="462"/>
      <c r="K618" s="462"/>
      <c r="L618" s="462"/>
      <c r="M618" s="462"/>
      <c r="N618" s="463"/>
      <c r="O618" s="464"/>
      <c r="P618" s="463"/>
      <c r="Q618" s="464"/>
      <c r="R618" s="465"/>
      <c r="S618" s="173">
        <f t="shared" si="21"/>
        <v>0</v>
      </c>
      <c r="AT618" s="176" t="e">
        <f>VLOOKUP($E618,RESOURCES!$C:$E,3,FALSE)</f>
        <v>#N/A</v>
      </c>
      <c r="AU618" s="176">
        <f t="shared" si="20"/>
        <v>0</v>
      </c>
    </row>
    <row r="619" spans="1:47">
      <c r="A619" s="459"/>
      <c r="B619" s="459"/>
      <c r="C619" s="459"/>
      <c r="E619" s="461"/>
      <c r="F619" s="461"/>
      <c r="G619" s="461"/>
      <c r="H619" s="461"/>
      <c r="I619" s="462"/>
      <c r="J619" s="462"/>
      <c r="K619" s="462"/>
      <c r="L619" s="462"/>
      <c r="M619" s="462"/>
      <c r="N619" s="463"/>
      <c r="O619" s="464"/>
      <c r="P619" s="463"/>
      <c r="Q619" s="464"/>
      <c r="R619" s="465"/>
      <c r="S619" s="173">
        <f t="shared" si="21"/>
        <v>0</v>
      </c>
      <c r="AT619" s="176" t="e">
        <f>VLOOKUP($E619,RESOURCES!$C:$E,3,FALSE)</f>
        <v>#N/A</v>
      </c>
      <c r="AU619" s="176">
        <f t="shared" si="20"/>
        <v>0</v>
      </c>
    </row>
    <row r="620" spans="1:47">
      <c r="A620" s="459"/>
      <c r="B620" s="459"/>
      <c r="C620" s="459"/>
      <c r="E620" s="461"/>
      <c r="F620" s="461"/>
      <c r="G620" s="461"/>
      <c r="H620" s="461"/>
      <c r="I620" s="462"/>
      <c r="J620" s="462"/>
      <c r="K620" s="462"/>
      <c r="L620" s="462"/>
      <c r="M620" s="462"/>
      <c r="N620" s="463"/>
      <c r="O620" s="464"/>
      <c r="P620" s="463"/>
      <c r="Q620" s="464"/>
      <c r="R620" s="465"/>
      <c r="S620" s="173">
        <f t="shared" si="21"/>
        <v>0</v>
      </c>
      <c r="AT620" s="176" t="e">
        <f>VLOOKUP($E620,RESOURCES!$C:$E,3,FALSE)</f>
        <v>#N/A</v>
      </c>
      <c r="AU620" s="176">
        <f t="shared" si="20"/>
        <v>0</v>
      </c>
    </row>
    <row r="621" spans="1:47">
      <c r="A621" s="459"/>
      <c r="B621" s="459"/>
      <c r="C621" s="459"/>
      <c r="E621" s="461"/>
      <c r="F621" s="461"/>
      <c r="G621" s="461"/>
      <c r="H621" s="461"/>
      <c r="I621" s="462"/>
      <c r="J621" s="462"/>
      <c r="K621" s="462"/>
      <c r="L621" s="462"/>
      <c r="M621" s="462"/>
      <c r="N621" s="463"/>
      <c r="O621" s="464"/>
      <c r="P621" s="463"/>
      <c r="Q621" s="464"/>
      <c r="R621" s="465"/>
      <c r="S621" s="173">
        <f t="shared" si="21"/>
        <v>0</v>
      </c>
      <c r="AT621" s="176" t="e">
        <f>VLOOKUP($E621,RESOURCES!$C:$E,3,FALSE)</f>
        <v>#N/A</v>
      </c>
      <c r="AU621" s="176">
        <f t="shared" si="20"/>
        <v>0</v>
      </c>
    </row>
    <row r="622" spans="1:47">
      <c r="A622" s="459"/>
      <c r="B622" s="459"/>
      <c r="C622" s="459"/>
      <c r="E622" s="461"/>
      <c r="F622" s="461"/>
      <c r="G622" s="461"/>
      <c r="H622" s="461"/>
      <c r="I622" s="462"/>
      <c r="J622" s="462"/>
      <c r="K622" s="462"/>
      <c r="L622" s="462"/>
      <c r="M622" s="462"/>
      <c r="N622" s="463"/>
      <c r="O622" s="464"/>
      <c r="P622" s="463"/>
      <c r="Q622" s="464"/>
      <c r="R622" s="465"/>
      <c r="S622" s="173">
        <f t="shared" si="21"/>
        <v>0</v>
      </c>
      <c r="AT622" s="176" t="e">
        <f>VLOOKUP($E622,RESOURCES!$C:$E,3,FALSE)</f>
        <v>#N/A</v>
      </c>
      <c r="AU622" s="176">
        <f t="shared" si="20"/>
        <v>0</v>
      </c>
    </row>
    <row r="623" spans="1:47">
      <c r="A623" s="459"/>
      <c r="B623" s="459"/>
      <c r="C623" s="459"/>
      <c r="E623" s="461"/>
      <c r="F623" s="461"/>
      <c r="G623" s="461"/>
      <c r="H623" s="461"/>
      <c r="I623" s="462"/>
      <c r="J623" s="462"/>
      <c r="K623" s="462"/>
      <c r="L623" s="462"/>
      <c r="M623" s="462"/>
      <c r="N623" s="463"/>
      <c r="O623" s="464"/>
      <c r="P623" s="463"/>
      <c r="Q623" s="464"/>
      <c r="R623" s="465"/>
      <c r="S623" s="173">
        <f t="shared" si="21"/>
        <v>0</v>
      </c>
      <c r="AT623" s="176" t="e">
        <f>VLOOKUP($E623,RESOURCES!$C:$E,3,FALSE)</f>
        <v>#N/A</v>
      </c>
      <c r="AU623" s="176">
        <f t="shared" si="20"/>
        <v>0</v>
      </c>
    </row>
    <row r="624" spans="1:47">
      <c r="A624" s="459"/>
      <c r="B624" s="459"/>
      <c r="C624" s="459"/>
      <c r="E624" s="461"/>
      <c r="F624" s="461"/>
      <c r="G624" s="461"/>
      <c r="H624" s="461"/>
      <c r="I624" s="462"/>
      <c r="J624" s="462"/>
      <c r="K624" s="462"/>
      <c r="L624" s="462"/>
      <c r="M624" s="462"/>
      <c r="N624" s="463"/>
      <c r="O624" s="464"/>
      <c r="P624" s="463"/>
      <c r="Q624" s="464"/>
      <c r="R624" s="465"/>
      <c r="S624" s="173">
        <f t="shared" si="21"/>
        <v>0</v>
      </c>
      <c r="AT624" s="176" t="e">
        <f>VLOOKUP($E624,RESOURCES!$C:$E,3,FALSE)</f>
        <v>#N/A</v>
      </c>
      <c r="AU624" s="176">
        <f t="shared" si="20"/>
        <v>0</v>
      </c>
    </row>
    <row r="625" spans="1:47">
      <c r="A625" s="459"/>
      <c r="B625" s="459"/>
      <c r="C625" s="459"/>
      <c r="E625" s="461"/>
      <c r="F625" s="461"/>
      <c r="G625" s="461"/>
      <c r="H625" s="461"/>
      <c r="I625" s="462"/>
      <c r="J625" s="462"/>
      <c r="K625" s="462"/>
      <c r="L625" s="462"/>
      <c r="M625" s="462"/>
      <c r="N625" s="463"/>
      <c r="O625" s="464"/>
      <c r="P625" s="463"/>
      <c r="Q625" s="464"/>
      <c r="R625" s="465"/>
      <c r="S625" s="173">
        <f t="shared" si="21"/>
        <v>0</v>
      </c>
      <c r="AT625" s="176" t="e">
        <f>VLOOKUP($E625,RESOURCES!$C:$E,3,FALSE)</f>
        <v>#N/A</v>
      </c>
      <c r="AU625" s="176">
        <f t="shared" si="20"/>
        <v>0</v>
      </c>
    </row>
    <row r="626" spans="1:47">
      <c r="A626" s="459"/>
      <c r="B626" s="459"/>
      <c r="C626" s="459"/>
      <c r="E626" s="461"/>
      <c r="F626" s="461"/>
      <c r="G626" s="461"/>
      <c r="H626" s="461"/>
      <c r="I626" s="462"/>
      <c r="J626" s="462"/>
      <c r="K626" s="462"/>
      <c r="L626" s="462"/>
      <c r="M626" s="462"/>
      <c r="N626" s="463"/>
      <c r="O626" s="464"/>
      <c r="P626" s="463"/>
      <c r="Q626" s="464"/>
      <c r="R626" s="465"/>
      <c r="S626" s="173">
        <f t="shared" si="21"/>
        <v>0</v>
      </c>
      <c r="AT626" s="176" t="e">
        <f>VLOOKUP($E626,RESOURCES!$C:$E,3,FALSE)</f>
        <v>#N/A</v>
      </c>
      <c r="AU626" s="176">
        <f t="shared" si="20"/>
        <v>0</v>
      </c>
    </row>
    <row r="627" spans="1:47">
      <c r="A627" s="459"/>
      <c r="B627" s="459"/>
      <c r="C627" s="459"/>
      <c r="E627" s="461"/>
      <c r="F627" s="461"/>
      <c r="G627" s="461"/>
      <c r="H627" s="461"/>
      <c r="I627" s="462"/>
      <c r="J627" s="462"/>
      <c r="K627" s="462"/>
      <c r="L627" s="462"/>
      <c r="M627" s="462"/>
      <c r="N627" s="463"/>
      <c r="O627" s="464"/>
      <c r="P627" s="463"/>
      <c r="Q627" s="464"/>
      <c r="R627" s="465"/>
      <c r="S627" s="173">
        <f t="shared" si="21"/>
        <v>0</v>
      </c>
      <c r="AT627" s="176" t="e">
        <f>VLOOKUP($E627,RESOURCES!$C:$E,3,FALSE)</f>
        <v>#N/A</v>
      </c>
      <c r="AU627" s="176">
        <f t="shared" si="20"/>
        <v>0</v>
      </c>
    </row>
    <row r="628" spans="1:47">
      <c r="A628" s="459"/>
      <c r="B628" s="459"/>
      <c r="C628" s="459"/>
      <c r="E628" s="461"/>
      <c r="F628" s="461"/>
      <c r="G628" s="461"/>
      <c r="H628" s="461"/>
      <c r="I628" s="462"/>
      <c r="J628" s="462"/>
      <c r="K628" s="462"/>
      <c r="L628" s="462"/>
      <c r="M628" s="462"/>
      <c r="N628" s="463"/>
      <c r="O628" s="464"/>
      <c r="P628" s="463"/>
      <c r="Q628" s="464"/>
      <c r="R628" s="465"/>
      <c r="S628" s="173">
        <f t="shared" si="21"/>
        <v>0</v>
      </c>
      <c r="AT628" s="176" t="e">
        <f>VLOOKUP($E628,RESOURCES!$C:$E,3,FALSE)</f>
        <v>#N/A</v>
      </c>
      <c r="AU628" s="176">
        <f t="shared" si="20"/>
        <v>0</v>
      </c>
    </row>
    <row r="629" spans="1:47">
      <c r="A629" s="459"/>
      <c r="B629" s="459"/>
      <c r="C629" s="459"/>
      <c r="E629" s="461"/>
      <c r="F629" s="461"/>
      <c r="G629" s="461"/>
      <c r="H629" s="461"/>
      <c r="I629" s="462"/>
      <c r="J629" s="462"/>
      <c r="K629" s="462"/>
      <c r="L629" s="462"/>
      <c r="M629" s="462"/>
      <c r="N629" s="463"/>
      <c r="O629" s="464"/>
      <c r="P629" s="463"/>
      <c r="Q629" s="464"/>
      <c r="R629" s="465"/>
      <c r="S629" s="173">
        <f t="shared" si="21"/>
        <v>0</v>
      </c>
      <c r="AT629" s="176" t="e">
        <f>VLOOKUP($E629,RESOURCES!$C:$E,3,FALSE)</f>
        <v>#N/A</v>
      </c>
      <c r="AU629" s="176">
        <f t="shared" si="20"/>
        <v>0</v>
      </c>
    </row>
    <row r="630" spans="1:47">
      <c r="A630" s="459"/>
      <c r="B630" s="459"/>
      <c r="C630" s="459"/>
      <c r="E630" s="461"/>
      <c r="F630" s="461"/>
      <c r="G630" s="461"/>
      <c r="H630" s="461"/>
      <c r="I630" s="462"/>
      <c r="J630" s="462"/>
      <c r="K630" s="462"/>
      <c r="L630" s="462"/>
      <c r="M630" s="462"/>
      <c r="N630" s="463"/>
      <c r="O630" s="464"/>
      <c r="P630" s="463"/>
      <c r="Q630" s="464"/>
      <c r="R630" s="465"/>
      <c r="S630" s="173">
        <f t="shared" si="21"/>
        <v>0</v>
      </c>
      <c r="AT630" s="176" t="e">
        <f>VLOOKUP($E630,RESOURCES!$C:$E,3,FALSE)</f>
        <v>#N/A</v>
      </c>
      <c r="AU630" s="176">
        <f t="shared" si="20"/>
        <v>0</v>
      </c>
    </row>
    <row r="631" spans="1:47">
      <c r="A631" s="459"/>
      <c r="B631" s="459"/>
      <c r="C631" s="459"/>
      <c r="E631" s="461"/>
      <c r="F631" s="461"/>
      <c r="G631" s="461"/>
      <c r="H631" s="461"/>
      <c r="I631" s="462"/>
      <c r="J631" s="462"/>
      <c r="K631" s="462"/>
      <c r="L631" s="462"/>
      <c r="M631" s="462"/>
      <c r="N631" s="463"/>
      <c r="O631" s="464"/>
      <c r="P631" s="463"/>
      <c r="Q631" s="464"/>
      <c r="R631" s="465"/>
      <c r="S631" s="173">
        <f t="shared" si="21"/>
        <v>0</v>
      </c>
      <c r="AT631" s="176" t="e">
        <f>VLOOKUP($E631,RESOURCES!$C:$E,3,FALSE)</f>
        <v>#N/A</v>
      </c>
      <c r="AU631" s="176">
        <f t="shared" si="20"/>
        <v>0</v>
      </c>
    </row>
    <row r="632" spans="1:47">
      <c r="A632" s="459"/>
      <c r="B632" s="459"/>
      <c r="C632" s="459"/>
      <c r="E632" s="461"/>
      <c r="F632" s="461"/>
      <c r="G632" s="461"/>
      <c r="H632" s="461"/>
      <c r="I632" s="462"/>
      <c r="J632" s="462"/>
      <c r="K632" s="462"/>
      <c r="L632" s="462"/>
      <c r="M632" s="462"/>
      <c r="N632" s="463"/>
      <c r="O632" s="464"/>
      <c r="P632" s="463"/>
      <c r="Q632" s="464"/>
      <c r="R632" s="465"/>
      <c r="S632" s="173">
        <f t="shared" si="21"/>
        <v>0</v>
      </c>
      <c r="AT632" s="176" t="e">
        <f>VLOOKUP($E632,RESOURCES!$C:$E,3,FALSE)</f>
        <v>#N/A</v>
      </c>
      <c r="AU632" s="176">
        <f t="shared" si="20"/>
        <v>0</v>
      </c>
    </row>
    <row r="633" spans="1:47">
      <c r="A633" s="459"/>
      <c r="B633" s="459"/>
      <c r="C633" s="459"/>
      <c r="E633" s="461"/>
      <c r="F633" s="461"/>
      <c r="G633" s="461"/>
      <c r="H633" s="461"/>
      <c r="I633" s="462"/>
      <c r="J633" s="462"/>
      <c r="K633" s="462"/>
      <c r="L633" s="462"/>
      <c r="M633" s="462"/>
      <c r="N633" s="463"/>
      <c r="O633" s="464"/>
      <c r="P633" s="463"/>
      <c r="Q633" s="464"/>
      <c r="R633" s="465"/>
      <c r="S633" s="173">
        <f t="shared" si="21"/>
        <v>0</v>
      </c>
      <c r="AT633" s="176" t="e">
        <f>VLOOKUP($E633,RESOURCES!$C:$E,3,FALSE)</f>
        <v>#N/A</v>
      </c>
      <c r="AU633" s="176">
        <f t="shared" si="20"/>
        <v>0</v>
      </c>
    </row>
    <row r="634" spans="1:47">
      <c r="A634" s="459"/>
      <c r="B634" s="459"/>
      <c r="C634" s="459"/>
      <c r="E634" s="461"/>
      <c r="F634" s="461"/>
      <c r="G634" s="461"/>
      <c r="H634" s="461"/>
      <c r="I634" s="462"/>
      <c r="J634" s="462"/>
      <c r="K634" s="462"/>
      <c r="L634" s="462"/>
      <c r="M634" s="462"/>
      <c r="N634" s="463"/>
      <c r="O634" s="464"/>
      <c r="P634" s="463"/>
      <c r="Q634" s="464"/>
      <c r="R634" s="465"/>
      <c r="S634" s="173">
        <f t="shared" si="21"/>
        <v>0</v>
      </c>
      <c r="AT634" s="176" t="e">
        <f>VLOOKUP($E634,RESOURCES!$C:$E,3,FALSE)</f>
        <v>#N/A</v>
      </c>
      <c r="AU634" s="176">
        <f t="shared" si="20"/>
        <v>0</v>
      </c>
    </row>
    <row r="635" spans="1:47">
      <c r="A635" s="459"/>
      <c r="B635" s="459"/>
      <c r="C635" s="459"/>
      <c r="E635" s="461"/>
      <c r="F635" s="461"/>
      <c r="G635" s="461"/>
      <c r="H635" s="461"/>
      <c r="I635" s="462"/>
      <c r="J635" s="462"/>
      <c r="K635" s="462"/>
      <c r="L635" s="462"/>
      <c r="M635" s="462"/>
      <c r="N635" s="463"/>
      <c r="O635" s="464"/>
      <c r="P635" s="463"/>
      <c r="Q635" s="464"/>
      <c r="R635" s="465"/>
      <c r="S635" s="173">
        <f t="shared" si="21"/>
        <v>0</v>
      </c>
      <c r="AT635" s="176" t="e">
        <f>VLOOKUP($E635,RESOURCES!$C:$E,3,FALSE)</f>
        <v>#N/A</v>
      </c>
      <c r="AU635" s="176">
        <f t="shared" si="20"/>
        <v>0</v>
      </c>
    </row>
    <row r="636" spans="1:47">
      <c r="A636" s="459"/>
      <c r="B636" s="459"/>
      <c r="C636" s="459"/>
      <c r="E636" s="461"/>
      <c r="F636" s="461"/>
      <c r="G636" s="461"/>
      <c r="H636" s="461"/>
      <c r="I636" s="462"/>
      <c r="J636" s="462"/>
      <c r="K636" s="462"/>
      <c r="L636" s="462"/>
      <c r="M636" s="462"/>
      <c r="N636" s="463"/>
      <c r="O636" s="464"/>
      <c r="P636" s="463"/>
      <c r="Q636" s="464"/>
      <c r="R636" s="465"/>
      <c r="S636" s="173">
        <f t="shared" si="21"/>
        <v>0</v>
      </c>
      <c r="AT636" s="176" t="e">
        <f>VLOOKUP($E636,RESOURCES!$C:$E,3,FALSE)</f>
        <v>#N/A</v>
      </c>
      <c r="AU636" s="176">
        <f t="shared" si="20"/>
        <v>0</v>
      </c>
    </row>
    <row r="637" spans="1:47">
      <c r="A637" s="459"/>
      <c r="B637" s="459"/>
      <c r="C637" s="459"/>
      <c r="E637" s="461"/>
      <c r="F637" s="461"/>
      <c r="G637" s="461"/>
      <c r="H637" s="461"/>
      <c r="I637" s="462"/>
      <c r="J637" s="462"/>
      <c r="K637" s="462"/>
      <c r="L637" s="462"/>
      <c r="M637" s="462"/>
      <c r="N637" s="463"/>
      <c r="O637" s="464"/>
      <c r="P637" s="463"/>
      <c r="Q637" s="464"/>
      <c r="R637" s="465"/>
      <c r="S637" s="173">
        <f t="shared" si="21"/>
        <v>0</v>
      </c>
      <c r="AT637" s="176" t="e">
        <f>VLOOKUP($E637,RESOURCES!$C:$E,3,FALSE)</f>
        <v>#N/A</v>
      </c>
      <c r="AU637" s="176">
        <f t="shared" si="20"/>
        <v>0</v>
      </c>
    </row>
    <row r="638" spans="1:47">
      <c r="A638" s="459"/>
      <c r="B638" s="459"/>
      <c r="C638" s="459"/>
      <c r="E638" s="461"/>
      <c r="F638" s="461"/>
      <c r="G638" s="461"/>
      <c r="H638" s="461"/>
      <c r="I638" s="462"/>
      <c r="J638" s="462"/>
      <c r="K638" s="462"/>
      <c r="L638" s="462"/>
      <c r="M638" s="462"/>
      <c r="N638" s="463"/>
      <c r="O638" s="464"/>
      <c r="P638" s="463"/>
      <c r="Q638" s="464"/>
      <c r="R638" s="465"/>
      <c r="S638" s="173">
        <f t="shared" si="21"/>
        <v>0</v>
      </c>
      <c r="AT638" s="176" t="e">
        <f>VLOOKUP($E638,RESOURCES!$C:$E,3,FALSE)</f>
        <v>#N/A</v>
      </c>
      <c r="AU638" s="176">
        <f t="shared" si="20"/>
        <v>0</v>
      </c>
    </row>
    <row r="639" spans="1:47">
      <c r="A639" s="459"/>
      <c r="B639" s="459"/>
      <c r="C639" s="459"/>
      <c r="E639" s="461"/>
      <c r="F639" s="461"/>
      <c r="G639" s="461"/>
      <c r="H639" s="461"/>
      <c r="I639" s="462"/>
      <c r="J639" s="462"/>
      <c r="K639" s="462"/>
      <c r="L639" s="462"/>
      <c r="M639" s="462"/>
      <c r="N639" s="463"/>
      <c r="O639" s="464"/>
      <c r="P639" s="463"/>
      <c r="Q639" s="464"/>
      <c r="R639" s="465"/>
      <c r="S639" s="173">
        <f t="shared" si="21"/>
        <v>0</v>
      </c>
      <c r="AT639" s="176" t="e">
        <f>VLOOKUP($E639,RESOURCES!$C:$E,3,FALSE)</f>
        <v>#N/A</v>
      </c>
      <c r="AU639" s="176">
        <f t="shared" si="20"/>
        <v>0</v>
      </c>
    </row>
    <row r="640" spans="1:47">
      <c r="A640" s="459"/>
      <c r="B640" s="459"/>
      <c r="C640" s="459"/>
      <c r="E640" s="461"/>
      <c r="F640" s="461"/>
      <c r="G640" s="461"/>
      <c r="H640" s="461"/>
      <c r="I640" s="462"/>
      <c r="J640" s="462"/>
      <c r="K640" s="462"/>
      <c r="L640" s="462"/>
      <c r="M640" s="462"/>
      <c r="N640" s="463"/>
      <c r="O640" s="464"/>
      <c r="P640" s="463"/>
      <c r="Q640" s="464"/>
      <c r="R640" s="465"/>
      <c r="S640" s="173">
        <f t="shared" si="21"/>
        <v>0</v>
      </c>
      <c r="AT640" s="176" t="e">
        <f>VLOOKUP($E640,RESOURCES!$C:$E,3,FALSE)</f>
        <v>#N/A</v>
      </c>
      <c r="AU640" s="176">
        <f t="shared" si="20"/>
        <v>0</v>
      </c>
    </row>
    <row r="641" spans="1:47">
      <c r="A641" s="459"/>
      <c r="B641" s="459"/>
      <c r="C641" s="459"/>
      <c r="E641" s="461"/>
      <c r="F641" s="461"/>
      <c r="G641" s="461"/>
      <c r="H641" s="461"/>
      <c r="I641" s="462"/>
      <c r="J641" s="462"/>
      <c r="K641" s="462"/>
      <c r="L641" s="462"/>
      <c r="M641" s="462"/>
      <c r="N641" s="463"/>
      <c r="O641" s="464"/>
      <c r="P641" s="463"/>
      <c r="Q641" s="464"/>
      <c r="R641" s="465"/>
      <c r="S641" s="173">
        <f t="shared" si="21"/>
        <v>0</v>
      </c>
      <c r="AT641" s="176" t="e">
        <f>VLOOKUP($E641,RESOURCES!$C:$E,3,FALSE)</f>
        <v>#N/A</v>
      </c>
      <c r="AU641" s="176">
        <f t="shared" si="20"/>
        <v>0</v>
      </c>
    </row>
    <row r="642" spans="1:47">
      <c r="A642" s="459"/>
      <c r="B642" s="459"/>
      <c r="C642" s="459"/>
      <c r="E642" s="461"/>
      <c r="F642" s="461"/>
      <c r="G642" s="461"/>
      <c r="H642" s="461"/>
      <c r="I642" s="462"/>
      <c r="J642" s="462"/>
      <c r="K642" s="462"/>
      <c r="L642" s="462"/>
      <c r="M642" s="462"/>
      <c r="N642" s="463"/>
      <c r="O642" s="464"/>
      <c r="P642" s="463"/>
      <c r="Q642" s="464"/>
      <c r="R642" s="465"/>
      <c r="S642" s="173">
        <f t="shared" si="21"/>
        <v>0</v>
      </c>
      <c r="AT642" s="176" t="e">
        <f>VLOOKUP($E642,RESOURCES!$C:$E,3,FALSE)</f>
        <v>#N/A</v>
      </c>
      <c r="AU642" s="176">
        <f t="shared" si="20"/>
        <v>0</v>
      </c>
    </row>
    <row r="643" spans="1:47">
      <c r="A643" s="459"/>
      <c r="B643" s="459"/>
      <c r="C643" s="459"/>
      <c r="E643" s="461"/>
      <c r="F643" s="461"/>
      <c r="G643" s="461"/>
      <c r="H643" s="461"/>
      <c r="I643" s="462"/>
      <c r="J643" s="462"/>
      <c r="K643" s="462"/>
      <c r="L643" s="462"/>
      <c r="M643" s="462"/>
      <c r="N643" s="463"/>
      <c r="O643" s="464"/>
      <c r="P643" s="463"/>
      <c r="Q643" s="464"/>
      <c r="R643" s="465"/>
      <c r="S643" s="173">
        <f t="shared" si="21"/>
        <v>0</v>
      </c>
      <c r="AT643" s="176" t="e">
        <f>VLOOKUP($E643,RESOURCES!$C:$E,3,FALSE)</f>
        <v>#N/A</v>
      </c>
      <c r="AU643" s="176">
        <f t="shared" si="20"/>
        <v>0</v>
      </c>
    </row>
    <row r="644" spans="1:47">
      <c r="A644" s="459"/>
      <c r="B644" s="459"/>
      <c r="C644" s="459"/>
      <c r="E644" s="461"/>
      <c r="F644" s="461"/>
      <c r="G644" s="461"/>
      <c r="H644" s="461"/>
      <c r="I644" s="462"/>
      <c r="J644" s="462"/>
      <c r="K644" s="462"/>
      <c r="L644" s="462"/>
      <c r="M644" s="462"/>
      <c r="N644" s="463"/>
      <c r="O644" s="464"/>
      <c r="P644" s="463"/>
      <c r="Q644" s="464"/>
      <c r="R644" s="465"/>
      <c r="S644" s="173">
        <f t="shared" si="21"/>
        <v>0</v>
      </c>
      <c r="AT644" s="176" t="e">
        <f>VLOOKUP($E644,RESOURCES!$C:$E,3,FALSE)</f>
        <v>#N/A</v>
      </c>
      <c r="AU644" s="176">
        <f t="shared" si="20"/>
        <v>0</v>
      </c>
    </row>
    <row r="645" spans="1:47">
      <c r="A645" s="459"/>
      <c r="B645" s="459"/>
      <c r="C645" s="459"/>
      <c r="E645" s="461"/>
      <c r="F645" s="461"/>
      <c r="G645" s="461"/>
      <c r="H645" s="461"/>
      <c r="I645" s="462"/>
      <c r="J645" s="462"/>
      <c r="K645" s="462"/>
      <c r="L645" s="462"/>
      <c r="M645" s="462"/>
      <c r="N645" s="463"/>
      <c r="O645" s="464"/>
      <c r="P645" s="463"/>
      <c r="Q645" s="464"/>
      <c r="R645" s="465"/>
      <c r="S645" s="173">
        <f t="shared" si="21"/>
        <v>0</v>
      </c>
      <c r="AT645" s="176" t="e">
        <f>VLOOKUP($E645,RESOURCES!$C:$E,3,FALSE)</f>
        <v>#N/A</v>
      </c>
      <c r="AU645" s="176">
        <f t="shared" ref="AU645:AU708" si="22">C645</f>
        <v>0</v>
      </c>
    </row>
    <row r="646" spans="1:47">
      <c r="A646" s="459"/>
      <c r="B646" s="459"/>
      <c r="C646" s="459"/>
      <c r="E646" s="461"/>
      <c r="F646" s="461"/>
      <c r="G646" s="461"/>
      <c r="H646" s="461"/>
      <c r="I646" s="462"/>
      <c r="J646" s="462"/>
      <c r="K646" s="462"/>
      <c r="L646" s="462"/>
      <c r="M646" s="462"/>
      <c r="N646" s="463"/>
      <c r="O646" s="464"/>
      <c r="P646" s="463"/>
      <c r="Q646" s="464"/>
      <c r="R646" s="465"/>
      <c r="S646" s="173">
        <f t="shared" si="21"/>
        <v>0</v>
      </c>
      <c r="AT646" s="176" t="e">
        <f>VLOOKUP($E646,RESOURCES!$C:$E,3,FALSE)</f>
        <v>#N/A</v>
      </c>
      <c r="AU646" s="176">
        <f t="shared" si="22"/>
        <v>0</v>
      </c>
    </row>
    <row r="647" spans="1:47">
      <c r="A647" s="459"/>
      <c r="B647" s="459"/>
      <c r="C647" s="459"/>
      <c r="E647" s="461"/>
      <c r="F647" s="461"/>
      <c r="G647" s="461"/>
      <c r="H647" s="461"/>
      <c r="I647" s="462"/>
      <c r="J647" s="462"/>
      <c r="K647" s="462"/>
      <c r="L647" s="462"/>
      <c r="M647" s="462"/>
      <c r="N647" s="463"/>
      <c r="O647" s="464"/>
      <c r="P647" s="463"/>
      <c r="Q647" s="464"/>
      <c r="R647" s="465"/>
      <c r="S647" s="173">
        <f t="shared" si="21"/>
        <v>0</v>
      </c>
      <c r="AT647" s="176" t="e">
        <f>VLOOKUP($E647,RESOURCES!$C:$E,3,FALSE)</f>
        <v>#N/A</v>
      </c>
      <c r="AU647" s="176">
        <f t="shared" si="22"/>
        <v>0</v>
      </c>
    </row>
    <row r="648" spans="1:47">
      <c r="A648" s="459"/>
      <c r="B648" s="459"/>
      <c r="C648" s="459"/>
      <c r="E648" s="461"/>
      <c r="F648" s="461"/>
      <c r="G648" s="461"/>
      <c r="H648" s="461"/>
      <c r="I648" s="462"/>
      <c r="J648" s="462"/>
      <c r="K648" s="462"/>
      <c r="L648" s="462"/>
      <c r="M648" s="462"/>
      <c r="N648" s="463"/>
      <c r="O648" s="464"/>
      <c r="P648" s="463"/>
      <c r="Q648" s="464"/>
      <c r="R648" s="465"/>
      <c r="S648" s="173">
        <f t="shared" si="21"/>
        <v>0</v>
      </c>
      <c r="AT648" s="176" t="e">
        <f>VLOOKUP($E648,RESOURCES!$C:$E,3,FALSE)</f>
        <v>#N/A</v>
      </c>
      <c r="AU648" s="176">
        <f t="shared" si="22"/>
        <v>0</v>
      </c>
    </row>
    <row r="649" spans="1:47">
      <c r="A649" s="459"/>
      <c r="B649" s="459"/>
      <c r="C649" s="459"/>
      <c r="E649" s="461"/>
      <c r="F649" s="461"/>
      <c r="G649" s="461"/>
      <c r="H649" s="461"/>
      <c r="I649" s="462"/>
      <c r="J649" s="462"/>
      <c r="K649" s="462"/>
      <c r="L649" s="462"/>
      <c r="M649" s="462"/>
      <c r="N649" s="463"/>
      <c r="O649" s="464"/>
      <c r="P649" s="463"/>
      <c r="Q649" s="464"/>
      <c r="R649" s="465"/>
      <c r="S649" s="173">
        <f t="shared" si="21"/>
        <v>0</v>
      </c>
      <c r="AT649" s="176" t="e">
        <f>VLOOKUP($E649,RESOURCES!$C:$E,3,FALSE)</f>
        <v>#N/A</v>
      </c>
      <c r="AU649" s="176">
        <f t="shared" si="22"/>
        <v>0</v>
      </c>
    </row>
    <row r="650" spans="1:47">
      <c r="A650" s="459"/>
      <c r="B650" s="459"/>
      <c r="C650" s="459"/>
      <c r="E650" s="461"/>
      <c r="F650" s="461"/>
      <c r="G650" s="461"/>
      <c r="H650" s="461"/>
      <c r="I650" s="462"/>
      <c r="J650" s="462"/>
      <c r="K650" s="462"/>
      <c r="L650" s="462"/>
      <c r="M650" s="462"/>
      <c r="N650" s="463"/>
      <c r="O650" s="464"/>
      <c r="P650" s="463"/>
      <c r="Q650" s="464"/>
      <c r="R650" s="465"/>
      <c r="S650" s="173">
        <f t="shared" si="21"/>
        <v>0</v>
      </c>
      <c r="AT650" s="176" t="e">
        <f>VLOOKUP($E650,RESOURCES!$C:$E,3,FALSE)</f>
        <v>#N/A</v>
      </c>
      <c r="AU650" s="176">
        <f t="shared" si="22"/>
        <v>0</v>
      </c>
    </row>
    <row r="651" spans="1:47">
      <c r="A651" s="459"/>
      <c r="B651" s="459"/>
      <c r="C651" s="459"/>
      <c r="E651" s="461"/>
      <c r="F651" s="461"/>
      <c r="G651" s="461"/>
      <c r="H651" s="461"/>
      <c r="I651" s="462"/>
      <c r="J651" s="462"/>
      <c r="K651" s="462"/>
      <c r="L651" s="462"/>
      <c r="M651" s="462"/>
      <c r="N651" s="463"/>
      <c r="O651" s="464"/>
      <c r="P651" s="463"/>
      <c r="Q651" s="464"/>
      <c r="R651" s="465"/>
      <c r="S651" s="173">
        <f t="shared" si="21"/>
        <v>0</v>
      </c>
      <c r="AT651" s="176" t="e">
        <f>VLOOKUP($E651,RESOURCES!$C:$E,3,FALSE)</f>
        <v>#N/A</v>
      </c>
      <c r="AU651" s="176">
        <f t="shared" si="22"/>
        <v>0</v>
      </c>
    </row>
    <row r="652" spans="1:47">
      <c r="A652" s="459"/>
      <c r="B652" s="459"/>
      <c r="C652" s="459"/>
      <c r="E652" s="461"/>
      <c r="F652" s="461"/>
      <c r="G652" s="461"/>
      <c r="H652" s="461"/>
      <c r="I652" s="462"/>
      <c r="J652" s="462"/>
      <c r="K652" s="462"/>
      <c r="L652" s="462"/>
      <c r="M652" s="462"/>
      <c r="N652" s="463"/>
      <c r="O652" s="464"/>
      <c r="P652" s="463"/>
      <c r="Q652" s="464"/>
      <c r="R652" s="465"/>
      <c r="S652" s="173">
        <f t="shared" si="21"/>
        <v>0</v>
      </c>
      <c r="AT652" s="176" t="e">
        <f>VLOOKUP($E652,RESOURCES!$C:$E,3,FALSE)</f>
        <v>#N/A</v>
      </c>
      <c r="AU652" s="176">
        <f t="shared" si="22"/>
        <v>0</v>
      </c>
    </row>
    <row r="653" spans="1:47">
      <c r="A653" s="459"/>
      <c r="B653" s="459"/>
      <c r="C653" s="459"/>
      <c r="E653" s="461"/>
      <c r="F653" s="461"/>
      <c r="G653" s="461"/>
      <c r="H653" s="461"/>
      <c r="I653" s="462"/>
      <c r="J653" s="462"/>
      <c r="K653" s="462"/>
      <c r="L653" s="462"/>
      <c r="M653" s="462"/>
      <c r="N653" s="463"/>
      <c r="O653" s="464"/>
      <c r="P653" s="463"/>
      <c r="Q653" s="464"/>
      <c r="R653" s="465"/>
      <c r="S653" s="173">
        <f t="shared" ref="S653:S716" si="23">F653-(H653/7.5)</f>
        <v>0</v>
      </c>
      <c r="AT653" s="176" t="e">
        <f>VLOOKUP($E653,RESOURCES!$C:$E,3,FALSE)</f>
        <v>#N/A</v>
      </c>
      <c r="AU653" s="176">
        <f t="shared" si="22"/>
        <v>0</v>
      </c>
    </row>
    <row r="654" spans="1:47">
      <c r="A654" s="459"/>
      <c r="B654" s="459"/>
      <c r="C654" s="459"/>
      <c r="E654" s="461"/>
      <c r="F654" s="461"/>
      <c r="G654" s="461"/>
      <c r="H654" s="461"/>
      <c r="I654" s="462"/>
      <c r="J654" s="462"/>
      <c r="K654" s="462"/>
      <c r="L654" s="462"/>
      <c r="M654" s="462"/>
      <c r="N654" s="463"/>
      <c r="O654" s="464"/>
      <c r="P654" s="463"/>
      <c r="Q654" s="464"/>
      <c r="R654" s="465"/>
      <c r="S654" s="173">
        <f t="shared" si="23"/>
        <v>0</v>
      </c>
      <c r="AT654" s="176" t="e">
        <f>VLOOKUP($E654,RESOURCES!$C:$E,3,FALSE)</f>
        <v>#N/A</v>
      </c>
      <c r="AU654" s="176">
        <f t="shared" si="22"/>
        <v>0</v>
      </c>
    </row>
    <row r="655" spans="1:47">
      <c r="A655" s="459"/>
      <c r="B655" s="459"/>
      <c r="C655" s="459"/>
      <c r="E655" s="461"/>
      <c r="F655" s="461"/>
      <c r="G655" s="461"/>
      <c r="H655" s="461"/>
      <c r="I655" s="462"/>
      <c r="J655" s="462"/>
      <c r="K655" s="462"/>
      <c r="L655" s="462"/>
      <c r="M655" s="462"/>
      <c r="N655" s="463"/>
      <c r="O655" s="464"/>
      <c r="P655" s="463"/>
      <c r="Q655" s="464"/>
      <c r="R655" s="465"/>
      <c r="S655" s="173">
        <f t="shared" si="23"/>
        <v>0</v>
      </c>
      <c r="AT655" s="176" t="e">
        <f>VLOOKUP($E655,RESOURCES!$C:$E,3,FALSE)</f>
        <v>#N/A</v>
      </c>
      <c r="AU655" s="176">
        <f t="shared" si="22"/>
        <v>0</v>
      </c>
    </row>
    <row r="656" spans="1:47">
      <c r="A656" s="459"/>
      <c r="B656" s="459"/>
      <c r="C656" s="459"/>
      <c r="E656" s="461"/>
      <c r="F656" s="461"/>
      <c r="G656" s="461"/>
      <c r="H656" s="461"/>
      <c r="I656" s="462"/>
      <c r="J656" s="462"/>
      <c r="K656" s="462"/>
      <c r="L656" s="462"/>
      <c r="M656" s="462"/>
      <c r="N656" s="463"/>
      <c r="O656" s="464"/>
      <c r="P656" s="463"/>
      <c r="Q656" s="464"/>
      <c r="R656" s="465"/>
      <c r="S656" s="173">
        <f t="shared" si="23"/>
        <v>0</v>
      </c>
      <c r="AT656" s="176" t="e">
        <f>VLOOKUP($E656,RESOURCES!$C:$E,3,FALSE)</f>
        <v>#N/A</v>
      </c>
      <c r="AU656" s="176">
        <f t="shared" si="22"/>
        <v>0</v>
      </c>
    </row>
    <row r="657" spans="1:47">
      <c r="A657" s="459"/>
      <c r="B657" s="459"/>
      <c r="C657" s="459"/>
      <c r="E657" s="461"/>
      <c r="F657" s="461"/>
      <c r="G657" s="461"/>
      <c r="H657" s="461"/>
      <c r="I657" s="462"/>
      <c r="J657" s="462"/>
      <c r="K657" s="462"/>
      <c r="L657" s="462"/>
      <c r="M657" s="462"/>
      <c r="N657" s="463"/>
      <c r="O657" s="464"/>
      <c r="P657" s="463"/>
      <c r="Q657" s="464"/>
      <c r="R657" s="465"/>
      <c r="S657" s="173">
        <f t="shared" si="23"/>
        <v>0</v>
      </c>
      <c r="AT657" s="176" t="e">
        <f>VLOOKUP($E657,RESOURCES!$C:$E,3,FALSE)</f>
        <v>#N/A</v>
      </c>
      <c r="AU657" s="176">
        <f t="shared" si="22"/>
        <v>0</v>
      </c>
    </row>
    <row r="658" spans="1:47">
      <c r="A658" s="459"/>
      <c r="B658" s="459"/>
      <c r="C658" s="459"/>
      <c r="E658" s="461"/>
      <c r="F658" s="461"/>
      <c r="G658" s="461"/>
      <c r="H658" s="461"/>
      <c r="I658" s="462"/>
      <c r="J658" s="462"/>
      <c r="K658" s="462"/>
      <c r="L658" s="462"/>
      <c r="M658" s="462"/>
      <c r="N658" s="463"/>
      <c r="O658" s="464"/>
      <c r="P658" s="463"/>
      <c r="Q658" s="464"/>
      <c r="R658" s="465"/>
      <c r="S658" s="173">
        <f t="shared" si="23"/>
        <v>0</v>
      </c>
      <c r="AT658" s="176" t="e">
        <f>VLOOKUP($E658,RESOURCES!$C:$E,3,FALSE)</f>
        <v>#N/A</v>
      </c>
      <c r="AU658" s="176">
        <f t="shared" si="22"/>
        <v>0</v>
      </c>
    </row>
    <row r="659" spans="1:47">
      <c r="A659" s="459"/>
      <c r="B659" s="459"/>
      <c r="C659" s="459"/>
      <c r="E659" s="461"/>
      <c r="F659" s="461"/>
      <c r="G659" s="461"/>
      <c r="H659" s="461"/>
      <c r="I659" s="462"/>
      <c r="J659" s="462"/>
      <c r="K659" s="462"/>
      <c r="L659" s="462"/>
      <c r="M659" s="462"/>
      <c r="N659" s="463"/>
      <c r="O659" s="464"/>
      <c r="P659" s="463"/>
      <c r="Q659" s="464"/>
      <c r="R659" s="465"/>
      <c r="S659" s="173">
        <f t="shared" si="23"/>
        <v>0</v>
      </c>
      <c r="AT659" s="176" t="e">
        <f>VLOOKUP($E659,RESOURCES!$C:$E,3,FALSE)</f>
        <v>#N/A</v>
      </c>
      <c r="AU659" s="176">
        <f t="shared" si="22"/>
        <v>0</v>
      </c>
    </row>
    <row r="660" spans="1:47">
      <c r="A660" s="459"/>
      <c r="B660" s="459"/>
      <c r="C660" s="459"/>
      <c r="E660" s="461"/>
      <c r="F660" s="461"/>
      <c r="G660" s="461"/>
      <c r="H660" s="461"/>
      <c r="I660" s="462"/>
      <c r="J660" s="462"/>
      <c r="K660" s="462"/>
      <c r="L660" s="462"/>
      <c r="M660" s="462"/>
      <c r="N660" s="463"/>
      <c r="O660" s="464"/>
      <c r="P660" s="463"/>
      <c r="Q660" s="464"/>
      <c r="R660" s="465"/>
      <c r="S660" s="173">
        <f t="shared" si="23"/>
        <v>0</v>
      </c>
      <c r="AT660" s="176" t="e">
        <f>VLOOKUP($E660,RESOURCES!$C:$E,3,FALSE)</f>
        <v>#N/A</v>
      </c>
      <c r="AU660" s="176">
        <f t="shared" si="22"/>
        <v>0</v>
      </c>
    </row>
    <row r="661" spans="1:47">
      <c r="A661" s="459"/>
      <c r="B661" s="459"/>
      <c r="C661" s="459"/>
      <c r="E661" s="461"/>
      <c r="F661" s="461"/>
      <c r="G661" s="461"/>
      <c r="H661" s="461"/>
      <c r="I661" s="462"/>
      <c r="J661" s="462"/>
      <c r="K661" s="462"/>
      <c r="L661" s="462"/>
      <c r="M661" s="462"/>
      <c r="N661" s="463"/>
      <c r="O661" s="464"/>
      <c r="P661" s="463"/>
      <c r="Q661" s="464"/>
      <c r="R661" s="465"/>
      <c r="S661" s="173">
        <f t="shared" si="23"/>
        <v>0</v>
      </c>
      <c r="AT661" s="176" t="e">
        <f>VLOOKUP($E661,RESOURCES!$C:$E,3,FALSE)</f>
        <v>#N/A</v>
      </c>
      <c r="AU661" s="176">
        <f t="shared" si="22"/>
        <v>0</v>
      </c>
    </row>
    <row r="662" spans="1:47">
      <c r="A662" s="459"/>
      <c r="B662" s="459"/>
      <c r="C662" s="459"/>
      <c r="E662" s="461"/>
      <c r="F662" s="461"/>
      <c r="G662" s="461"/>
      <c r="H662" s="461"/>
      <c r="I662" s="462"/>
      <c r="J662" s="462"/>
      <c r="K662" s="462"/>
      <c r="L662" s="462"/>
      <c r="M662" s="462"/>
      <c r="N662" s="463"/>
      <c r="O662" s="464"/>
      <c r="P662" s="463"/>
      <c r="Q662" s="464"/>
      <c r="R662" s="465"/>
      <c r="S662" s="173">
        <f t="shared" si="23"/>
        <v>0</v>
      </c>
      <c r="AT662" s="176" t="e">
        <f>VLOOKUP($E662,RESOURCES!$C:$E,3,FALSE)</f>
        <v>#N/A</v>
      </c>
      <c r="AU662" s="176">
        <f t="shared" si="22"/>
        <v>0</v>
      </c>
    </row>
    <row r="663" spans="1:47">
      <c r="A663" s="459"/>
      <c r="B663" s="459"/>
      <c r="C663" s="459"/>
      <c r="E663" s="461"/>
      <c r="F663" s="461"/>
      <c r="G663" s="461"/>
      <c r="H663" s="461"/>
      <c r="I663" s="462"/>
      <c r="J663" s="462"/>
      <c r="K663" s="462"/>
      <c r="L663" s="462"/>
      <c r="M663" s="462"/>
      <c r="N663" s="463"/>
      <c r="O663" s="464"/>
      <c r="P663" s="463"/>
      <c r="Q663" s="464"/>
      <c r="R663" s="465"/>
      <c r="S663" s="173">
        <f t="shared" si="23"/>
        <v>0</v>
      </c>
      <c r="AT663" s="176" t="e">
        <f>VLOOKUP($E663,RESOURCES!$C:$E,3,FALSE)</f>
        <v>#N/A</v>
      </c>
      <c r="AU663" s="176">
        <f t="shared" si="22"/>
        <v>0</v>
      </c>
    </row>
    <row r="664" spans="1:47">
      <c r="A664" s="459"/>
      <c r="B664" s="459"/>
      <c r="C664" s="459"/>
      <c r="E664" s="461"/>
      <c r="F664" s="461"/>
      <c r="G664" s="461"/>
      <c r="H664" s="461"/>
      <c r="I664" s="462"/>
      <c r="J664" s="462"/>
      <c r="K664" s="462"/>
      <c r="L664" s="462"/>
      <c r="M664" s="462"/>
      <c r="N664" s="463"/>
      <c r="O664" s="464"/>
      <c r="P664" s="463"/>
      <c r="Q664" s="464"/>
      <c r="R664" s="465"/>
      <c r="S664" s="173">
        <f t="shared" si="23"/>
        <v>0</v>
      </c>
      <c r="AT664" s="176" t="e">
        <f>VLOOKUP($E664,RESOURCES!$C:$E,3,FALSE)</f>
        <v>#N/A</v>
      </c>
      <c r="AU664" s="176">
        <f t="shared" si="22"/>
        <v>0</v>
      </c>
    </row>
    <row r="665" spans="1:47">
      <c r="A665" s="459"/>
      <c r="B665" s="459"/>
      <c r="C665" s="459"/>
      <c r="E665" s="461"/>
      <c r="F665" s="461"/>
      <c r="G665" s="461"/>
      <c r="H665" s="461"/>
      <c r="I665" s="462"/>
      <c r="J665" s="462"/>
      <c r="K665" s="462"/>
      <c r="L665" s="462"/>
      <c r="M665" s="462"/>
      <c r="N665" s="463"/>
      <c r="O665" s="464"/>
      <c r="P665" s="463"/>
      <c r="Q665" s="464"/>
      <c r="R665" s="465"/>
      <c r="S665" s="173">
        <f t="shared" si="23"/>
        <v>0</v>
      </c>
      <c r="AT665" s="176" t="e">
        <f>VLOOKUP($E665,RESOURCES!$C:$E,3,FALSE)</f>
        <v>#N/A</v>
      </c>
      <c r="AU665" s="176">
        <f t="shared" si="22"/>
        <v>0</v>
      </c>
    </row>
    <row r="666" spans="1:47">
      <c r="A666" s="459"/>
      <c r="B666" s="459"/>
      <c r="C666" s="459"/>
      <c r="E666" s="461"/>
      <c r="F666" s="461"/>
      <c r="G666" s="461"/>
      <c r="H666" s="461"/>
      <c r="I666" s="462"/>
      <c r="J666" s="462"/>
      <c r="K666" s="462"/>
      <c r="L666" s="462"/>
      <c r="M666" s="462"/>
      <c r="N666" s="463"/>
      <c r="O666" s="464"/>
      <c r="P666" s="463"/>
      <c r="Q666" s="464"/>
      <c r="R666" s="465"/>
      <c r="S666" s="173">
        <f t="shared" si="23"/>
        <v>0</v>
      </c>
      <c r="AT666" s="176" t="e">
        <f>VLOOKUP($E666,RESOURCES!$C:$E,3,FALSE)</f>
        <v>#N/A</v>
      </c>
      <c r="AU666" s="176">
        <f t="shared" si="22"/>
        <v>0</v>
      </c>
    </row>
    <row r="667" spans="1:47">
      <c r="A667" s="459"/>
      <c r="B667" s="459"/>
      <c r="C667" s="459"/>
      <c r="E667" s="461"/>
      <c r="F667" s="461"/>
      <c r="G667" s="461"/>
      <c r="H667" s="461"/>
      <c r="I667" s="462"/>
      <c r="J667" s="462"/>
      <c r="K667" s="462"/>
      <c r="L667" s="462"/>
      <c r="M667" s="462"/>
      <c r="N667" s="463"/>
      <c r="O667" s="464"/>
      <c r="P667" s="463"/>
      <c r="Q667" s="464"/>
      <c r="R667" s="465"/>
      <c r="S667" s="173">
        <f t="shared" si="23"/>
        <v>0</v>
      </c>
      <c r="AT667" s="176" t="e">
        <f>VLOOKUP($E667,RESOURCES!$C:$E,3,FALSE)</f>
        <v>#N/A</v>
      </c>
      <c r="AU667" s="176">
        <f t="shared" si="22"/>
        <v>0</v>
      </c>
    </row>
    <row r="668" spans="1:47">
      <c r="A668" s="459"/>
      <c r="B668" s="459"/>
      <c r="C668" s="459"/>
      <c r="E668" s="461"/>
      <c r="F668" s="461"/>
      <c r="G668" s="461"/>
      <c r="H668" s="461"/>
      <c r="I668" s="462"/>
      <c r="J668" s="462"/>
      <c r="K668" s="462"/>
      <c r="L668" s="462"/>
      <c r="M668" s="462"/>
      <c r="N668" s="463"/>
      <c r="O668" s="464"/>
      <c r="P668" s="463"/>
      <c r="Q668" s="464"/>
      <c r="R668" s="465"/>
      <c r="S668" s="173">
        <f t="shared" si="23"/>
        <v>0</v>
      </c>
      <c r="AT668" s="176" t="e">
        <f>VLOOKUP($E668,RESOURCES!$C:$E,3,FALSE)</f>
        <v>#N/A</v>
      </c>
      <c r="AU668" s="176">
        <f t="shared" si="22"/>
        <v>0</v>
      </c>
    </row>
    <row r="669" spans="1:47">
      <c r="A669" s="459"/>
      <c r="B669" s="459"/>
      <c r="C669" s="459"/>
      <c r="E669" s="461"/>
      <c r="F669" s="461"/>
      <c r="G669" s="461"/>
      <c r="H669" s="461"/>
      <c r="I669" s="462"/>
      <c r="J669" s="462"/>
      <c r="K669" s="462"/>
      <c r="L669" s="462"/>
      <c r="M669" s="462"/>
      <c r="N669" s="463"/>
      <c r="O669" s="464"/>
      <c r="P669" s="463"/>
      <c r="Q669" s="464"/>
      <c r="R669" s="465"/>
      <c r="S669" s="173">
        <f t="shared" si="23"/>
        <v>0</v>
      </c>
      <c r="AT669" s="176" t="e">
        <f>VLOOKUP($E669,RESOURCES!$C:$E,3,FALSE)</f>
        <v>#N/A</v>
      </c>
      <c r="AU669" s="176">
        <f t="shared" si="22"/>
        <v>0</v>
      </c>
    </row>
    <row r="670" spans="1:47">
      <c r="A670" s="459"/>
      <c r="B670" s="459"/>
      <c r="C670" s="459"/>
      <c r="E670" s="461"/>
      <c r="F670" s="461"/>
      <c r="G670" s="461"/>
      <c r="H670" s="461"/>
      <c r="I670" s="462"/>
      <c r="J670" s="462"/>
      <c r="K670" s="462"/>
      <c r="L670" s="462"/>
      <c r="M670" s="462"/>
      <c r="N670" s="463"/>
      <c r="O670" s="464"/>
      <c r="P670" s="463"/>
      <c r="Q670" s="464"/>
      <c r="R670" s="465"/>
      <c r="S670" s="173">
        <f t="shared" si="23"/>
        <v>0</v>
      </c>
      <c r="AT670" s="176" t="e">
        <f>VLOOKUP($E670,RESOURCES!$C:$E,3,FALSE)</f>
        <v>#N/A</v>
      </c>
      <c r="AU670" s="176">
        <f t="shared" si="22"/>
        <v>0</v>
      </c>
    </row>
    <row r="671" spans="1:47">
      <c r="A671" s="459"/>
      <c r="B671" s="459"/>
      <c r="C671" s="459"/>
      <c r="E671" s="461"/>
      <c r="F671" s="461"/>
      <c r="G671" s="461"/>
      <c r="H671" s="461"/>
      <c r="I671" s="462"/>
      <c r="J671" s="462"/>
      <c r="K671" s="462"/>
      <c r="L671" s="462"/>
      <c r="M671" s="462"/>
      <c r="N671" s="463"/>
      <c r="O671" s="464"/>
      <c r="P671" s="463"/>
      <c r="Q671" s="464"/>
      <c r="R671" s="465"/>
      <c r="S671" s="173">
        <f t="shared" si="23"/>
        <v>0</v>
      </c>
      <c r="AT671" s="176" t="e">
        <f>VLOOKUP($E671,RESOURCES!$C:$E,3,FALSE)</f>
        <v>#N/A</v>
      </c>
      <c r="AU671" s="176">
        <f t="shared" si="22"/>
        <v>0</v>
      </c>
    </row>
    <row r="672" spans="1:47">
      <c r="A672" s="459"/>
      <c r="B672" s="459"/>
      <c r="C672" s="459"/>
      <c r="E672" s="461"/>
      <c r="F672" s="461"/>
      <c r="G672" s="461"/>
      <c r="H672" s="461"/>
      <c r="I672" s="462"/>
      <c r="J672" s="462"/>
      <c r="K672" s="462"/>
      <c r="L672" s="462"/>
      <c r="M672" s="462"/>
      <c r="N672" s="463"/>
      <c r="O672" s="464"/>
      <c r="P672" s="463"/>
      <c r="Q672" s="464"/>
      <c r="R672" s="465"/>
      <c r="S672" s="173">
        <f t="shared" si="23"/>
        <v>0</v>
      </c>
      <c r="AT672" s="176" t="e">
        <f>VLOOKUP($E672,RESOURCES!$C:$E,3,FALSE)</f>
        <v>#N/A</v>
      </c>
      <c r="AU672" s="176">
        <f t="shared" si="22"/>
        <v>0</v>
      </c>
    </row>
    <row r="673" spans="1:47">
      <c r="A673" s="459"/>
      <c r="B673" s="459"/>
      <c r="C673" s="459"/>
      <c r="E673" s="461"/>
      <c r="F673" s="461"/>
      <c r="G673" s="461"/>
      <c r="H673" s="461"/>
      <c r="I673" s="462"/>
      <c r="J673" s="462"/>
      <c r="K673" s="462"/>
      <c r="L673" s="462"/>
      <c r="M673" s="462"/>
      <c r="N673" s="463"/>
      <c r="O673" s="464"/>
      <c r="P673" s="463"/>
      <c r="Q673" s="464"/>
      <c r="R673" s="465"/>
      <c r="S673" s="173">
        <f t="shared" si="23"/>
        <v>0</v>
      </c>
      <c r="AT673" s="176" t="e">
        <f>VLOOKUP($E673,RESOURCES!$C:$E,3,FALSE)</f>
        <v>#N/A</v>
      </c>
      <c r="AU673" s="176">
        <f t="shared" si="22"/>
        <v>0</v>
      </c>
    </row>
    <row r="674" spans="1:47">
      <c r="A674" s="459"/>
      <c r="B674" s="459"/>
      <c r="C674" s="459"/>
      <c r="E674" s="461"/>
      <c r="F674" s="461"/>
      <c r="G674" s="461"/>
      <c r="H674" s="461"/>
      <c r="I674" s="462"/>
      <c r="J674" s="462"/>
      <c r="K674" s="462"/>
      <c r="L674" s="462"/>
      <c r="M674" s="462"/>
      <c r="N674" s="463"/>
      <c r="O674" s="464"/>
      <c r="P674" s="463"/>
      <c r="Q674" s="464"/>
      <c r="R674" s="465"/>
      <c r="S674" s="173">
        <f t="shared" si="23"/>
        <v>0</v>
      </c>
      <c r="AT674" s="176" t="e">
        <f>VLOOKUP($E674,RESOURCES!$C:$E,3,FALSE)</f>
        <v>#N/A</v>
      </c>
      <c r="AU674" s="176">
        <f t="shared" si="22"/>
        <v>0</v>
      </c>
    </row>
    <row r="675" spans="1:47">
      <c r="A675" s="459"/>
      <c r="B675" s="459"/>
      <c r="C675" s="459"/>
      <c r="E675" s="461"/>
      <c r="F675" s="461"/>
      <c r="G675" s="461"/>
      <c r="H675" s="461"/>
      <c r="I675" s="462"/>
      <c r="J675" s="462"/>
      <c r="K675" s="462"/>
      <c r="L675" s="462"/>
      <c r="M675" s="462"/>
      <c r="N675" s="463"/>
      <c r="O675" s="464"/>
      <c r="P675" s="463"/>
      <c r="Q675" s="464"/>
      <c r="R675" s="465"/>
      <c r="S675" s="173">
        <f t="shared" si="23"/>
        <v>0</v>
      </c>
      <c r="AT675" s="176" t="e">
        <f>VLOOKUP($E675,RESOURCES!$C:$E,3,FALSE)</f>
        <v>#N/A</v>
      </c>
      <c r="AU675" s="176">
        <f t="shared" si="22"/>
        <v>0</v>
      </c>
    </row>
    <row r="676" spans="1:47">
      <c r="A676" s="459"/>
      <c r="B676" s="459"/>
      <c r="C676" s="459"/>
      <c r="E676" s="461"/>
      <c r="F676" s="461"/>
      <c r="G676" s="461"/>
      <c r="H676" s="461"/>
      <c r="I676" s="462"/>
      <c r="J676" s="462"/>
      <c r="K676" s="462"/>
      <c r="L676" s="462"/>
      <c r="M676" s="462"/>
      <c r="N676" s="463"/>
      <c r="O676" s="464"/>
      <c r="P676" s="463"/>
      <c r="Q676" s="464"/>
      <c r="R676" s="465"/>
      <c r="S676" s="173">
        <f t="shared" si="23"/>
        <v>0</v>
      </c>
      <c r="AT676" s="176" t="e">
        <f>VLOOKUP($E676,RESOURCES!$C:$E,3,FALSE)</f>
        <v>#N/A</v>
      </c>
      <c r="AU676" s="176">
        <f t="shared" si="22"/>
        <v>0</v>
      </c>
    </row>
    <row r="677" spans="1:47">
      <c r="A677" s="459"/>
      <c r="B677" s="459"/>
      <c r="C677" s="459"/>
      <c r="E677" s="461"/>
      <c r="F677" s="461"/>
      <c r="G677" s="461"/>
      <c r="H677" s="461"/>
      <c r="I677" s="462"/>
      <c r="J677" s="462"/>
      <c r="K677" s="462"/>
      <c r="L677" s="462"/>
      <c r="M677" s="462"/>
      <c r="N677" s="463"/>
      <c r="O677" s="464"/>
      <c r="P677" s="463"/>
      <c r="Q677" s="464"/>
      <c r="R677" s="465"/>
      <c r="S677" s="173">
        <f t="shared" si="23"/>
        <v>0</v>
      </c>
      <c r="AT677" s="176" t="e">
        <f>VLOOKUP($E677,RESOURCES!$C:$E,3,FALSE)</f>
        <v>#N/A</v>
      </c>
      <c r="AU677" s="176">
        <f t="shared" si="22"/>
        <v>0</v>
      </c>
    </row>
    <row r="678" spans="1:47">
      <c r="A678" s="459"/>
      <c r="B678" s="459"/>
      <c r="C678" s="459"/>
      <c r="E678" s="461"/>
      <c r="F678" s="461"/>
      <c r="G678" s="461"/>
      <c r="H678" s="461"/>
      <c r="I678" s="462"/>
      <c r="J678" s="462"/>
      <c r="K678" s="462"/>
      <c r="L678" s="462"/>
      <c r="M678" s="462"/>
      <c r="N678" s="463"/>
      <c r="O678" s="464"/>
      <c r="P678" s="463"/>
      <c r="Q678" s="464"/>
      <c r="R678" s="465"/>
      <c r="S678" s="173">
        <f t="shared" si="23"/>
        <v>0</v>
      </c>
      <c r="AT678" s="176" t="e">
        <f>VLOOKUP($E678,RESOURCES!$C:$E,3,FALSE)</f>
        <v>#N/A</v>
      </c>
      <c r="AU678" s="176">
        <f t="shared" si="22"/>
        <v>0</v>
      </c>
    </row>
    <row r="679" spans="1:47">
      <c r="A679" s="459"/>
      <c r="B679" s="459"/>
      <c r="C679" s="459"/>
      <c r="E679" s="461"/>
      <c r="F679" s="461"/>
      <c r="G679" s="461"/>
      <c r="H679" s="461"/>
      <c r="I679" s="462"/>
      <c r="J679" s="462"/>
      <c r="K679" s="462"/>
      <c r="L679" s="462"/>
      <c r="M679" s="462"/>
      <c r="N679" s="463"/>
      <c r="O679" s="464"/>
      <c r="P679" s="463"/>
      <c r="Q679" s="464"/>
      <c r="R679" s="465"/>
      <c r="S679" s="173">
        <f t="shared" si="23"/>
        <v>0</v>
      </c>
      <c r="AT679" s="176" t="e">
        <f>VLOOKUP($E679,RESOURCES!$C:$E,3,FALSE)</f>
        <v>#N/A</v>
      </c>
      <c r="AU679" s="176">
        <f t="shared" si="22"/>
        <v>0</v>
      </c>
    </row>
    <row r="680" spans="1:47">
      <c r="A680" s="459"/>
      <c r="B680" s="459"/>
      <c r="C680" s="459"/>
      <c r="E680" s="461"/>
      <c r="F680" s="461"/>
      <c r="G680" s="461"/>
      <c r="H680" s="461"/>
      <c r="I680" s="462"/>
      <c r="J680" s="462"/>
      <c r="K680" s="462"/>
      <c r="L680" s="462"/>
      <c r="M680" s="462"/>
      <c r="N680" s="463"/>
      <c r="O680" s="464"/>
      <c r="P680" s="463"/>
      <c r="Q680" s="464"/>
      <c r="R680" s="465"/>
      <c r="S680" s="173">
        <f t="shared" si="23"/>
        <v>0</v>
      </c>
      <c r="AT680" s="176" t="e">
        <f>VLOOKUP($E680,RESOURCES!$C:$E,3,FALSE)</f>
        <v>#N/A</v>
      </c>
      <c r="AU680" s="176">
        <f t="shared" si="22"/>
        <v>0</v>
      </c>
    </row>
    <row r="681" spans="1:47">
      <c r="A681" s="459"/>
      <c r="B681" s="459"/>
      <c r="C681" s="459"/>
      <c r="E681" s="461"/>
      <c r="F681" s="461"/>
      <c r="G681" s="461"/>
      <c r="H681" s="461"/>
      <c r="I681" s="462"/>
      <c r="J681" s="462"/>
      <c r="K681" s="462"/>
      <c r="L681" s="462"/>
      <c r="M681" s="462"/>
      <c r="N681" s="463"/>
      <c r="O681" s="464"/>
      <c r="P681" s="463"/>
      <c r="Q681" s="464"/>
      <c r="R681" s="465"/>
      <c r="S681" s="173">
        <f t="shared" si="23"/>
        <v>0</v>
      </c>
      <c r="AT681" s="176" t="e">
        <f>VLOOKUP($E681,RESOURCES!$C:$E,3,FALSE)</f>
        <v>#N/A</v>
      </c>
      <c r="AU681" s="176">
        <f t="shared" si="22"/>
        <v>0</v>
      </c>
    </row>
    <row r="682" spans="1:47">
      <c r="A682" s="459"/>
      <c r="B682" s="459"/>
      <c r="C682" s="459"/>
      <c r="E682" s="461"/>
      <c r="F682" s="461"/>
      <c r="G682" s="461"/>
      <c r="H682" s="461"/>
      <c r="I682" s="462"/>
      <c r="J682" s="462"/>
      <c r="K682" s="462"/>
      <c r="L682" s="462"/>
      <c r="M682" s="462"/>
      <c r="N682" s="463"/>
      <c r="O682" s="464"/>
      <c r="P682" s="463"/>
      <c r="Q682" s="464"/>
      <c r="R682" s="465"/>
      <c r="S682" s="173">
        <f t="shared" si="23"/>
        <v>0</v>
      </c>
      <c r="AT682" s="176" t="e">
        <f>VLOOKUP($E682,RESOURCES!$C:$E,3,FALSE)</f>
        <v>#N/A</v>
      </c>
      <c r="AU682" s="176">
        <f t="shared" si="22"/>
        <v>0</v>
      </c>
    </row>
    <row r="683" spans="1:47">
      <c r="A683" s="459"/>
      <c r="B683" s="459"/>
      <c r="C683" s="459"/>
      <c r="E683" s="461"/>
      <c r="F683" s="461"/>
      <c r="G683" s="461"/>
      <c r="H683" s="461"/>
      <c r="I683" s="462"/>
      <c r="J683" s="462"/>
      <c r="K683" s="462"/>
      <c r="L683" s="462"/>
      <c r="M683" s="462"/>
      <c r="N683" s="463"/>
      <c r="O683" s="464"/>
      <c r="P683" s="463"/>
      <c r="Q683" s="464"/>
      <c r="R683" s="465"/>
      <c r="S683" s="173">
        <f t="shared" si="23"/>
        <v>0</v>
      </c>
      <c r="AT683" s="176" t="e">
        <f>VLOOKUP($E683,RESOURCES!$C:$E,3,FALSE)</f>
        <v>#N/A</v>
      </c>
      <c r="AU683" s="176">
        <f t="shared" si="22"/>
        <v>0</v>
      </c>
    </row>
    <row r="684" spans="1:47">
      <c r="A684" s="459"/>
      <c r="B684" s="459"/>
      <c r="C684" s="459"/>
      <c r="E684" s="461"/>
      <c r="F684" s="461"/>
      <c r="G684" s="461"/>
      <c r="H684" s="461"/>
      <c r="I684" s="462"/>
      <c r="J684" s="462"/>
      <c r="K684" s="462"/>
      <c r="L684" s="462"/>
      <c r="M684" s="462"/>
      <c r="N684" s="463"/>
      <c r="O684" s="464"/>
      <c r="P684" s="463"/>
      <c r="Q684" s="464"/>
      <c r="R684" s="465"/>
      <c r="S684" s="173">
        <f t="shared" si="23"/>
        <v>0</v>
      </c>
      <c r="AT684" s="176" t="e">
        <f>VLOOKUP($E684,RESOURCES!$C:$E,3,FALSE)</f>
        <v>#N/A</v>
      </c>
      <c r="AU684" s="176">
        <f t="shared" si="22"/>
        <v>0</v>
      </c>
    </row>
    <row r="685" spans="1:47">
      <c r="A685" s="459"/>
      <c r="B685" s="459"/>
      <c r="C685" s="459"/>
      <c r="E685" s="461"/>
      <c r="F685" s="461"/>
      <c r="G685" s="461"/>
      <c r="H685" s="461"/>
      <c r="I685" s="462"/>
      <c r="J685" s="462"/>
      <c r="K685" s="462"/>
      <c r="L685" s="462"/>
      <c r="M685" s="462"/>
      <c r="N685" s="463"/>
      <c r="O685" s="464"/>
      <c r="P685" s="463"/>
      <c r="Q685" s="464"/>
      <c r="R685" s="465"/>
      <c r="S685" s="173">
        <f t="shared" si="23"/>
        <v>0</v>
      </c>
      <c r="AT685" s="176" t="e">
        <f>VLOOKUP($E685,RESOURCES!$C:$E,3,FALSE)</f>
        <v>#N/A</v>
      </c>
      <c r="AU685" s="176">
        <f t="shared" si="22"/>
        <v>0</v>
      </c>
    </row>
    <row r="686" spans="1:47">
      <c r="A686" s="459"/>
      <c r="B686" s="459"/>
      <c r="C686" s="459"/>
      <c r="E686" s="461"/>
      <c r="F686" s="461"/>
      <c r="G686" s="461"/>
      <c r="H686" s="461"/>
      <c r="I686" s="462"/>
      <c r="J686" s="462"/>
      <c r="K686" s="462"/>
      <c r="L686" s="462"/>
      <c r="M686" s="462"/>
      <c r="N686" s="463"/>
      <c r="O686" s="464"/>
      <c r="P686" s="463"/>
      <c r="Q686" s="464"/>
      <c r="R686" s="465"/>
      <c r="S686" s="173">
        <f t="shared" si="23"/>
        <v>0</v>
      </c>
      <c r="AT686" s="176" t="e">
        <f>VLOOKUP($E686,RESOURCES!$C:$E,3,FALSE)</f>
        <v>#N/A</v>
      </c>
      <c r="AU686" s="176">
        <f t="shared" si="22"/>
        <v>0</v>
      </c>
    </row>
    <row r="687" spans="1:47">
      <c r="A687" s="459"/>
      <c r="B687" s="459"/>
      <c r="C687" s="459"/>
      <c r="E687" s="461"/>
      <c r="F687" s="461"/>
      <c r="G687" s="461"/>
      <c r="H687" s="461"/>
      <c r="I687" s="462"/>
      <c r="J687" s="462"/>
      <c r="K687" s="462"/>
      <c r="L687" s="462"/>
      <c r="M687" s="462"/>
      <c r="N687" s="463"/>
      <c r="O687" s="464"/>
      <c r="P687" s="463"/>
      <c r="Q687" s="464"/>
      <c r="R687" s="465"/>
      <c r="S687" s="173">
        <f t="shared" si="23"/>
        <v>0</v>
      </c>
      <c r="AT687" s="176" t="e">
        <f>VLOOKUP($E687,RESOURCES!$C:$E,3,FALSE)</f>
        <v>#N/A</v>
      </c>
      <c r="AU687" s="176">
        <f t="shared" si="22"/>
        <v>0</v>
      </c>
    </row>
    <row r="688" spans="1:47">
      <c r="A688" s="459"/>
      <c r="B688" s="459"/>
      <c r="C688" s="459"/>
      <c r="E688" s="461"/>
      <c r="F688" s="461"/>
      <c r="G688" s="461"/>
      <c r="H688" s="461"/>
      <c r="I688" s="462"/>
      <c r="J688" s="462"/>
      <c r="K688" s="462"/>
      <c r="L688" s="462"/>
      <c r="M688" s="462"/>
      <c r="N688" s="463"/>
      <c r="O688" s="464"/>
      <c r="P688" s="463"/>
      <c r="Q688" s="464"/>
      <c r="R688" s="465"/>
      <c r="S688" s="173">
        <f t="shared" si="23"/>
        <v>0</v>
      </c>
      <c r="AT688" s="176" t="e">
        <f>VLOOKUP($E688,RESOURCES!$C:$E,3,FALSE)</f>
        <v>#N/A</v>
      </c>
      <c r="AU688" s="176">
        <f t="shared" si="22"/>
        <v>0</v>
      </c>
    </row>
    <row r="689" spans="1:47">
      <c r="A689" s="459"/>
      <c r="B689" s="459"/>
      <c r="C689" s="459"/>
      <c r="E689" s="461"/>
      <c r="F689" s="461"/>
      <c r="G689" s="461"/>
      <c r="H689" s="461"/>
      <c r="I689" s="462"/>
      <c r="J689" s="462"/>
      <c r="K689" s="462"/>
      <c r="L689" s="462"/>
      <c r="M689" s="462"/>
      <c r="N689" s="463"/>
      <c r="O689" s="464"/>
      <c r="P689" s="463"/>
      <c r="Q689" s="464"/>
      <c r="R689" s="465"/>
      <c r="S689" s="173">
        <f t="shared" si="23"/>
        <v>0</v>
      </c>
      <c r="AT689" s="176" t="e">
        <f>VLOOKUP($E689,RESOURCES!$C:$E,3,FALSE)</f>
        <v>#N/A</v>
      </c>
      <c r="AU689" s="176">
        <f t="shared" si="22"/>
        <v>0</v>
      </c>
    </row>
    <row r="690" spans="1:47">
      <c r="A690" s="459"/>
      <c r="B690" s="459"/>
      <c r="C690" s="459"/>
      <c r="E690" s="461"/>
      <c r="F690" s="461"/>
      <c r="G690" s="461"/>
      <c r="H690" s="461"/>
      <c r="I690" s="462"/>
      <c r="J690" s="462"/>
      <c r="K690" s="462"/>
      <c r="L690" s="462"/>
      <c r="M690" s="462"/>
      <c r="N690" s="463"/>
      <c r="O690" s="464"/>
      <c r="P690" s="463"/>
      <c r="Q690" s="464"/>
      <c r="R690" s="465"/>
      <c r="S690" s="173">
        <f t="shared" si="23"/>
        <v>0</v>
      </c>
      <c r="AT690" s="176" t="e">
        <f>VLOOKUP($E690,RESOURCES!$C:$E,3,FALSE)</f>
        <v>#N/A</v>
      </c>
      <c r="AU690" s="176">
        <f t="shared" si="22"/>
        <v>0</v>
      </c>
    </row>
    <row r="691" spans="1:47">
      <c r="A691" s="459"/>
      <c r="B691" s="459"/>
      <c r="C691" s="459"/>
      <c r="E691" s="461"/>
      <c r="F691" s="461"/>
      <c r="G691" s="461"/>
      <c r="H691" s="461"/>
      <c r="I691" s="462"/>
      <c r="J691" s="462"/>
      <c r="K691" s="462"/>
      <c r="L691" s="462"/>
      <c r="M691" s="462"/>
      <c r="N691" s="463"/>
      <c r="O691" s="464"/>
      <c r="P691" s="463"/>
      <c r="Q691" s="464"/>
      <c r="R691" s="465"/>
      <c r="S691" s="173">
        <f t="shared" si="23"/>
        <v>0</v>
      </c>
      <c r="AT691" s="176" t="e">
        <f>VLOOKUP($E691,RESOURCES!$C:$E,3,FALSE)</f>
        <v>#N/A</v>
      </c>
      <c r="AU691" s="176">
        <f t="shared" si="22"/>
        <v>0</v>
      </c>
    </row>
    <row r="692" spans="1:47">
      <c r="A692" s="459"/>
      <c r="B692" s="459"/>
      <c r="C692" s="459"/>
      <c r="E692" s="461"/>
      <c r="F692" s="461"/>
      <c r="G692" s="461"/>
      <c r="H692" s="461"/>
      <c r="I692" s="462"/>
      <c r="J692" s="462"/>
      <c r="K692" s="462"/>
      <c r="L692" s="462"/>
      <c r="M692" s="462"/>
      <c r="N692" s="463"/>
      <c r="O692" s="464"/>
      <c r="P692" s="463"/>
      <c r="Q692" s="464"/>
      <c r="R692" s="465"/>
      <c r="S692" s="173">
        <f t="shared" si="23"/>
        <v>0</v>
      </c>
      <c r="AT692" s="176" t="e">
        <f>VLOOKUP($E692,RESOURCES!$C:$E,3,FALSE)</f>
        <v>#N/A</v>
      </c>
      <c r="AU692" s="176">
        <f t="shared" si="22"/>
        <v>0</v>
      </c>
    </row>
    <row r="693" spans="1:47">
      <c r="A693" s="459"/>
      <c r="B693" s="459"/>
      <c r="C693" s="459"/>
      <c r="E693" s="461"/>
      <c r="F693" s="461"/>
      <c r="G693" s="461"/>
      <c r="H693" s="461"/>
      <c r="I693" s="462"/>
      <c r="J693" s="462"/>
      <c r="K693" s="462"/>
      <c r="L693" s="462"/>
      <c r="M693" s="462"/>
      <c r="N693" s="463"/>
      <c r="O693" s="464"/>
      <c r="P693" s="463"/>
      <c r="Q693" s="464"/>
      <c r="R693" s="465"/>
      <c r="S693" s="173">
        <f t="shared" si="23"/>
        <v>0</v>
      </c>
      <c r="AT693" s="176" t="e">
        <f>VLOOKUP($E693,RESOURCES!$C:$E,3,FALSE)</f>
        <v>#N/A</v>
      </c>
      <c r="AU693" s="176">
        <f t="shared" si="22"/>
        <v>0</v>
      </c>
    </row>
    <row r="694" spans="1:47">
      <c r="A694" s="459"/>
      <c r="B694" s="459"/>
      <c r="C694" s="459"/>
      <c r="E694" s="461"/>
      <c r="F694" s="461"/>
      <c r="G694" s="461"/>
      <c r="H694" s="461"/>
      <c r="I694" s="462"/>
      <c r="J694" s="462"/>
      <c r="K694" s="462"/>
      <c r="L694" s="462"/>
      <c r="M694" s="462"/>
      <c r="N694" s="463"/>
      <c r="O694" s="464"/>
      <c r="P694" s="463"/>
      <c r="Q694" s="464"/>
      <c r="R694" s="465"/>
      <c r="S694" s="173">
        <f t="shared" si="23"/>
        <v>0</v>
      </c>
      <c r="AT694" s="176" t="e">
        <f>VLOOKUP($E694,RESOURCES!$C:$E,3,FALSE)</f>
        <v>#N/A</v>
      </c>
      <c r="AU694" s="176">
        <f t="shared" si="22"/>
        <v>0</v>
      </c>
    </row>
    <row r="695" spans="1:47">
      <c r="A695" s="459"/>
      <c r="B695" s="459"/>
      <c r="C695" s="459"/>
      <c r="E695" s="461"/>
      <c r="F695" s="461"/>
      <c r="G695" s="461"/>
      <c r="H695" s="461"/>
      <c r="I695" s="462"/>
      <c r="J695" s="462"/>
      <c r="K695" s="462"/>
      <c r="L695" s="462"/>
      <c r="M695" s="462"/>
      <c r="N695" s="463"/>
      <c r="O695" s="464"/>
      <c r="P695" s="463"/>
      <c r="Q695" s="464"/>
      <c r="R695" s="465"/>
      <c r="S695" s="173">
        <f t="shared" si="23"/>
        <v>0</v>
      </c>
      <c r="AT695" s="176" t="e">
        <f>VLOOKUP($E695,RESOURCES!$C:$E,3,FALSE)</f>
        <v>#N/A</v>
      </c>
      <c r="AU695" s="176">
        <f t="shared" si="22"/>
        <v>0</v>
      </c>
    </row>
    <row r="696" spans="1:47">
      <c r="A696" s="459"/>
      <c r="B696" s="459"/>
      <c r="C696" s="459"/>
      <c r="E696" s="461"/>
      <c r="F696" s="461"/>
      <c r="G696" s="461"/>
      <c r="H696" s="461"/>
      <c r="I696" s="462"/>
      <c r="J696" s="462"/>
      <c r="K696" s="462"/>
      <c r="L696" s="462"/>
      <c r="M696" s="462"/>
      <c r="N696" s="463"/>
      <c r="O696" s="464"/>
      <c r="P696" s="463"/>
      <c r="Q696" s="464"/>
      <c r="R696" s="465"/>
      <c r="S696" s="173">
        <f t="shared" si="23"/>
        <v>0</v>
      </c>
      <c r="AT696" s="176" t="e">
        <f>VLOOKUP($E696,RESOURCES!$C:$E,3,FALSE)</f>
        <v>#N/A</v>
      </c>
      <c r="AU696" s="176">
        <f t="shared" si="22"/>
        <v>0</v>
      </c>
    </row>
    <row r="697" spans="1:47">
      <c r="A697" s="459"/>
      <c r="B697" s="459"/>
      <c r="C697" s="459"/>
      <c r="E697" s="461"/>
      <c r="F697" s="461"/>
      <c r="G697" s="461"/>
      <c r="H697" s="461"/>
      <c r="I697" s="462"/>
      <c r="J697" s="462"/>
      <c r="K697" s="462"/>
      <c r="L697" s="462"/>
      <c r="M697" s="462"/>
      <c r="N697" s="463"/>
      <c r="O697" s="464"/>
      <c r="P697" s="463"/>
      <c r="Q697" s="464"/>
      <c r="R697" s="465"/>
      <c r="S697" s="173">
        <f t="shared" si="23"/>
        <v>0</v>
      </c>
      <c r="AT697" s="176" t="e">
        <f>VLOOKUP($E697,RESOURCES!$C:$E,3,FALSE)</f>
        <v>#N/A</v>
      </c>
      <c r="AU697" s="176">
        <f t="shared" si="22"/>
        <v>0</v>
      </c>
    </row>
    <row r="698" spans="1:47">
      <c r="A698" s="459"/>
      <c r="B698" s="459"/>
      <c r="C698" s="459"/>
      <c r="E698" s="461"/>
      <c r="F698" s="461"/>
      <c r="G698" s="461"/>
      <c r="H698" s="461"/>
      <c r="I698" s="462"/>
      <c r="J698" s="462"/>
      <c r="K698" s="462"/>
      <c r="L698" s="462"/>
      <c r="M698" s="462"/>
      <c r="N698" s="463"/>
      <c r="O698" s="464"/>
      <c r="P698" s="463"/>
      <c r="Q698" s="464"/>
      <c r="R698" s="465"/>
      <c r="S698" s="173">
        <f t="shared" si="23"/>
        <v>0</v>
      </c>
      <c r="AT698" s="176" t="e">
        <f>VLOOKUP($E698,RESOURCES!$C:$E,3,FALSE)</f>
        <v>#N/A</v>
      </c>
      <c r="AU698" s="176">
        <f t="shared" si="22"/>
        <v>0</v>
      </c>
    </row>
    <row r="699" spans="1:47">
      <c r="A699" s="459"/>
      <c r="B699" s="459"/>
      <c r="C699" s="459"/>
      <c r="E699" s="461"/>
      <c r="F699" s="461"/>
      <c r="G699" s="461"/>
      <c r="H699" s="461"/>
      <c r="I699" s="462"/>
      <c r="J699" s="462"/>
      <c r="K699" s="462"/>
      <c r="L699" s="462"/>
      <c r="M699" s="462"/>
      <c r="N699" s="463"/>
      <c r="O699" s="464"/>
      <c r="P699" s="463"/>
      <c r="Q699" s="464"/>
      <c r="R699" s="465"/>
      <c r="S699" s="173">
        <f t="shared" si="23"/>
        <v>0</v>
      </c>
      <c r="AT699" s="176" t="e">
        <f>VLOOKUP($E699,RESOURCES!$C:$E,3,FALSE)</f>
        <v>#N/A</v>
      </c>
      <c r="AU699" s="176">
        <f t="shared" si="22"/>
        <v>0</v>
      </c>
    </row>
    <row r="700" spans="1:47">
      <c r="A700" s="459"/>
      <c r="B700" s="459"/>
      <c r="C700" s="459"/>
      <c r="E700" s="461"/>
      <c r="F700" s="461"/>
      <c r="G700" s="461"/>
      <c r="H700" s="461"/>
      <c r="I700" s="462"/>
      <c r="J700" s="462"/>
      <c r="K700" s="462"/>
      <c r="L700" s="462"/>
      <c r="M700" s="462"/>
      <c r="N700" s="463"/>
      <c r="O700" s="464"/>
      <c r="P700" s="463"/>
      <c r="Q700" s="464"/>
      <c r="R700" s="465"/>
      <c r="S700" s="173">
        <f t="shared" si="23"/>
        <v>0</v>
      </c>
      <c r="AT700" s="176" t="e">
        <f>VLOOKUP($E700,RESOURCES!$C:$E,3,FALSE)</f>
        <v>#N/A</v>
      </c>
      <c r="AU700" s="176">
        <f t="shared" si="22"/>
        <v>0</v>
      </c>
    </row>
    <row r="701" spans="1:47">
      <c r="A701" s="459"/>
      <c r="B701" s="459"/>
      <c r="C701" s="459"/>
      <c r="E701" s="461"/>
      <c r="F701" s="461"/>
      <c r="G701" s="461"/>
      <c r="H701" s="461"/>
      <c r="I701" s="462"/>
      <c r="J701" s="462"/>
      <c r="K701" s="462"/>
      <c r="L701" s="462"/>
      <c r="M701" s="462"/>
      <c r="N701" s="463"/>
      <c r="O701" s="464"/>
      <c r="P701" s="463"/>
      <c r="Q701" s="464"/>
      <c r="R701" s="465"/>
      <c r="S701" s="173">
        <f t="shared" si="23"/>
        <v>0</v>
      </c>
      <c r="AT701" s="176" t="e">
        <f>VLOOKUP($E701,RESOURCES!$C:$E,3,FALSE)</f>
        <v>#N/A</v>
      </c>
      <c r="AU701" s="176">
        <f t="shared" si="22"/>
        <v>0</v>
      </c>
    </row>
    <row r="702" spans="1:47">
      <c r="A702" s="459"/>
      <c r="B702" s="459"/>
      <c r="C702" s="459"/>
      <c r="E702" s="461"/>
      <c r="F702" s="461"/>
      <c r="G702" s="461"/>
      <c r="H702" s="461"/>
      <c r="I702" s="462"/>
      <c r="J702" s="462"/>
      <c r="K702" s="462"/>
      <c r="L702" s="462"/>
      <c r="M702" s="462"/>
      <c r="N702" s="463"/>
      <c r="O702" s="464"/>
      <c r="P702" s="463"/>
      <c r="Q702" s="464"/>
      <c r="R702" s="465"/>
      <c r="S702" s="173">
        <f t="shared" si="23"/>
        <v>0</v>
      </c>
      <c r="AT702" s="176" t="e">
        <f>VLOOKUP($E702,RESOURCES!$C:$E,3,FALSE)</f>
        <v>#N/A</v>
      </c>
      <c r="AU702" s="176">
        <f t="shared" si="22"/>
        <v>0</v>
      </c>
    </row>
    <row r="703" spans="1:47">
      <c r="A703" s="459"/>
      <c r="B703" s="459"/>
      <c r="C703" s="459"/>
      <c r="E703" s="461"/>
      <c r="F703" s="461"/>
      <c r="G703" s="461"/>
      <c r="H703" s="461"/>
      <c r="I703" s="462"/>
      <c r="J703" s="462"/>
      <c r="K703" s="462"/>
      <c r="L703" s="462"/>
      <c r="M703" s="462"/>
      <c r="N703" s="463"/>
      <c r="O703" s="464"/>
      <c r="P703" s="463"/>
      <c r="Q703" s="464"/>
      <c r="R703" s="465"/>
      <c r="S703" s="173">
        <f t="shared" si="23"/>
        <v>0</v>
      </c>
      <c r="AT703" s="176" t="e">
        <f>VLOOKUP($E703,RESOURCES!$C:$E,3,FALSE)</f>
        <v>#N/A</v>
      </c>
      <c r="AU703" s="176">
        <f t="shared" si="22"/>
        <v>0</v>
      </c>
    </row>
    <row r="704" spans="1:47">
      <c r="A704" s="459"/>
      <c r="B704" s="459"/>
      <c r="C704" s="459"/>
      <c r="E704" s="461"/>
      <c r="F704" s="461"/>
      <c r="G704" s="461"/>
      <c r="H704" s="461"/>
      <c r="I704" s="462"/>
      <c r="J704" s="462"/>
      <c r="K704" s="462"/>
      <c r="L704" s="462"/>
      <c r="M704" s="462"/>
      <c r="N704" s="463"/>
      <c r="O704" s="464"/>
      <c r="P704" s="463"/>
      <c r="Q704" s="464"/>
      <c r="R704" s="465"/>
      <c r="S704" s="173">
        <f t="shared" si="23"/>
        <v>0</v>
      </c>
      <c r="AT704" s="176" t="e">
        <f>VLOOKUP($E704,RESOURCES!$C:$E,3,FALSE)</f>
        <v>#N/A</v>
      </c>
      <c r="AU704" s="176">
        <f t="shared" si="22"/>
        <v>0</v>
      </c>
    </row>
    <row r="705" spans="1:47">
      <c r="A705" s="459"/>
      <c r="B705" s="459"/>
      <c r="C705" s="459"/>
      <c r="E705" s="461"/>
      <c r="F705" s="461"/>
      <c r="G705" s="461"/>
      <c r="H705" s="461"/>
      <c r="I705" s="462"/>
      <c r="J705" s="462"/>
      <c r="K705" s="462"/>
      <c r="L705" s="462"/>
      <c r="M705" s="462"/>
      <c r="N705" s="463"/>
      <c r="O705" s="464"/>
      <c r="P705" s="463"/>
      <c r="Q705" s="464"/>
      <c r="R705" s="465"/>
      <c r="S705" s="173">
        <f t="shared" si="23"/>
        <v>0</v>
      </c>
      <c r="AT705" s="176" t="e">
        <f>VLOOKUP($E705,RESOURCES!$C:$E,3,FALSE)</f>
        <v>#N/A</v>
      </c>
      <c r="AU705" s="176">
        <f t="shared" si="22"/>
        <v>0</v>
      </c>
    </row>
    <row r="706" spans="1:47">
      <c r="A706" s="459"/>
      <c r="B706" s="459"/>
      <c r="C706" s="459"/>
      <c r="E706" s="461"/>
      <c r="F706" s="461"/>
      <c r="G706" s="461"/>
      <c r="H706" s="461"/>
      <c r="I706" s="462"/>
      <c r="J706" s="462"/>
      <c r="K706" s="462"/>
      <c r="L706" s="462"/>
      <c r="M706" s="462"/>
      <c r="N706" s="463"/>
      <c r="O706" s="464"/>
      <c r="P706" s="463"/>
      <c r="Q706" s="464"/>
      <c r="R706" s="465"/>
      <c r="S706" s="173">
        <f t="shared" si="23"/>
        <v>0</v>
      </c>
      <c r="AT706" s="176" t="e">
        <f>VLOOKUP($E706,RESOURCES!$C:$E,3,FALSE)</f>
        <v>#N/A</v>
      </c>
      <c r="AU706" s="176">
        <f t="shared" si="22"/>
        <v>0</v>
      </c>
    </row>
    <row r="707" spans="1:47">
      <c r="A707" s="459"/>
      <c r="B707" s="459"/>
      <c r="C707" s="459"/>
      <c r="E707" s="461"/>
      <c r="F707" s="461"/>
      <c r="G707" s="461"/>
      <c r="H707" s="461"/>
      <c r="I707" s="462"/>
      <c r="J707" s="462"/>
      <c r="K707" s="462"/>
      <c r="L707" s="462"/>
      <c r="M707" s="462"/>
      <c r="N707" s="463"/>
      <c r="O707" s="464"/>
      <c r="P707" s="463"/>
      <c r="Q707" s="464"/>
      <c r="R707" s="465"/>
      <c r="S707" s="173">
        <f t="shared" si="23"/>
        <v>0</v>
      </c>
      <c r="AT707" s="176" t="e">
        <f>VLOOKUP($E707,RESOURCES!$C:$E,3,FALSE)</f>
        <v>#N/A</v>
      </c>
      <c r="AU707" s="176">
        <f t="shared" si="22"/>
        <v>0</v>
      </c>
    </row>
    <row r="708" spans="1:47">
      <c r="A708" s="459"/>
      <c r="B708" s="459"/>
      <c r="C708" s="459"/>
      <c r="E708" s="461"/>
      <c r="F708" s="461"/>
      <c r="G708" s="461"/>
      <c r="H708" s="461"/>
      <c r="I708" s="462"/>
      <c r="J708" s="462"/>
      <c r="K708" s="462"/>
      <c r="L708" s="462"/>
      <c r="M708" s="462"/>
      <c r="N708" s="463"/>
      <c r="O708" s="464"/>
      <c r="P708" s="463"/>
      <c r="Q708" s="464"/>
      <c r="R708" s="465"/>
      <c r="S708" s="173">
        <f t="shared" si="23"/>
        <v>0</v>
      </c>
      <c r="AT708" s="176" t="e">
        <f>VLOOKUP($E708,RESOURCES!$C:$E,3,FALSE)</f>
        <v>#N/A</v>
      </c>
      <c r="AU708" s="176">
        <f t="shared" si="22"/>
        <v>0</v>
      </c>
    </row>
    <row r="709" spans="1:47">
      <c r="A709" s="459"/>
      <c r="B709" s="459"/>
      <c r="C709" s="459"/>
      <c r="E709" s="461"/>
      <c r="F709" s="461"/>
      <c r="G709" s="461"/>
      <c r="H709" s="461"/>
      <c r="I709" s="462"/>
      <c r="J709" s="462"/>
      <c r="K709" s="462"/>
      <c r="L709" s="462"/>
      <c r="M709" s="462"/>
      <c r="N709" s="463"/>
      <c r="O709" s="464"/>
      <c r="P709" s="463"/>
      <c r="Q709" s="464"/>
      <c r="R709" s="465"/>
      <c r="S709" s="173">
        <f t="shared" si="23"/>
        <v>0</v>
      </c>
      <c r="AT709" s="176" t="e">
        <f>VLOOKUP($E709,RESOURCES!$C:$E,3,FALSE)</f>
        <v>#N/A</v>
      </c>
      <c r="AU709" s="176">
        <f t="shared" ref="AU709:AU764" si="24">C709</f>
        <v>0</v>
      </c>
    </row>
    <row r="710" spans="1:47">
      <c r="A710" s="459"/>
      <c r="B710" s="459"/>
      <c r="C710" s="459"/>
      <c r="E710" s="461"/>
      <c r="F710" s="461"/>
      <c r="G710" s="461"/>
      <c r="H710" s="461"/>
      <c r="I710" s="462"/>
      <c r="J710" s="462"/>
      <c r="K710" s="462"/>
      <c r="L710" s="462"/>
      <c r="M710" s="462"/>
      <c r="N710" s="463"/>
      <c r="O710" s="464"/>
      <c r="P710" s="463"/>
      <c r="Q710" s="464"/>
      <c r="R710" s="465"/>
      <c r="S710" s="173">
        <f t="shared" si="23"/>
        <v>0</v>
      </c>
      <c r="AT710" s="176" t="e">
        <f>VLOOKUP($E710,RESOURCES!$C:$E,3,FALSE)</f>
        <v>#N/A</v>
      </c>
      <c r="AU710" s="176">
        <f t="shared" si="24"/>
        <v>0</v>
      </c>
    </row>
    <row r="711" spans="1:47">
      <c r="A711" s="459"/>
      <c r="B711" s="459"/>
      <c r="C711" s="459"/>
      <c r="E711" s="461"/>
      <c r="F711" s="461"/>
      <c r="G711" s="461"/>
      <c r="H711" s="461"/>
      <c r="I711" s="462"/>
      <c r="J711" s="462"/>
      <c r="K711" s="462"/>
      <c r="L711" s="462"/>
      <c r="M711" s="462"/>
      <c r="N711" s="463"/>
      <c r="O711" s="464"/>
      <c r="P711" s="463"/>
      <c r="Q711" s="464"/>
      <c r="R711" s="465"/>
      <c r="S711" s="173">
        <f t="shared" si="23"/>
        <v>0</v>
      </c>
      <c r="AT711" s="176" t="e">
        <f>VLOOKUP($E711,RESOURCES!$C:$E,3,FALSE)</f>
        <v>#N/A</v>
      </c>
      <c r="AU711" s="176">
        <f t="shared" si="24"/>
        <v>0</v>
      </c>
    </row>
    <row r="712" spans="1:47">
      <c r="A712" s="459"/>
      <c r="B712" s="459"/>
      <c r="C712" s="459"/>
      <c r="E712" s="461"/>
      <c r="F712" s="461"/>
      <c r="G712" s="461"/>
      <c r="H712" s="461"/>
      <c r="I712" s="462"/>
      <c r="J712" s="462"/>
      <c r="K712" s="462"/>
      <c r="L712" s="462"/>
      <c r="M712" s="462"/>
      <c r="N712" s="463"/>
      <c r="O712" s="464"/>
      <c r="P712" s="463"/>
      <c r="Q712" s="464"/>
      <c r="R712" s="465"/>
      <c r="S712" s="173">
        <f t="shared" si="23"/>
        <v>0</v>
      </c>
      <c r="AT712" s="176" t="e">
        <f>VLOOKUP($E712,RESOURCES!$C:$E,3,FALSE)</f>
        <v>#N/A</v>
      </c>
      <c r="AU712" s="176">
        <f t="shared" si="24"/>
        <v>0</v>
      </c>
    </row>
    <row r="713" spans="1:47">
      <c r="A713" s="459"/>
      <c r="B713" s="459"/>
      <c r="C713" s="459"/>
      <c r="E713" s="461"/>
      <c r="F713" s="461"/>
      <c r="G713" s="461"/>
      <c r="H713" s="461"/>
      <c r="I713" s="462"/>
      <c r="J713" s="462"/>
      <c r="K713" s="462"/>
      <c r="L713" s="462"/>
      <c r="M713" s="462"/>
      <c r="N713" s="463"/>
      <c r="O713" s="464"/>
      <c r="P713" s="463"/>
      <c r="Q713" s="464"/>
      <c r="R713" s="465"/>
      <c r="S713" s="173">
        <f t="shared" si="23"/>
        <v>0</v>
      </c>
      <c r="AT713" s="176" t="e">
        <f>VLOOKUP($E713,RESOURCES!$C:$E,3,FALSE)</f>
        <v>#N/A</v>
      </c>
      <c r="AU713" s="176">
        <f t="shared" si="24"/>
        <v>0</v>
      </c>
    </row>
    <row r="714" spans="1:47">
      <c r="A714" s="459"/>
      <c r="B714" s="459"/>
      <c r="C714" s="459"/>
      <c r="E714" s="461"/>
      <c r="F714" s="461"/>
      <c r="G714" s="461"/>
      <c r="H714" s="461"/>
      <c r="I714" s="462"/>
      <c r="J714" s="462"/>
      <c r="K714" s="462"/>
      <c r="L714" s="462"/>
      <c r="M714" s="462"/>
      <c r="N714" s="463"/>
      <c r="O714" s="464"/>
      <c r="P714" s="463"/>
      <c r="Q714" s="464"/>
      <c r="R714" s="465"/>
      <c r="S714" s="173">
        <f t="shared" si="23"/>
        <v>0</v>
      </c>
      <c r="AT714" s="176" t="e">
        <f>VLOOKUP($E714,RESOURCES!$C:$E,3,FALSE)</f>
        <v>#N/A</v>
      </c>
      <c r="AU714" s="176">
        <f t="shared" si="24"/>
        <v>0</v>
      </c>
    </row>
    <row r="715" spans="1:47">
      <c r="A715" s="459"/>
      <c r="B715" s="459"/>
      <c r="C715" s="459"/>
      <c r="E715" s="461"/>
      <c r="F715" s="461"/>
      <c r="G715" s="461"/>
      <c r="H715" s="461"/>
      <c r="I715" s="462"/>
      <c r="J715" s="462"/>
      <c r="K715" s="462"/>
      <c r="L715" s="462"/>
      <c r="M715" s="462"/>
      <c r="N715" s="463"/>
      <c r="O715" s="464"/>
      <c r="P715" s="463"/>
      <c r="Q715" s="464"/>
      <c r="R715" s="465"/>
      <c r="S715" s="173">
        <f t="shared" si="23"/>
        <v>0</v>
      </c>
      <c r="AT715" s="176" t="e">
        <f>VLOOKUP($E715,RESOURCES!$C:$E,3,FALSE)</f>
        <v>#N/A</v>
      </c>
      <c r="AU715" s="176">
        <f t="shared" si="24"/>
        <v>0</v>
      </c>
    </row>
    <row r="716" spans="1:47">
      <c r="A716" s="459"/>
      <c r="B716" s="459"/>
      <c r="C716" s="459"/>
      <c r="E716" s="461"/>
      <c r="F716" s="461"/>
      <c r="G716" s="461"/>
      <c r="H716" s="461"/>
      <c r="I716" s="462"/>
      <c r="J716" s="462"/>
      <c r="K716" s="462"/>
      <c r="L716" s="462"/>
      <c r="M716" s="462"/>
      <c r="N716" s="463"/>
      <c r="O716" s="464"/>
      <c r="P716" s="463"/>
      <c r="Q716" s="464"/>
      <c r="R716" s="465"/>
      <c r="S716" s="173">
        <f t="shared" si="23"/>
        <v>0</v>
      </c>
      <c r="AT716" s="176" t="e">
        <f>VLOOKUP($E716,RESOURCES!$C:$E,3,FALSE)</f>
        <v>#N/A</v>
      </c>
      <c r="AU716" s="176">
        <f t="shared" si="24"/>
        <v>0</v>
      </c>
    </row>
    <row r="717" spans="1:47">
      <c r="A717" s="459"/>
      <c r="B717" s="459"/>
      <c r="C717" s="459"/>
      <c r="E717" s="461"/>
      <c r="F717" s="461"/>
      <c r="G717" s="461"/>
      <c r="H717" s="461"/>
      <c r="I717" s="462"/>
      <c r="J717" s="462"/>
      <c r="K717" s="462"/>
      <c r="L717" s="462"/>
      <c r="M717" s="462"/>
      <c r="N717" s="463"/>
      <c r="O717" s="464"/>
      <c r="P717" s="463"/>
      <c r="Q717" s="464"/>
      <c r="R717" s="465"/>
      <c r="S717" s="173">
        <f t="shared" ref="S717:S764" si="25">F717-(H717/7.5)</f>
        <v>0</v>
      </c>
      <c r="AT717" s="176" t="e">
        <f>VLOOKUP($E717,RESOURCES!$C:$E,3,FALSE)</f>
        <v>#N/A</v>
      </c>
      <c r="AU717" s="176">
        <f t="shared" si="24"/>
        <v>0</v>
      </c>
    </row>
    <row r="718" spans="1:47">
      <c r="A718" s="459"/>
      <c r="B718" s="459"/>
      <c r="C718" s="459"/>
      <c r="E718" s="461"/>
      <c r="F718" s="461"/>
      <c r="G718" s="461"/>
      <c r="H718" s="461"/>
      <c r="I718" s="462"/>
      <c r="J718" s="462"/>
      <c r="K718" s="462"/>
      <c r="L718" s="462"/>
      <c r="M718" s="462"/>
      <c r="N718" s="463"/>
      <c r="O718" s="464"/>
      <c r="P718" s="463"/>
      <c r="Q718" s="464"/>
      <c r="R718" s="465"/>
      <c r="S718" s="173">
        <f t="shared" si="25"/>
        <v>0</v>
      </c>
      <c r="AT718" s="176" t="e">
        <f>VLOOKUP($E718,RESOURCES!$C:$E,3,FALSE)</f>
        <v>#N/A</v>
      </c>
      <c r="AU718" s="176">
        <f t="shared" si="24"/>
        <v>0</v>
      </c>
    </row>
    <row r="719" spans="1:47">
      <c r="A719" s="459"/>
      <c r="B719" s="459"/>
      <c r="C719" s="459"/>
      <c r="E719" s="461"/>
      <c r="F719" s="461"/>
      <c r="G719" s="461"/>
      <c r="H719" s="461"/>
      <c r="I719" s="462"/>
      <c r="J719" s="462"/>
      <c r="K719" s="462"/>
      <c r="L719" s="462"/>
      <c r="M719" s="462"/>
      <c r="N719" s="463"/>
      <c r="O719" s="464"/>
      <c r="P719" s="463"/>
      <c r="Q719" s="464"/>
      <c r="R719" s="465"/>
      <c r="S719" s="173">
        <f t="shared" si="25"/>
        <v>0</v>
      </c>
      <c r="AT719" s="176" t="e">
        <f>VLOOKUP($E719,RESOURCES!$C:$E,3,FALSE)</f>
        <v>#N/A</v>
      </c>
      <c r="AU719" s="176">
        <f t="shared" si="24"/>
        <v>0</v>
      </c>
    </row>
    <row r="720" spans="1:47">
      <c r="A720" s="459"/>
      <c r="B720" s="459"/>
      <c r="C720" s="459"/>
      <c r="E720" s="461"/>
      <c r="F720" s="461"/>
      <c r="G720" s="461"/>
      <c r="H720" s="461"/>
      <c r="I720" s="462"/>
      <c r="J720" s="462"/>
      <c r="K720" s="462"/>
      <c r="L720" s="462"/>
      <c r="M720" s="462"/>
      <c r="N720" s="463"/>
      <c r="O720" s="464"/>
      <c r="P720" s="463"/>
      <c r="Q720" s="464"/>
      <c r="R720" s="465"/>
      <c r="S720" s="173">
        <f t="shared" si="25"/>
        <v>0</v>
      </c>
      <c r="AT720" s="176" t="e">
        <f>VLOOKUP($E720,RESOURCES!$C:$E,3,FALSE)</f>
        <v>#N/A</v>
      </c>
      <c r="AU720" s="176">
        <f t="shared" si="24"/>
        <v>0</v>
      </c>
    </row>
    <row r="721" spans="1:47">
      <c r="A721" s="459"/>
      <c r="B721" s="459"/>
      <c r="C721" s="459"/>
      <c r="E721" s="461"/>
      <c r="F721" s="461"/>
      <c r="G721" s="461"/>
      <c r="H721" s="461"/>
      <c r="I721" s="462"/>
      <c r="J721" s="462"/>
      <c r="K721" s="462"/>
      <c r="L721" s="462"/>
      <c r="M721" s="462"/>
      <c r="N721" s="463"/>
      <c r="O721" s="464"/>
      <c r="P721" s="463"/>
      <c r="Q721" s="464"/>
      <c r="R721" s="465"/>
      <c r="S721" s="173">
        <f t="shared" si="25"/>
        <v>0</v>
      </c>
      <c r="AT721" s="176" t="e">
        <f>VLOOKUP($E721,RESOURCES!$C:$E,3,FALSE)</f>
        <v>#N/A</v>
      </c>
      <c r="AU721" s="176">
        <f t="shared" si="24"/>
        <v>0</v>
      </c>
    </row>
    <row r="722" spans="1:47">
      <c r="A722" s="459"/>
      <c r="B722" s="459"/>
      <c r="C722" s="459"/>
      <c r="E722" s="461"/>
      <c r="F722" s="461"/>
      <c r="G722" s="461"/>
      <c r="H722" s="461"/>
      <c r="I722" s="462"/>
      <c r="J722" s="462"/>
      <c r="K722" s="462"/>
      <c r="L722" s="462"/>
      <c r="M722" s="462"/>
      <c r="N722" s="463"/>
      <c r="O722" s="464"/>
      <c r="P722" s="463"/>
      <c r="Q722" s="464"/>
      <c r="R722" s="465"/>
      <c r="S722" s="173">
        <f t="shared" si="25"/>
        <v>0</v>
      </c>
      <c r="AT722" s="176" t="e">
        <f>VLOOKUP($E722,RESOURCES!$C:$E,3,FALSE)</f>
        <v>#N/A</v>
      </c>
      <c r="AU722" s="176">
        <f t="shared" si="24"/>
        <v>0</v>
      </c>
    </row>
    <row r="723" spans="1:47">
      <c r="A723" s="459"/>
      <c r="B723" s="459"/>
      <c r="C723" s="459"/>
      <c r="E723" s="461"/>
      <c r="F723" s="461"/>
      <c r="G723" s="461"/>
      <c r="H723" s="461"/>
      <c r="I723" s="462"/>
      <c r="J723" s="462"/>
      <c r="K723" s="462"/>
      <c r="L723" s="462"/>
      <c r="M723" s="462"/>
      <c r="N723" s="463"/>
      <c r="O723" s="464"/>
      <c r="P723" s="463"/>
      <c r="Q723" s="464"/>
      <c r="R723" s="465"/>
      <c r="S723" s="173">
        <f t="shared" si="25"/>
        <v>0</v>
      </c>
      <c r="AT723" s="176" t="e">
        <f>VLOOKUP($E723,RESOURCES!$C:$E,3,FALSE)</f>
        <v>#N/A</v>
      </c>
      <c r="AU723" s="176">
        <f t="shared" si="24"/>
        <v>0</v>
      </c>
    </row>
    <row r="724" spans="1:47">
      <c r="A724" s="459"/>
      <c r="B724" s="459"/>
      <c r="C724" s="459"/>
      <c r="E724" s="461"/>
      <c r="F724" s="461"/>
      <c r="G724" s="461"/>
      <c r="H724" s="461"/>
      <c r="I724" s="462"/>
      <c r="J724" s="462"/>
      <c r="K724" s="462"/>
      <c r="L724" s="462"/>
      <c r="M724" s="462"/>
      <c r="N724" s="463"/>
      <c r="O724" s="464"/>
      <c r="P724" s="463"/>
      <c r="Q724" s="464"/>
      <c r="R724" s="465"/>
      <c r="S724" s="173">
        <f t="shared" si="25"/>
        <v>0</v>
      </c>
      <c r="AT724" s="176" t="e">
        <f>VLOOKUP($E724,RESOURCES!$C:$E,3,FALSE)</f>
        <v>#N/A</v>
      </c>
      <c r="AU724" s="176">
        <f t="shared" si="24"/>
        <v>0</v>
      </c>
    </row>
    <row r="725" spans="1:47">
      <c r="A725" s="459"/>
      <c r="B725" s="459"/>
      <c r="C725" s="459"/>
      <c r="E725" s="461"/>
      <c r="F725" s="461"/>
      <c r="G725" s="461"/>
      <c r="H725" s="461"/>
      <c r="I725" s="462"/>
      <c r="J725" s="462"/>
      <c r="K725" s="462"/>
      <c r="L725" s="462"/>
      <c r="M725" s="462"/>
      <c r="N725" s="463"/>
      <c r="O725" s="464"/>
      <c r="P725" s="463"/>
      <c r="Q725" s="464"/>
      <c r="R725" s="465"/>
      <c r="S725" s="173">
        <f t="shared" si="25"/>
        <v>0</v>
      </c>
      <c r="AT725" s="176" t="e">
        <f>VLOOKUP($E725,RESOURCES!$C:$E,3,FALSE)</f>
        <v>#N/A</v>
      </c>
      <c r="AU725" s="176">
        <f t="shared" si="24"/>
        <v>0</v>
      </c>
    </row>
    <row r="726" spans="1:47">
      <c r="A726" s="459"/>
      <c r="B726" s="459"/>
      <c r="C726" s="459"/>
      <c r="E726" s="461"/>
      <c r="F726" s="461"/>
      <c r="G726" s="461"/>
      <c r="H726" s="461"/>
      <c r="I726" s="462"/>
      <c r="J726" s="462"/>
      <c r="K726" s="462"/>
      <c r="L726" s="462"/>
      <c r="M726" s="462"/>
      <c r="N726" s="463"/>
      <c r="O726" s="464"/>
      <c r="P726" s="463"/>
      <c r="Q726" s="464"/>
      <c r="R726" s="465"/>
      <c r="S726" s="173">
        <f t="shared" si="25"/>
        <v>0</v>
      </c>
      <c r="AT726" s="176" t="e">
        <f>VLOOKUP($E726,RESOURCES!$C:$E,3,FALSE)</f>
        <v>#N/A</v>
      </c>
      <c r="AU726" s="176">
        <f t="shared" si="24"/>
        <v>0</v>
      </c>
    </row>
    <row r="727" spans="1:47">
      <c r="A727" s="459"/>
      <c r="B727" s="459"/>
      <c r="C727" s="459"/>
      <c r="E727" s="461"/>
      <c r="F727" s="461"/>
      <c r="G727" s="461"/>
      <c r="H727" s="461"/>
      <c r="I727" s="462"/>
      <c r="J727" s="462"/>
      <c r="K727" s="462"/>
      <c r="L727" s="462"/>
      <c r="M727" s="462"/>
      <c r="N727" s="463"/>
      <c r="O727" s="464"/>
      <c r="P727" s="463"/>
      <c r="Q727" s="464"/>
      <c r="R727" s="465"/>
      <c r="S727" s="173">
        <f t="shared" si="25"/>
        <v>0</v>
      </c>
      <c r="AT727" s="176" t="e">
        <f>VLOOKUP($E727,RESOURCES!$C:$E,3,FALSE)</f>
        <v>#N/A</v>
      </c>
      <c r="AU727" s="176">
        <f t="shared" si="24"/>
        <v>0</v>
      </c>
    </row>
    <row r="728" spans="1:47">
      <c r="A728" s="459"/>
      <c r="B728" s="459"/>
      <c r="C728" s="459"/>
      <c r="E728" s="461"/>
      <c r="F728" s="461"/>
      <c r="G728" s="461"/>
      <c r="H728" s="461"/>
      <c r="I728" s="462"/>
      <c r="J728" s="462"/>
      <c r="K728" s="462"/>
      <c r="L728" s="462"/>
      <c r="M728" s="462"/>
      <c r="N728" s="463"/>
      <c r="O728" s="464"/>
      <c r="P728" s="463"/>
      <c r="Q728" s="464"/>
      <c r="R728" s="465"/>
      <c r="S728" s="173">
        <f t="shared" si="25"/>
        <v>0</v>
      </c>
      <c r="AT728" s="176" t="e">
        <f>VLOOKUP($E728,RESOURCES!$C:$E,3,FALSE)</f>
        <v>#N/A</v>
      </c>
      <c r="AU728" s="176">
        <f t="shared" si="24"/>
        <v>0</v>
      </c>
    </row>
    <row r="729" spans="1:47">
      <c r="A729" s="459"/>
      <c r="B729" s="459"/>
      <c r="C729" s="459"/>
      <c r="E729" s="461"/>
      <c r="F729" s="461"/>
      <c r="G729" s="461"/>
      <c r="H729" s="461"/>
      <c r="I729" s="462"/>
      <c r="J729" s="462"/>
      <c r="K729" s="462"/>
      <c r="L729" s="462"/>
      <c r="M729" s="462"/>
      <c r="N729" s="463"/>
      <c r="O729" s="464"/>
      <c r="P729" s="463"/>
      <c r="Q729" s="464"/>
      <c r="R729" s="465"/>
      <c r="S729" s="173">
        <f t="shared" si="25"/>
        <v>0</v>
      </c>
      <c r="AT729" s="176" t="e">
        <f>VLOOKUP($E729,RESOURCES!$C:$E,3,FALSE)</f>
        <v>#N/A</v>
      </c>
      <c r="AU729" s="176">
        <f t="shared" si="24"/>
        <v>0</v>
      </c>
    </row>
    <row r="730" spans="1:47">
      <c r="A730" s="459"/>
      <c r="B730" s="459"/>
      <c r="C730" s="459"/>
      <c r="E730" s="461"/>
      <c r="F730" s="461"/>
      <c r="G730" s="461"/>
      <c r="H730" s="461"/>
      <c r="I730" s="462"/>
      <c r="J730" s="462"/>
      <c r="K730" s="462"/>
      <c r="L730" s="462"/>
      <c r="M730" s="462"/>
      <c r="N730" s="463"/>
      <c r="O730" s="464"/>
      <c r="P730" s="463"/>
      <c r="Q730" s="464"/>
      <c r="R730" s="465"/>
      <c r="S730" s="173">
        <f t="shared" si="25"/>
        <v>0</v>
      </c>
      <c r="AT730" s="176" t="e">
        <f>VLOOKUP($E730,RESOURCES!$C:$E,3,FALSE)</f>
        <v>#N/A</v>
      </c>
      <c r="AU730" s="176">
        <f t="shared" si="24"/>
        <v>0</v>
      </c>
    </row>
    <row r="731" spans="1:47">
      <c r="A731" s="459"/>
      <c r="B731" s="459"/>
      <c r="C731" s="459"/>
      <c r="E731" s="461"/>
      <c r="F731" s="461"/>
      <c r="G731" s="461"/>
      <c r="H731" s="461"/>
      <c r="I731" s="462"/>
      <c r="J731" s="462"/>
      <c r="K731" s="462"/>
      <c r="L731" s="462"/>
      <c r="M731" s="462"/>
      <c r="N731" s="463"/>
      <c r="O731" s="464"/>
      <c r="P731" s="463"/>
      <c r="Q731" s="464"/>
      <c r="R731" s="465"/>
      <c r="S731" s="173">
        <f t="shared" si="25"/>
        <v>0</v>
      </c>
      <c r="AT731" s="176" t="e">
        <f>VLOOKUP($E731,RESOURCES!$C:$E,3,FALSE)</f>
        <v>#N/A</v>
      </c>
      <c r="AU731" s="176">
        <f t="shared" si="24"/>
        <v>0</v>
      </c>
    </row>
    <row r="732" spans="1:47">
      <c r="A732" s="459"/>
      <c r="B732" s="459"/>
      <c r="C732" s="459"/>
      <c r="E732" s="461"/>
      <c r="F732" s="461"/>
      <c r="G732" s="461"/>
      <c r="H732" s="461"/>
      <c r="I732" s="462"/>
      <c r="J732" s="462"/>
      <c r="K732" s="462"/>
      <c r="L732" s="462"/>
      <c r="M732" s="462"/>
      <c r="N732" s="463"/>
      <c r="O732" s="464"/>
      <c r="P732" s="463"/>
      <c r="Q732" s="464"/>
      <c r="R732" s="465"/>
      <c r="S732" s="173">
        <f t="shared" si="25"/>
        <v>0</v>
      </c>
      <c r="AT732" s="176" t="e">
        <f>VLOOKUP($E732,RESOURCES!$C:$E,3,FALSE)</f>
        <v>#N/A</v>
      </c>
      <c r="AU732" s="176">
        <f t="shared" si="24"/>
        <v>0</v>
      </c>
    </row>
    <row r="733" spans="1:47">
      <c r="A733" s="459"/>
      <c r="B733" s="459"/>
      <c r="C733" s="459"/>
      <c r="E733" s="461"/>
      <c r="F733" s="461"/>
      <c r="G733" s="461"/>
      <c r="H733" s="461"/>
      <c r="I733" s="462"/>
      <c r="J733" s="462"/>
      <c r="K733" s="462"/>
      <c r="L733" s="462"/>
      <c r="M733" s="462"/>
      <c r="N733" s="463"/>
      <c r="O733" s="464"/>
      <c r="P733" s="463"/>
      <c r="Q733" s="464"/>
      <c r="R733" s="465"/>
      <c r="S733" s="173">
        <f t="shared" si="25"/>
        <v>0</v>
      </c>
      <c r="AT733" s="176" t="e">
        <f>VLOOKUP($E733,RESOURCES!$C:$E,3,FALSE)</f>
        <v>#N/A</v>
      </c>
      <c r="AU733" s="176">
        <f t="shared" si="24"/>
        <v>0</v>
      </c>
    </row>
    <row r="734" spans="1:47">
      <c r="A734" s="459"/>
      <c r="B734" s="459"/>
      <c r="C734" s="459"/>
      <c r="E734" s="461"/>
      <c r="F734" s="461"/>
      <c r="G734" s="461"/>
      <c r="H734" s="461"/>
      <c r="I734" s="462"/>
      <c r="J734" s="462"/>
      <c r="K734" s="462"/>
      <c r="L734" s="462"/>
      <c r="M734" s="462"/>
      <c r="N734" s="463"/>
      <c r="O734" s="464"/>
      <c r="P734" s="463"/>
      <c r="Q734" s="464"/>
      <c r="R734" s="465"/>
      <c r="S734" s="173">
        <f t="shared" si="25"/>
        <v>0</v>
      </c>
      <c r="AT734" s="176" t="e">
        <f>VLOOKUP($E734,RESOURCES!$C:$E,3,FALSE)</f>
        <v>#N/A</v>
      </c>
      <c r="AU734" s="176">
        <f t="shared" si="24"/>
        <v>0</v>
      </c>
    </row>
    <row r="735" spans="1:47">
      <c r="A735" s="459"/>
      <c r="B735" s="459"/>
      <c r="C735" s="459"/>
      <c r="E735" s="461"/>
      <c r="F735" s="461"/>
      <c r="G735" s="461"/>
      <c r="H735" s="461"/>
      <c r="I735" s="462"/>
      <c r="J735" s="462"/>
      <c r="K735" s="462"/>
      <c r="L735" s="462"/>
      <c r="M735" s="462"/>
      <c r="N735" s="463"/>
      <c r="O735" s="464"/>
      <c r="P735" s="463"/>
      <c r="Q735" s="464"/>
      <c r="R735" s="465"/>
      <c r="S735" s="173">
        <f t="shared" si="25"/>
        <v>0</v>
      </c>
      <c r="AT735" s="176" t="e">
        <f>VLOOKUP($E735,RESOURCES!$C:$E,3,FALSE)</f>
        <v>#N/A</v>
      </c>
      <c r="AU735" s="176">
        <f t="shared" si="24"/>
        <v>0</v>
      </c>
    </row>
    <row r="736" spans="1:47">
      <c r="A736" s="459"/>
      <c r="B736" s="459"/>
      <c r="C736" s="459"/>
      <c r="E736" s="461"/>
      <c r="F736" s="461"/>
      <c r="G736" s="461"/>
      <c r="H736" s="461"/>
      <c r="I736" s="462"/>
      <c r="J736" s="462"/>
      <c r="K736" s="462"/>
      <c r="L736" s="462"/>
      <c r="M736" s="462"/>
      <c r="N736" s="463"/>
      <c r="O736" s="464"/>
      <c r="P736" s="463"/>
      <c r="Q736" s="464"/>
      <c r="R736" s="465"/>
      <c r="S736" s="173">
        <f t="shared" si="25"/>
        <v>0</v>
      </c>
      <c r="AT736" s="176" t="e">
        <f>VLOOKUP($E736,RESOURCES!$C:$E,3,FALSE)</f>
        <v>#N/A</v>
      </c>
      <c r="AU736" s="176">
        <f t="shared" si="24"/>
        <v>0</v>
      </c>
    </row>
    <row r="737" spans="1:47">
      <c r="A737" s="459"/>
      <c r="B737" s="459"/>
      <c r="C737" s="459"/>
      <c r="E737" s="461"/>
      <c r="F737" s="461"/>
      <c r="G737" s="461"/>
      <c r="H737" s="461"/>
      <c r="I737" s="462"/>
      <c r="J737" s="462"/>
      <c r="K737" s="462"/>
      <c r="L737" s="462"/>
      <c r="M737" s="462"/>
      <c r="N737" s="463"/>
      <c r="O737" s="464"/>
      <c r="P737" s="463"/>
      <c r="Q737" s="464"/>
      <c r="R737" s="465"/>
      <c r="S737" s="173">
        <f t="shared" si="25"/>
        <v>0</v>
      </c>
      <c r="AT737" s="176" t="e">
        <f>VLOOKUP($E737,RESOURCES!$C:$E,3,FALSE)</f>
        <v>#N/A</v>
      </c>
      <c r="AU737" s="176">
        <f t="shared" si="24"/>
        <v>0</v>
      </c>
    </row>
    <row r="738" spans="1:47">
      <c r="A738" s="459"/>
      <c r="B738" s="459"/>
      <c r="C738" s="459"/>
      <c r="E738" s="461"/>
      <c r="F738" s="461"/>
      <c r="G738" s="461"/>
      <c r="H738" s="461"/>
      <c r="I738" s="462"/>
      <c r="J738" s="462"/>
      <c r="K738" s="462"/>
      <c r="L738" s="462"/>
      <c r="M738" s="462"/>
      <c r="N738" s="463"/>
      <c r="O738" s="464"/>
      <c r="P738" s="463"/>
      <c r="Q738" s="464"/>
      <c r="R738" s="465"/>
      <c r="S738" s="173">
        <f t="shared" si="25"/>
        <v>0</v>
      </c>
      <c r="AT738" s="176" t="e">
        <f>VLOOKUP($E738,RESOURCES!$C:$E,3,FALSE)</f>
        <v>#N/A</v>
      </c>
      <c r="AU738" s="176">
        <f t="shared" si="24"/>
        <v>0</v>
      </c>
    </row>
    <row r="739" spans="1:47">
      <c r="A739" s="459"/>
      <c r="B739" s="459"/>
      <c r="C739" s="459"/>
      <c r="E739" s="461"/>
      <c r="F739" s="461"/>
      <c r="G739" s="461"/>
      <c r="H739" s="461"/>
      <c r="I739" s="462"/>
      <c r="J739" s="462"/>
      <c r="K739" s="462"/>
      <c r="L739" s="462"/>
      <c r="M739" s="462"/>
      <c r="N739" s="463"/>
      <c r="O739" s="464"/>
      <c r="P739" s="463"/>
      <c r="Q739" s="464"/>
      <c r="R739" s="465"/>
      <c r="S739" s="173">
        <f t="shared" si="25"/>
        <v>0</v>
      </c>
      <c r="AT739" s="176" t="e">
        <f>VLOOKUP($E739,RESOURCES!$C:$E,3,FALSE)</f>
        <v>#N/A</v>
      </c>
      <c r="AU739" s="176">
        <f t="shared" si="24"/>
        <v>0</v>
      </c>
    </row>
    <row r="740" spans="1:47">
      <c r="A740" s="459"/>
      <c r="B740" s="459"/>
      <c r="C740" s="459"/>
      <c r="E740" s="461"/>
      <c r="F740" s="461"/>
      <c r="G740" s="461"/>
      <c r="H740" s="461"/>
      <c r="I740" s="462"/>
      <c r="J740" s="462"/>
      <c r="K740" s="462"/>
      <c r="L740" s="462"/>
      <c r="M740" s="462"/>
      <c r="N740" s="463"/>
      <c r="O740" s="464"/>
      <c r="P740" s="463"/>
      <c r="Q740" s="464"/>
      <c r="R740" s="465"/>
      <c r="S740" s="173">
        <f t="shared" si="25"/>
        <v>0</v>
      </c>
      <c r="AT740" s="176" t="e">
        <f>VLOOKUP($E740,RESOURCES!$C:$E,3,FALSE)</f>
        <v>#N/A</v>
      </c>
      <c r="AU740" s="176">
        <f t="shared" si="24"/>
        <v>0</v>
      </c>
    </row>
    <row r="741" spans="1:47">
      <c r="A741" s="459"/>
      <c r="B741" s="459"/>
      <c r="C741" s="459"/>
      <c r="E741" s="461"/>
      <c r="F741" s="461"/>
      <c r="G741" s="461"/>
      <c r="H741" s="461"/>
      <c r="I741" s="462"/>
      <c r="J741" s="462"/>
      <c r="K741" s="462"/>
      <c r="L741" s="462"/>
      <c r="M741" s="462"/>
      <c r="N741" s="463"/>
      <c r="O741" s="464"/>
      <c r="P741" s="463"/>
      <c r="Q741" s="464"/>
      <c r="R741" s="465"/>
      <c r="S741" s="173">
        <f t="shared" si="25"/>
        <v>0</v>
      </c>
      <c r="AT741" s="176" t="e">
        <f>VLOOKUP($E741,RESOURCES!$C:$E,3,FALSE)</f>
        <v>#N/A</v>
      </c>
      <c r="AU741" s="176">
        <f t="shared" si="24"/>
        <v>0</v>
      </c>
    </row>
    <row r="742" spans="1:47">
      <c r="A742" s="459"/>
      <c r="B742" s="459"/>
      <c r="C742" s="459"/>
      <c r="E742" s="461"/>
      <c r="F742" s="461"/>
      <c r="G742" s="461"/>
      <c r="H742" s="461"/>
      <c r="I742" s="462"/>
      <c r="J742" s="462"/>
      <c r="K742" s="462"/>
      <c r="L742" s="462"/>
      <c r="M742" s="462"/>
      <c r="N742" s="463"/>
      <c r="O742" s="464"/>
      <c r="P742" s="463"/>
      <c r="Q742" s="464"/>
      <c r="R742" s="465"/>
      <c r="S742" s="173">
        <f t="shared" si="25"/>
        <v>0</v>
      </c>
      <c r="AT742" s="176" t="e">
        <f>VLOOKUP($E742,RESOURCES!$C:$E,3,FALSE)</f>
        <v>#N/A</v>
      </c>
      <c r="AU742" s="176">
        <f t="shared" si="24"/>
        <v>0</v>
      </c>
    </row>
    <row r="743" spans="1:47">
      <c r="A743" s="459"/>
      <c r="B743" s="459"/>
      <c r="C743" s="459"/>
      <c r="E743" s="461"/>
      <c r="F743" s="461"/>
      <c r="G743" s="461"/>
      <c r="H743" s="461"/>
      <c r="I743" s="462"/>
      <c r="J743" s="462"/>
      <c r="K743" s="462"/>
      <c r="L743" s="462"/>
      <c r="M743" s="462"/>
      <c r="N743" s="463"/>
      <c r="O743" s="464"/>
      <c r="P743" s="463"/>
      <c r="Q743" s="464"/>
      <c r="R743" s="465"/>
      <c r="S743" s="173">
        <f t="shared" si="25"/>
        <v>0</v>
      </c>
      <c r="AT743" s="176" t="e">
        <f>VLOOKUP($E743,RESOURCES!$C:$E,3,FALSE)</f>
        <v>#N/A</v>
      </c>
      <c r="AU743" s="176">
        <f t="shared" si="24"/>
        <v>0</v>
      </c>
    </row>
    <row r="744" spans="1:47">
      <c r="A744" s="459"/>
      <c r="B744" s="459"/>
      <c r="C744" s="459"/>
      <c r="E744" s="461"/>
      <c r="F744" s="461"/>
      <c r="G744" s="461"/>
      <c r="H744" s="461"/>
      <c r="I744" s="462"/>
      <c r="J744" s="462"/>
      <c r="K744" s="462"/>
      <c r="L744" s="462"/>
      <c r="M744" s="462"/>
      <c r="N744" s="463"/>
      <c r="O744" s="464"/>
      <c r="P744" s="463"/>
      <c r="Q744" s="464"/>
      <c r="R744" s="465"/>
      <c r="S744" s="173">
        <f t="shared" si="25"/>
        <v>0</v>
      </c>
      <c r="AT744" s="176" t="e">
        <f>VLOOKUP($E744,RESOURCES!$C:$E,3,FALSE)</f>
        <v>#N/A</v>
      </c>
      <c r="AU744" s="176">
        <f t="shared" si="24"/>
        <v>0</v>
      </c>
    </row>
    <row r="745" spans="1:47">
      <c r="A745" s="459"/>
      <c r="B745" s="459"/>
      <c r="C745" s="459"/>
      <c r="E745" s="461"/>
      <c r="F745" s="461"/>
      <c r="G745" s="461"/>
      <c r="H745" s="461"/>
      <c r="I745" s="462"/>
      <c r="J745" s="462"/>
      <c r="K745" s="462"/>
      <c r="L745" s="462"/>
      <c r="M745" s="462"/>
      <c r="N745" s="463"/>
      <c r="O745" s="464"/>
      <c r="P745" s="463"/>
      <c r="Q745" s="464"/>
      <c r="R745" s="465"/>
      <c r="S745" s="173">
        <f t="shared" si="25"/>
        <v>0</v>
      </c>
      <c r="AT745" s="176" t="e">
        <f>VLOOKUP($E745,RESOURCES!$C:$E,3,FALSE)</f>
        <v>#N/A</v>
      </c>
      <c r="AU745" s="176">
        <f t="shared" si="24"/>
        <v>0</v>
      </c>
    </row>
    <row r="746" spans="1:47">
      <c r="A746" s="459"/>
      <c r="B746" s="459"/>
      <c r="C746" s="459"/>
      <c r="E746" s="461"/>
      <c r="F746" s="461"/>
      <c r="G746" s="461"/>
      <c r="H746" s="461"/>
      <c r="I746" s="462"/>
      <c r="J746" s="462"/>
      <c r="K746" s="462"/>
      <c r="L746" s="462"/>
      <c r="M746" s="462"/>
      <c r="N746" s="463"/>
      <c r="O746" s="464"/>
      <c r="P746" s="463"/>
      <c r="Q746" s="464"/>
      <c r="R746" s="465"/>
      <c r="S746" s="173">
        <f t="shared" si="25"/>
        <v>0</v>
      </c>
      <c r="AT746" s="176" t="e">
        <f>VLOOKUP($E746,RESOURCES!$C:$E,3,FALSE)</f>
        <v>#N/A</v>
      </c>
      <c r="AU746" s="176">
        <f t="shared" si="24"/>
        <v>0</v>
      </c>
    </row>
    <row r="747" spans="1:47">
      <c r="A747" s="459"/>
      <c r="B747" s="459"/>
      <c r="C747" s="459"/>
      <c r="E747" s="461"/>
      <c r="F747" s="461"/>
      <c r="G747" s="461"/>
      <c r="H747" s="461"/>
      <c r="I747" s="462"/>
      <c r="J747" s="462"/>
      <c r="K747" s="462"/>
      <c r="L747" s="462"/>
      <c r="M747" s="462"/>
      <c r="N747" s="463"/>
      <c r="O747" s="464"/>
      <c r="P747" s="463"/>
      <c r="Q747" s="464"/>
      <c r="R747" s="465"/>
      <c r="S747" s="173">
        <f t="shared" si="25"/>
        <v>0</v>
      </c>
      <c r="AT747" s="176" t="e">
        <f>VLOOKUP($E747,RESOURCES!$C:$E,3,FALSE)</f>
        <v>#N/A</v>
      </c>
      <c r="AU747" s="176">
        <f t="shared" si="24"/>
        <v>0</v>
      </c>
    </row>
    <row r="748" spans="1:47">
      <c r="A748" s="459"/>
      <c r="B748" s="459"/>
      <c r="C748" s="459"/>
      <c r="E748" s="461"/>
      <c r="F748" s="461"/>
      <c r="G748" s="461"/>
      <c r="H748" s="461"/>
      <c r="I748" s="462"/>
      <c r="J748" s="462"/>
      <c r="K748" s="462"/>
      <c r="L748" s="462"/>
      <c r="M748" s="462"/>
      <c r="N748" s="463"/>
      <c r="O748" s="464"/>
      <c r="P748" s="463"/>
      <c r="Q748" s="464"/>
      <c r="R748" s="465"/>
      <c r="S748" s="173">
        <f t="shared" si="25"/>
        <v>0</v>
      </c>
      <c r="AT748" s="176" t="e">
        <f>VLOOKUP($E748,RESOURCES!$C:$E,3,FALSE)</f>
        <v>#N/A</v>
      </c>
      <c r="AU748" s="176">
        <f t="shared" si="24"/>
        <v>0</v>
      </c>
    </row>
    <row r="749" spans="1:47">
      <c r="A749" s="459"/>
      <c r="B749" s="459"/>
      <c r="C749" s="459"/>
      <c r="E749" s="461"/>
      <c r="F749" s="461"/>
      <c r="G749" s="461"/>
      <c r="H749" s="461"/>
      <c r="I749" s="462"/>
      <c r="J749" s="462"/>
      <c r="K749" s="462"/>
      <c r="L749" s="462"/>
      <c r="M749" s="462"/>
      <c r="N749" s="463"/>
      <c r="O749" s="464"/>
      <c r="P749" s="463"/>
      <c r="Q749" s="464"/>
      <c r="R749" s="465"/>
      <c r="S749" s="173">
        <f t="shared" si="25"/>
        <v>0</v>
      </c>
      <c r="AT749" s="176" t="e">
        <f>VLOOKUP($E749,RESOURCES!$C:$E,3,FALSE)</f>
        <v>#N/A</v>
      </c>
      <c r="AU749" s="176">
        <f t="shared" si="24"/>
        <v>0</v>
      </c>
    </row>
    <row r="750" spans="1:47">
      <c r="A750" s="459"/>
      <c r="B750" s="459"/>
      <c r="C750" s="459"/>
      <c r="E750" s="461"/>
      <c r="F750" s="461"/>
      <c r="G750" s="461"/>
      <c r="H750" s="461"/>
      <c r="I750" s="462"/>
      <c r="J750" s="462"/>
      <c r="K750" s="462"/>
      <c r="L750" s="462"/>
      <c r="M750" s="462"/>
      <c r="N750" s="463"/>
      <c r="O750" s="464"/>
      <c r="P750" s="463"/>
      <c r="Q750" s="464"/>
      <c r="R750" s="465"/>
      <c r="S750" s="173">
        <f t="shared" si="25"/>
        <v>0</v>
      </c>
      <c r="AT750" s="176" t="e">
        <f>VLOOKUP($E750,RESOURCES!$C:$E,3,FALSE)</f>
        <v>#N/A</v>
      </c>
      <c r="AU750" s="176">
        <f t="shared" si="24"/>
        <v>0</v>
      </c>
    </row>
    <row r="751" spans="1:47">
      <c r="A751" s="459"/>
      <c r="B751" s="459"/>
      <c r="C751" s="459"/>
      <c r="E751" s="461"/>
      <c r="F751" s="461"/>
      <c r="G751" s="461"/>
      <c r="H751" s="461"/>
      <c r="I751" s="462"/>
      <c r="J751" s="462"/>
      <c r="K751" s="462"/>
      <c r="L751" s="462"/>
      <c r="M751" s="462"/>
      <c r="N751" s="463"/>
      <c r="O751" s="464"/>
      <c r="P751" s="463"/>
      <c r="Q751" s="464"/>
      <c r="R751" s="465"/>
      <c r="S751" s="173">
        <f t="shared" si="25"/>
        <v>0</v>
      </c>
      <c r="AT751" s="176" t="e">
        <f>VLOOKUP($E751,RESOURCES!$C:$E,3,FALSE)</f>
        <v>#N/A</v>
      </c>
      <c r="AU751" s="176">
        <f t="shared" si="24"/>
        <v>0</v>
      </c>
    </row>
    <row r="752" spans="1:47">
      <c r="A752" s="459"/>
      <c r="B752" s="459"/>
      <c r="C752" s="459"/>
      <c r="E752" s="461"/>
      <c r="F752" s="461"/>
      <c r="G752" s="461"/>
      <c r="H752" s="461"/>
      <c r="I752" s="462"/>
      <c r="J752" s="462"/>
      <c r="K752" s="462"/>
      <c r="L752" s="462"/>
      <c r="M752" s="462"/>
      <c r="N752" s="463"/>
      <c r="O752" s="464"/>
      <c r="P752" s="463"/>
      <c r="Q752" s="464"/>
      <c r="R752" s="465"/>
      <c r="S752" s="173">
        <f t="shared" si="25"/>
        <v>0</v>
      </c>
      <c r="AT752" s="176" t="e">
        <f>VLOOKUP($E752,RESOURCES!$C:$E,3,FALSE)</f>
        <v>#N/A</v>
      </c>
      <c r="AU752" s="176">
        <f t="shared" si="24"/>
        <v>0</v>
      </c>
    </row>
    <row r="753" spans="1:47">
      <c r="A753" s="459"/>
      <c r="B753" s="459"/>
      <c r="C753" s="459"/>
      <c r="E753" s="461"/>
      <c r="F753" s="461"/>
      <c r="G753" s="461"/>
      <c r="H753" s="461"/>
      <c r="I753" s="462"/>
      <c r="J753" s="462"/>
      <c r="K753" s="462"/>
      <c r="L753" s="462"/>
      <c r="M753" s="462"/>
      <c r="N753" s="463"/>
      <c r="O753" s="464"/>
      <c r="P753" s="463"/>
      <c r="Q753" s="464"/>
      <c r="R753" s="465"/>
      <c r="S753" s="173">
        <f t="shared" si="25"/>
        <v>0</v>
      </c>
      <c r="AT753" s="176" t="e">
        <f>VLOOKUP($E753,RESOURCES!$C:$E,3,FALSE)</f>
        <v>#N/A</v>
      </c>
      <c r="AU753" s="176">
        <f t="shared" si="24"/>
        <v>0</v>
      </c>
    </row>
    <row r="754" spans="1:47">
      <c r="A754" s="459"/>
      <c r="B754" s="459"/>
      <c r="C754" s="459"/>
      <c r="E754" s="461"/>
      <c r="F754" s="461"/>
      <c r="G754" s="461"/>
      <c r="H754" s="461"/>
      <c r="I754" s="462"/>
      <c r="J754" s="462"/>
      <c r="K754" s="462"/>
      <c r="L754" s="462"/>
      <c r="M754" s="462"/>
      <c r="N754" s="463"/>
      <c r="O754" s="464"/>
      <c r="P754" s="463"/>
      <c r="Q754" s="464"/>
      <c r="R754" s="465"/>
      <c r="S754" s="173">
        <f t="shared" si="25"/>
        <v>0</v>
      </c>
      <c r="AT754" s="176" t="e">
        <f>VLOOKUP($E754,RESOURCES!$C:$E,3,FALSE)</f>
        <v>#N/A</v>
      </c>
      <c r="AU754" s="176">
        <f t="shared" si="24"/>
        <v>0</v>
      </c>
    </row>
    <row r="755" spans="1:47">
      <c r="A755" s="459"/>
      <c r="B755" s="459"/>
      <c r="C755" s="459"/>
      <c r="E755" s="461"/>
      <c r="F755" s="461"/>
      <c r="G755" s="461"/>
      <c r="H755" s="461"/>
      <c r="I755" s="462"/>
      <c r="J755" s="462"/>
      <c r="K755" s="462"/>
      <c r="L755" s="462"/>
      <c r="M755" s="462"/>
      <c r="N755" s="463"/>
      <c r="O755" s="464"/>
      <c r="P755" s="463"/>
      <c r="Q755" s="464"/>
      <c r="R755" s="465"/>
      <c r="S755" s="173">
        <f t="shared" si="25"/>
        <v>0</v>
      </c>
      <c r="AT755" s="176" t="e">
        <f>VLOOKUP($E755,RESOURCES!$C:$E,3,FALSE)</f>
        <v>#N/A</v>
      </c>
      <c r="AU755" s="176">
        <f t="shared" si="24"/>
        <v>0</v>
      </c>
    </row>
    <row r="756" spans="1:47">
      <c r="A756" s="459"/>
      <c r="B756" s="459"/>
      <c r="C756" s="459"/>
      <c r="E756" s="461"/>
      <c r="F756" s="461"/>
      <c r="G756" s="461"/>
      <c r="H756" s="461"/>
      <c r="I756" s="462"/>
      <c r="J756" s="462"/>
      <c r="K756" s="462"/>
      <c r="L756" s="462"/>
      <c r="M756" s="462"/>
      <c r="N756" s="463"/>
      <c r="O756" s="464"/>
      <c r="P756" s="463"/>
      <c r="Q756" s="464"/>
      <c r="R756" s="465"/>
      <c r="S756" s="173">
        <f t="shared" si="25"/>
        <v>0</v>
      </c>
      <c r="AT756" s="176" t="e">
        <f>VLOOKUP($E756,RESOURCES!$C:$E,3,FALSE)</f>
        <v>#N/A</v>
      </c>
      <c r="AU756" s="176">
        <f t="shared" si="24"/>
        <v>0</v>
      </c>
    </row>
    <row r="757" spans="1:47">
      <c r="A757" s="459"/>
      <c r="B757" s="459"/>
      <c r="C757" s="459"/>
      <c r="E757" s="461"/>
      <c r="F757" s="461"/>
      <c r="G757" s="461"/>
      <c r="H757" s="461"/>
      <c r="I757" s="462"/>
      <c r="J757" s="462"/>
      <c r="K757" s="462"/>
      <c r="L757" s="462"/>
      <c r="M757" s="462"/>
      <c r="N757" s="463"/>
      <c r="O757" s="464"/>
      <c r="P757" s="463"/>
      <c r="Q757" s="464"/>
      <c r="R757" s="465"/>
      <c r="S757" s="173">
        <f t="shared" si="25"/>
        <v>0</v>
      </c>
      <c r="AT757" s="176" t="e">
        <f>VLOOKUP($E757,RESOURCES!$C:$E,3,FALSE)</f>
        <v>#N/A</v>
      </c>
      <c r="AU757" s="176">
        <f t="shared" si="24"/>
        <v>0</v>
      </c>
    </row>
    <row r="758" spans="1:47">
      <c r="A758" s="459"/>
      <c r="B758" s="459"/>
      <c r="C758" s="459"/>
      <c r="E758" s="461"/>
      <c r="F758" s="461"/>
      <c r="G758" s="461"/>
      <c r="H758" s="461"/>
      <c r="I758" s="462"/>
      <c r="J758" s="462"/>
      <c r="K758" s="462"/>
      <c r="L758" s="462"/>
      <c r="M758" s="462"/>
      <c r="N758" s="463"/>
      <c r="O758" s="464"/>
      <c r="P758" s="463"/>
      <c r="Q758" s="464"/>
      <c r="R758" s="465"/>
      <c r="S758" s="173">
        <f t="shared" si="25"/>
        <v>0</v>
      </c>
      <c r="AT758" s="176" t="e">
        <f>VLOOKUP($E758,RESOURCES!$C:$E,3,FALSE)</f>
        <v>#N/A</v>
      </c>
      <c r="AU758" s="176">
        <f t="shared" si="24"/>
        <v>0</v>
      </c>
    </row>
    <row r="759" spans="1:47">
      <c r="A759" s="459"/>
      <c r="B759" s="459"/>
      <c r="C759" s="459"/>
      <c r="E759" s="461"/>
      <c r="F759" s="461"/>
      <c r="G759" s="461"/>
      <c r="H759" s="461"/>
      <c r="I759" s="462"/>
      <c r="J759" s="462"/>
      <c r="K759" s="462"/>
      <c r="L759" s="462"/>
      <c r="M759" s="462"/>
      <c r="N759" s="463"/>
      <c r="O759" s="464"/>
      <c r="P759" s="463"/>
      <c r="Q759" s="464"/>
      <c r="R759" s="465"/>
      <c r="S759" s="173">
        <f t="shared" si="25"/>
        <v>0</v>
      </c>
      <c r="AT759" s="176" t="e">
        <f>VLOOKUP($E759,RESOURCES!$C:$E,3,FALSE)</f>
        <v>#N/A</v>
      </c>
      <c r="AU759" s="176">
        <f t="shared" si="24"/>
        <v>0</v>
      </c>
    </row>
    <row r="760" spans="1:47">
      <c r="A760" s="459"/>
      <c r="B760" s="459"/>
      <c r="C760" s="459"/>
      <c r="E760" s="461"/>
      <c r="F760" s="461"/>
      <c r="G760" s="461"/>
      <c r="H760" s="461"/>
      <c r="I760" s="462"/>
      <c r="J760" s="462"/>
      <c r="K760" s="462"/>
      <c r="L760" s="462"/>
      <c r="M760" s="462"/>
      <c r="N760" s="463"/>
      <c r="O760" s="464"/>
      <c r="P760" s="463"/>
      <c r="Q760" s="464"/>
      <c r="R760" s="465"/>
      <c r="S760" s="173">
        <f t="shared" si="25"/>
        <v>0</v>
      </c>
      <c r="AT760" s="176" t="e">
        <f>VLOOKUP($E760,RESOURCES!$C:$E,3,FALSE)</f>
        <v>#N/A</v>
      </c>
      <c r="AU760" s="176">
        <f t="shared" si="24"/>
        <v>0</v>
      </c>
    </row>
    <row r="761" spans="1:47">
      <c r="A761" s="459"/>
      <c r="B761" s="459"/>
      <c r="C761" s="459"/>
      <c r="E761" s="461"/>
      <c r="F761" s="461"/>
      <c r="G761" s="461"/>
      <c r="H761" s="461"/>
      <c r="I761" s="462"/>
      <c r="J761" s="462"/>
      <c r="K761" s="462"/>
      <c r="L761" s="462"/>
      <c r="M761" s="462"/>
      <c r="N761" s="463"/>
      <c r="O761" s="464"/>
      <c r="P761" s="463"/>
      <c r="Q761" s="464"/>
      <c r="R761" s="465"/>
      <c r="S761" s="173">
        <f t="shared" si="25"/>
        <v>0</v>
      </c>
      <c r="AT761" s="176" t="e">
        <f>VLOOKUP($E761,RESOURCES!$C:$E,3,FALSE)</f>
        <v>#N/A</v>
      </c>
      <c r="AU761" s="176">
        <f t="shared" si="24"/>
        <v>0</v>
      </c>
    </row>
    <row r="762" spans="1:47">
      <c r="A762" s="459"/>
      <c r="B762" s="459"/>
      <c r="C762" s="459"/>
      <c r="E762" s="461"/>
      <c r="F762" s="461"/>
      <c r="G762" s="461"/>
      <c r="H762" s="461"/>
      <c r="I762" s="462"/>
      <c r="J762" s="462"/>
      <c r="K762" s="462"/>
      <c r="L762" s="462"/>
      <c r="M762" s="462"/>
      <c r="N762" s="463"/>
      <c r="O762" s="464"/>
      <c r="P762" s="463"/>
      <c r="Q762" s="464"/>
      <c r="R762" s="465"/>
      <c r="S762" s="173">
        <f t="shared" si="25"/>
        <v>0</v>
      </c>
      <c r="AT762" s="176" t="e">
        <f>VLOOKUP($E762,RESOURCES!$C:$E,3,FALSE)</f>
        <v>#N/A</v>
      </c>
      <c r="AU762" s="176">
        <f t="shared" si="24"/>
        <v>0</v>
      </c>
    </row>
    <row r="763" spans="1:47">
      <c r="A763" s="459"/>
      <c r="B763" s="459"/>
      <c r="C763" s="459"/>
      <c r="E763" s="461"/>
      <c r="F763" s="461"/>
      <c r="G763" s="461"/>
      <c r="H763" s="461"/>
      <c r="I763" s="462"/>
      <c r="J763" s="462"/>
      <c r="K763" s="462"/>
      <c r="L763" s="462"/>
      <c r="M763" s="462"/>
      <c r="N763" s="463"/>
      <c r="O763" s="464"/>
      <c r="P763" s="463"/>
      <c r="Q763" s="464"/>
      <c r="R763" s="465"/>
      <c r="S763" s="173">
        <f t="shared" si="25"/>
        <v>0</v>
      </c>
      <c r="AT763" s="176" t="e">
        <f>VLOOKUP($E763,RESOURCES!$C:$E,3,FALSE)</f>
        <v>#N/A</v>
      </c>
      <c r="AU763" s="176">
        <f t="shared" si="24"/>
        <v>0</v>
      </c>
    </row>
    <row r="764" spans="1:47">
      <c r="A764" s="459"/>
      <c r="B764" s="459"/>
      <c r="C764" s="459"/>
      <c r="E764" s="461"/>
      <c r="F764" s="461"/>
      <c r="G764" s="461"/>
      <c r="H764" s="461"/>
      <c r="I764" s="462"/>
      <c r="J764" s="462"/>
      <c r="K764" s="462"/>
      <c r="L764" s="462"/>
      <c r="M764" s="462"/>
      <c r="N764" s="463"/>
      <c r="O764" s="464"/>
      <c r="P764" s="463"/>
      <c r="Q764" s="464"/>
      <c r="R764" s="465"/>
      <c r="S764" s="173">
        <f t="shared" si="25"/>
        <v>0</v>
      </c>
      <c r="AT764" s="176" t="e">
        <f>VLOOKUP($E764,RESOURCES!$C:$E,3,FALSE)</f>
        <v>#N/A</v>
      </c>
      <c r="AU764" s="176">
        <f t="shared" si="24"/>
        <v>0</v>
      </c>
    </row>
  </sheetData>
  <autoFilter ref="A3:BA174"/>
  <mergeCells count="16">
    <mergeCell ref="Q2:Q3"/>
    <mergeCell ref="R2:R3"/>
    <mergeCell ref="A1:D1"/>
    <mergeCell ref="T1:V1"/>
    <mergeCell ref="G2:G3"/>
    <mergeCell ref="H2:H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</mergeCells>
  <conditionalFormatting sqref="B4:B1048576">
    <cfRule type="containsText" dxfId="25" priority="13" operator="containsText" text="REMOVED">
      <formula>NOT(ISERROR(SEARCH("REMOVED",B4)))</formula>
    </cfRule>
  </conditionalFormatting>
  <conditionalFormatting sqref="B86">
    <cfRule type="containsText" dxfId="24" priority="12" operator="containsText" text="REMOVED">
      <formula>NOT(ISERROR(SEARCH("REMOVED",B86)))</formula>
    </cfRule>
  </conditionalFormatting>
  <conditionalFormatting sqref="B142">
    <cfRule type="containsText" dxfId="23" priority="11" operator="containsText" text="REMOVED">
      <formula>NOT(ISERROR(SEARCH("REMOVED",B142)))</formula>
    </cfRule>
  </conditionalFormatting>
  <conditionalFormatting sqref="B199">
    <cfRule type="containsText" dxfId="22" priority="10" operator="containsText" text="REMOVED">
      <formula>NOT(ISERROR(SEARCH("REMOVED",B199)))</formula>
    </cfRule>
  </conditionalFormatting>
  <conditionalFormatting sqref="B201">
    <cfRule type="containsText" dxfId="21" priority="9" operator="containsText" text="REMOVED">
      <formula>NOT(ISERROR(SEARCH("REMOVED",B201)))</formula>
    </cfRule>
  </conditionalFormatting>
  <conditionalFormatting sqref="B185">
    <cfRule type="containsText" dxfId="20" priority="7" operator="containsText" text="REMOVED">
      <formula>NOT(ISERROR(SEARCH("REMOVED",B185)))</formula>
    </cfRule>
  </conditionalFormatting>
  <conditionalFormatting sqref="B163:B165">
    <cfRule type="containsText" dxfId="19" priority="4" operator="containsText" text="REMOVED">
      <formula>NOT(ISERROR(SEARCH("REMOVED",B163)))</formula>
    </cfRule>
  </conditionalFormatting>
  <conditionalFormatting sqref="B166">
    <cfRule type="containsText" dxfId="18" priority="3" operator="containsText" text="REMOVED">
      <formula>NOT(ISERROR(SEARCH("REMOVED",B166)))</formula>
    </cfRule>
  </conditionalFormatting>
  <conditionalFormatting sqref="B167">
    <cfRule type="containsText" dxfId="17" priority="2" operator="containsText" text="REMOVED">
      <formula>NOT(ISERROR(SEARCH("REMOVED",B167)))</formula>
    </cfRule>
  </conditionalFormatting>
  <conditionalFormatting sqref="B192">
    <cfRule type="containsText" dxfId="16" priority="1" operator="containsText" text="REMOVED">
      <formula>NOT(ISERROR(SEARCH("REMOVED",B192)))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</sheetPr>
  <dimension ref="A1:AJ729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11.5703125" style="2" bestFit="1" customWidth="1"/>
    <col min="7" max="7" width="37.28515625" style="16" bestFit="1" customWidth="1"/>
    <col min="8" max="8" width="20" style="5" bestFit="1" customWidth="1"/>
    <col min="9" max="9" width="9.140625" style="16"/>
    <col min="10" max="11" width="9.140625" style="2"/>
    <col min="12" max="12" width="10.85546875" style="235" bestFit="1" customWidth="1"/>
    <col min="13" max="13" width="25.28515625" style="2" bestFit="1" customWidth="1"/>
    <col min="14" max="18" width="0" style="2" hidden="1" customWidth="1"/>
    <col min="19" max="20" width="9.140625" style="2"/>
    <col min="21" max="21" width="11.28515625" style="2" customWidth="1"/>
    <col min="22" max="22" width="11.28515625" style="2" bestFit="1" customWidth="1"/>
    <col min="23" max="23" width="26" style="2" bestFit="1" customWidth="1"/>
    <col min="24" max="24" width="9.28515625" style="2" bestFit="1" customWidth="1"/>
    <col min="25" max="25" width="26.140625" style="2" bestFit="1" customWidth="1"/>
    <col min="26" max="26" width="27.5703125" style="2" bestFit="1" customWidth="1"/>
    <col min="27" max="28" width="9.140625" style="16"/>
    <col min="29" max="29" width="16.140625" style="479" bestFit="1" customWidth="1"/>
    <col min="30" max="31" width="9.140625" style="2"/>
    <col min="32" max="32" width="27.5703125" style="2" bestFit="1" customWidth="1"/>
    <col min="33" max="33" width="39.5703125" style="2" bestFit="1" customWidth="1"/>
    <col min="34" max="16384" width="9.140625" style="2"/>
  </cols>
  <sheetData>
    <row r="1" spans="1:36" ht="17.100000000000001" customHeight="1">
      <c r="A1" s="78" t="s">
        <v>275</v>
      </c>
      <c r="B1" s="78" t="s">
        <v>44</v>
      </c>
      <c r="C1" s="78" t="s">
        <v>43</v>
      </c>
      <c r="D1" s="78" t="s">
        <v>42</v>
      </c>
      <c r="E1" s="78" t="s">
        <v>593</v>
      </c>
      <c r="F1" s="78" t="s">
        <v>594</v>
      </c>
      <c r="G1" s="232" t="s">
        <v>700</v>
      </c>
      <c r="H1" s="575" t="s">
        <v>701</v>
      </c>
      <c r="J1" s="233" t="s">
        <v>702</v>
      </c>
      <c r="L1" s="234"/>
      <c r="M1" s="236" t="s">
        <v>599</v>
      </c>
      <c r="N1" s="236">
        <v>1</v>
      </c>
      <c r="O1" s="236">
        <v>2</v>
      </c>
      <c r="P1" s="236">
        <v>3</v>
      </c>
      <c r="Q1" s="236">
        <v>4</v>
      </c>
      <c r="R1" s="236">
        <v>5</v>
      </c>
      <c r="S1" s="236" t="s">
        <v>614</v>
      </c>
      <c r="W1" s="472" t="s">
        <v>703</v>
      </c>
      <c r="X1" s="471"/>
      <c r="Y1" s="471"/>
      <c r="Z1" s="471"/>
    </row>
    <row r="2" spans="1:36">
      <c r="A2" s="487" t="str">
        <f>IFERROR(VLOOKUP($E2,RESOURCES!$C:$G,5,FALSE),"-")</f>
        <v>PASQUIN, Ryan</v>
      </c>
      <c r="B2" s="487" t="str">
        <f>IFERROR(VLOOKUP($E2,RESOURCES!$C:$G,4,FALSE),"-")</f>
        <v>REMULLA, Apple</v>
      </c>
      <c r="C2" s="489" t="s">
        <v>704</v>
      </c>
      <c r="D2" s="489" t="s">
        <v>420</v>
      </c>
      <c r="E2" s="489">
        <v>10071071</v>
      </c>
      <c r="F2" s="489" t="s">
        <v>614</v>
      </c>
      <c r="G2" s="490">
        <v>1</v>
      </c>
      <c r="H2" s="510">
        <v>0</v>
      </c>
      <c r="I2" s="70">
        <f t="shared" ref="I2:I65" si="0">IFERROR(AVERAGEIFS($G:$G,$E:$E,$E2),"-")</f>
        <v>1</v>
      </c>
      <c r="J2" s="71" t="str">
        <f t="shared" ref="J2:J65" si="1">IF($C2="Voice QA",$C2,"resource")</f>
        <v>resource</v>
      </c>
      <c r="L2" s="235">
        <v>10070715</v>
      </c>
      <c r="M2" s="664" t="s">
        <v>152</v>
      </c>
      <c r="N2" s="31" t="str">
        <f t="shared" ref="N2:R13" si="2">IFERROR(AVERAGEIFS($G:$G,$B:$B,$M2,$F:$F,N$1,$J:$J,$J$1),"-")</f>
        <v>-</v>
      </c>
      <c r="O2" s="31" t="str">
        <f t="shared" si="2"/>
        <v>-</v>
      </c>
      <c r="P2" s="31" t="str">
        <f t="shared" si="2"/>
        <v>-</v>
      </c>
      <c r="Q2" s="31" t="str">
        <f t="shared" si="2"/>
        <v>-</v>
      </c>
      <c r="R2" s="31" t="str">
        <f t="shared" si="2"/>
        <v>-</v>
      </c>
      <c r="S2" s="31">
        <f t="shared" ref="S2:S13" si="3">IFERROR(AVERAGEIFS($G:$G,$B:$B,$M2),"-")</f>
        <v>0.99672500000000031</v>
      </c>
      <c r="U2"/>
      <c r="V2" s="15"/>
      <c r="W2" s="473" t="s">
        <v>356</v>
      </c>
      <c r="X2" s="473" t="s">
        <v>705</v>
      </c>
      <c r="Y2" s="473" t="s">
        <v>706</v>
      </c>
      <c r="Z2" s="473" t="s">
        <v>43</v>
      </c>
      <c r="AA2" s="476" t="s">
        <v>707</v>
      </c>
      <c r="AB2" s="476" t="s">
        <v>708</v>
      </c>
      <c r="AC2" s="481" t="s">
        <v>709</v>
      </c>
      <c r="AD2" s="481" t="s">
        <v>710</v>
      </c>
      <c r="AE2" s="483" t="s">
        <v>58</v>
      </c>
    </row>
    <row r="3" spans="1:36">
      <c r="A3" s="487" t="str">
        <f>IFERROR(VLOOKUP($E3,RESOURCES!$C:$G,5,FALSE),"-")</f>
        <v>PASQUIN, Ryan</v>
      </c>
      <c r="B3" s="487" t="str">
        <f>IFERROR(VLOOKUP($E3,RESOURCES!$C:$G,4,FALSE),"-")</f>
        <v>REMULLA, Apple</v>
      </c>
      <c r="C3" s="489" t="s">
        <v>704</v>
      </c>
      <c r="D3" s="489" t="s">
        <v>445</v>
      </c>
      <c r="E3" s="489">
        <v>10072471</v>
      </c>
      <c r="F3" s="489" t="s">
        <v>614</v>
      </c>
      <c r="G3" s="490">
        <v>1</v>
      </c>
      <c r="H3" s="510">
        <v>0</v>
      </c>
      <c r="I3" s="70">
        <f t="shared" si="0"/>
        <v>1</v>
      </c>
      <c r="J3" s="71" t="str">
        <f t="shared" si="1"/>
        <v>resource</v>
      </c>
      <c r="L3" s="235">
        <v>10072502</v>
      </c>
      <c r="M3" s="664" t="s">
        <v>137</v>
      </c>
      <c r="N3" s="31" t="str">
        <f t="shared" si="2"/>
        <v>-</v>
      </c>
      <c r="O3" s="31" t="str">
        <f t="shared" si="2"/>
        <v>-</v>
      </c>
      <c r="P3" s="31" t="str">
        <f t="shared" si="2"/>
        <v>-</v>
      </c>
      <c r="Q3" s="31" t="str">
        <f t="shared" si="2"/>
        <v>-</v>
      </c>
      <c r="R3" s="31" t="str">
        <f t="shared" si="2"/>
        <v>-</v>
      </c>
      <c r="S3" s="31">
        <f t="shared" si="3"/>
        <v>0.99455769230769231</v>
      </c>
      <c r="U3"/>
      <c r="V3" s="15"/>
      <c r="W3" s="474"/>
      <c r="X3" s="474"/>
      <c r="Y3" s="474"/>
      <c r="Z3" s="474"/>
      <c r="AA3" s="477"/>
      <c r="AB3" s="477"/>
      <c r="AC3" s="477"/>
      <c r="AD3" s="477"/>
      <c r="AE3" s="477"/>
      <c r="AF3" s="2" t="s">
        <v>158</v>
      </c>
    </row>
    <row r="4" spans="1:36">
      <c r="A4" s="487" t="str">
        <f>IFERROR(VLOOKUP($E4,RESOURCES!$C:$G,5,FALSE),"-")</f>
        <v>PASQUIN, Ryan</v>
      </c>
      <c r="B4" s="487" t="str">
        <f>IFERROR(VLOOKUP($E4,RESOURCES!$C:$G,4,FALSE),"-")</f>
        <v>REMULLA, Apple</v>
      </c>
      <c r="C4" s="489" t="s">
        <v>704</v>
      </c>
      <c r="D4" s="489" t="s">
        <v>480</v>
      </c>
      <c r="E4" s="489">
        <v>10072182</v>
      </c>
      <c r="F4" s="489" t="s">
        <v>614</v>
      </c>
      <c r="G4" s="490">
        <v>1</v>
      </c>
      <c r="H4" s="510">
        <v>0</v>
      </c>
      <c r="I4" s="70">
        <f t="shared" si="0"/>
        <v>1</v>
      </c>
      <c r="J4" s="71" t="str">
        <f t="shared" si="1"/>
        <v>resource</v>
      </c>
      <c r="L4" s="235">
        <v>10070655</v>
      </c>
      <c r="M4" s="664" t="s">
        <v>84</v>
      </c>
      <c r="N4" s="31" t="str">
        <f t="shared" si="2"/>
        <v>-</v>
      </c>
      <c r="O4" s="31" t="str">
        <f t="shared" si="2"/>
        <v>-</v>
      </c>
      <c r="P4" s="31" t="str">
        <f t="shared" si="2"/>
        <v>-</v>
      </c>
      <c r="Q4" s="31" t="str">
        <f t="shared" si="2"/>
        <v>-</v>
      </c>
      <c r="R4" s="31" t="str">
        <f t="shared" si="2"/>
        <v>-</v>
      </c>
      <c r="S4" s="31">
        <f t="shared" si="3"/>
        <v>0.99573846153846146</v>
      </c>
      <c r="U4"/>
      <c r="V4" s="15"/>
      <c r="W4" s="475">
        <v>1</v>
      </c>
      <c r="X4" s="475">
        <v>10071429</v>
      </c>
      <c r="Y4" s="475" t="s">
        <v>453</v>
      </c>
      <c r="Z4" s="475" t="s">
        <v>158</v>
      </c>
      <c r="AA4" s="31"/>
      <c r="AB4" s="31"/>
      <c r="AC4" s="480">
        <v>1</v>
      </c>
      <c r="AD4" s="482" t="s">
        <v>14</v>
      </c>
      <c r="AE4" s="484">
        <f>AVERAGE(AC4:AD4)</f>
        <v>1</v>
      </c>
      <c r="AF4" s="766" t="s">
        <v>48</v>
      </c>
      <c r="AG4" s="478" t="s">
        <v>711</v>
      </c>
      <c r="AH4" s="767" t="s">
        <v>380</v>
      </c>
      <c r="AI4" s="768">
        <v>0.05</v>
      </c>
    </row>
    <row r="5" spans="1:36">
      <c r="A5" s="487" t="str">
        <f>IFERROR(VLOOKUP($E5,RESOURCES!$C:$G,5,FALSE),"-")</f>
        <v>PASQUIN, Ryan</v>
      </c>
      <c r="B5" s="487" t="str">
        <f>IFERROR(VLOOKUP($E5,RESOURCES!$C:$G,4,FALSE),"-")</f>
        <v>REMULLA, Apple</v>
      </c>
      <c r="C5" s="489" t="s">
        <v>704</v>
      </c>
      <c r="D5" s="489" t="s">
        <v>484</v>
      </c>
      <c r="E5" s="489">
        <v>10072222</v>
      </c>
      <c r="F5" s="489" t="s">
        <v>614</v>
      </c>
      <c r="G5" s="490">
        <v>0.9</v>
      </c>
      <c r="H5" s="510">
        <v>1</v>
      </c>
      <c r="I5" s="70">
        <f t="shared" si="0"/>
        <v>0.9</v>
      </c>
      <c r="J5" s="71" t="str">
        <f t="shared" si="1"/>
        <v>resource</v>
      </c>
      <c r="L5" s="235">
        <v>10070702</v>
      </c>
      <c r="M5" s="664" t="s">
        <v>264</v>
      </c>
      <c r="N5" s="31" t="str">
        <f t="shared" si="2"/>
        <v>-</v>
      </c>
      <c r="O5" s="31" t="str">
        <f t="shared" si="2"/>
        <v>-</v>
      </c>
      <c r="P5" s="31" t="str">
        <f t="shared" si="2"/>
        <v>-</v>
      </c>
      <c r="Q5" s="31" t="str">
        <f t="shared" si="2"/>
        <v>-</v>
      </c>
      <c r="R5" s="31" t="str">
        <f t="shared" si="2"/>
        <v>-</v>
      </c>
      <c r="S5" s="31" t="str">
        <f t="shared" si="3"/>
        <v>-</v>
      </c>
      <c r="U5"/>
      <c r="V5" s="15"/>
      <c r="W5" s="475">
        <v>2</v>
      </c>
      <c r="X5" s="475">
        <v>10072256</v>
      </c>
      <c r="Y5" s="475" t="s">
        <v>489</v>
      </c>
      <c r="Z5" s="475" t="s">
        <v>83</v>
      </c>
      <c r="AA5" s="31"/>
      <c r="AB5" s="31"/>
      <c r="AC5" s="480" t="s">
        <v>14</v>
      </c>
      <c r="AD5" s="482">
        <v>0.99519999999999997</v>
      </c>
      <c r="AE5" s="484">
        <f>AVERAGE(AC5:AD5)</f>
        <v>0.99519999999999997</v>
      </c>
      <c r="AF5" s="766"/>
      <c r="AG5" s="478" t="s">
        <v>712</v>
      </c>
      <c r="AH5" s="767"/>
      <c r="AI5" s="768"/>
    </row>
    <row r="6" spans="1:36">
      <c r="A6" s="487" t="str">
        <f>IFERROR(VLOOKUP($E6,RESOURCES!$C:$G,5,FALSE),"-")</f>
        <v>PASQUIN, Ryan</v>
      </c>
      <c r="B6" s="487" t="str">
        <f>IFERROR(VLOOKUP($E6,RESOURCES!$C:$G,4,FALSE),"-")</f>
        <v>REMULLA, Apple</v>
      </c>
      <c r="C6" s="489" t="s">
        <v>704</v>
      </c>
      <c r="D6" s="489" t="s">
        <v>493</v>
      </c>
      <c r="E6" s="489">
        <v>10072472</v>
      </c>
      <c r="F6" s="489" t="s">
        <v>614</v>
      </c>
      <c r="G6" s="490">
        <v>1</v>
      </c>
      <c r="H6" s="510">
        <v>0</v>
      </c>
      <c r="I6" s="70">
        <f t="shared" si="0"/>
        <v>1</v>
      </c>
      <c r="J6" s="71" t="str">
        <f t="shared" si="1"/>
        <v>resource</v>
      </c>
      <c r="L6" s="235">
        <v>10072072</v>
      </c>
      <c r="M6" s="664" t="s">
        <v>169</v>
      </c>
      <c r="N6" s="31" t="str">
        <f t="shared" si="2"/>
        <v>-</v>
      </c>
      <c r="O6" s="31" t="str">
        <f t="shared" si="2"/>
        <v>-</v>
      </c>
      <c r="P6" s="31" t="str">
        <f t="shared" si="2"/>
        <v>-</v>
      </c>
      <c r="Q6" s="31" t="str">
        <f t="shared" si="2"/>
        <v>-</v>
      </c>
      <c r="R6" s="31" t="str">
        <f t="shared" si="2"/>
        <v>-</v>
      </c>
      <c r="S6" s="31">
        <f t="shared" si="3"/>
        <v>0.99604285714285701</v>
      </c>
      <c r="U6"/>
      <c r="V6" s="15"/>
      <c r="W6" s="475">
        <v>3</v>
      </c>
      <c r="X6" s="475">
        <v>10072249</v>
      </c>
      <c r="Y6" s="475" t="s">
        <v>500</v>
      </c>
      <c r="Z6" s="475" t="s">
        <v>158</v>
      </c>
      <c r="AA6" s="31"/>
      <c r="AB6" s="31"/>
      <c r="AC6" s="480">
        <v>1</v>
      </c>
      <c r="AD6" s="482">
        <v>1</v>
      </c>
      <c r="AE6" s="484">
        <f>AVERAGE(AC6:AD6)</f>
        <v>1</v>
      </c>
      <c r="AF6" s="766"/>
      <c r="AG6" s="478" t="s">
        <v>713</v>
      </c>
      <c r="AH6" s="767"/>
      <c r="AI6" s="768">
        <v>0.05</v>
      </c>
    </row>
    <row r="7" spans="1:36">
      <c r="A7" s="487" t="str">
        <f>IFERROR(VLOOKUP($E7,RESOURCES!$C:$G,5,FALSE),"-")</f>
        <v>PASQUIN, Ryan</v>
      </c>
      <c r="B7" s="487" t="str">
        <f>IFERROR(VLOOKUP($E7,RESOURCES!$C:$G,4,FALSE),"-")</f>
        <v>REMULLA, Apple</v>
      </c>
      <c r="C7" s="489" t="s">
        <v>704</v>
      </c>
      <c r="D7" s="489" t="s">
        <v>512</v>
      </c>
      <c r="E7" s="489">
        <v>10072069</v>
      </c>
      <c r="F7" s="489" t="s">
        <v>614</v>
      </c>
      <c r="G7" s="490">
        <v>1</v>
      </c>
      <c r="H7" s="510">
        <v>0</v>
      </c>
      <c r="I7" s="70">
        <f t="shared" si="0"/>
        <v>1</v>
      </c>
      <c r="J7" s="71" t="str">
        <f t="shared" si="1"/>
        <v>resource</v>
      </c>
      <c r="L7" s="235">
        <v>10071099</v>
      </c>
      <c r="M7" s="664" t="s">
        <v>214</v>
      </c>
      <c r="N7" s="31" t="str">
        <f t="shared" si="2"/>
        <v>-</v>
      </c>
      <c r="O7" s="31" t="str">
        <f t="shared" si="2"/>
        <v>-</v>
      </c>
      <c r="P7" s="31" t="str">
        <f t="shared" si="2"/>
        <v>-</v>
      </c>
      <c r="Q7" s="31" t="str">
        <f t="shared" si="2"/>
        <v>-</v>
      </c>
      <c r="R7" s="31" t="str">
        <f t="shared" si="2"/>
        <v>-</v>
      </c>
      <c r="S7" s="31">
        <f t="shared" si="3"/>
        <v>0.9977499999999998</v>
      </c>
      <c r="U7"/>
      <c r="V7" s="15"/>
      <c r="W7" s="475">
        <v>4</v>
      </c>
      <c r="X7" s="475">
        <v>10071201</v>
      </c>
      <c r="Y7" s="475" t="s">
        <v>431</v>
      </c>
      <c r="Z7" s="475" t="s">
        <v>83</v>
      </c>
      <c r="AA7" s="31"/>
      <c r="AB7" s="31"/>
      <c r="AC7" s="480" t="s">
        <v>14</v>
      </c>
      <c r="AD7" s="482">
        <v>0.99280000000000002</v>
      </c>
      <c r="AE7" s="484">
        <f>AVERAGE(AC7:AD7)</f>
        <v>0.99280000000000002</v>
      </c>
      <c r="AF7" s="766"/>
      <c r="AG7" s="478" t="s">
        <v>714</v>
      </c>
      <c r="AH7" s="767"/>
      <c r="AI7" s="768"/>
    </row>
    <row r="8" spans="1:36">
      <c r="A8" s="487" t="str">
        <f>IFERROR(VLOOKUP($E8,RESOURCES!$C:$G,5,FALSE),"-")</f>
        <v>PASQUIN, Ryan</v>
      </c>
      <c r="B8" s="487" t="str">
        <f>IFERROR(VLOOKUP($E8,RESOURCES!$C:$G,4,FALSE),"-")</f>
        <v>REMULLA, Apple</v>
      </c>
      <c r="C8" s="489" t="s">
        <v>704</v>
      </c>
      <c r="D8" s="489" t="s">
        <v>517</v>
      </c>
      <c r="E8" s="489">
        <v>10072097</v>
      </c>
      <c r="F8" s="489" t="s">
        <v>614</v>
      </c>
      <c r="G8" s="490">
        <v>1</v>
      </c>
      <c r="H8" s="510">
        <v>0</v>
      </c>
      <c r="I8" s="70">
        <f t="shared" si="0"/>
        <v>1</v>
      </c>
      <c r="J8" s="71" t="str">
        <f t="shared" si="1"/>
        <v>resource</v>
      </c>
      <c r="L8" s="235">
        <v>10071309</v>
      </c>
      <c r="M8" s="664" t="s">
        <v>200</v>
      </c>
      <c r="N8" s="31" t="str">
        <f t="shared" si="2"/>
        <v>-</v>
      </c>
      <c r="O8" s="31" t="str">
        <f t="shared" si="2"/>
        <v>-</v>
      </c>
      <c r="P8" s="31" t="str">
        <f t="shared" si="2"/>
        <v>-</v>
      </c>
      <c r="Q8" s="31" t="str">
        <f t="shared" si="2"/>
        <v>-</v>
      </c>
      <c r="R8" s="31" t="str">
        <f t="shared" si="2"/>
        <v>-</v>
      </c>
      <c r="S8" s="31">
        <f t="shared" si="3"/>
        <v>0.99670769230769229</v>
      </c>
      <c r="U8"/>
      <c r="V8" s="15"/>
      <c r="W8"/>
      <c r="X8"/>
      <c r="Y8"/>
      <c r="Z8"/>
      <c r="AA8"/>
      <c r="AB8"/>
      <c r="AC8"/>
      <c r="AD8"/>
      <c r="AE8"/>
    </row>
    <row r="9" spans="1:36">
      <c r="A9" s="487" t="str">
        <f>IFERROR(VLOOKUP($E9,RESOURCES!$C:$G,5,FALSE),"-")</f>
        <v>PASQUIN, Ryan</v>
      </c>
      <c r="B9" s="487" t="str">
        <f>IFERROR(VLOOKUP($E9,RESOURCES!$C:$G,4,FALSE),"-")</f>
        <v>REMULLA, Apple</v>
      </c>
      <c r="C9" s="489" t="s">
        <v>704</v>
      </c>
      <c r="D9" s="489" t="s">
        <v>521</v>
      </c>
      <c r="E9" s="489">
        <v>10072077</v>
      </c>
      <c r="F9" s="489" t="s">
        <v>614</v>
      </c>
      <c r="G9" s="490">
        <v>0.9</v>
      </c>
      <c r="H9" s="510">
        <v>1</v>
      </c>
      <c r="I9" s="70">
        <f t="shared" si="0"/>
        <v>0.9</v>
      </c>
      <c r="J9" s="71" t="str">
        <f t="shared" si="1"/>
        <v>resource</v>
      </c>
      <c r="L9" s="235">
        <v>10072501</v>
      </c>
      <c r="M9" s="664" t="s">
        <v>186</v>
      </c>
      <c r="N9" s="31" t="str">
        <f t="shared" si="2"/>
        <v>-</v>
      </c>
      <c r="O9" s="31" t="str">
        <f t="shared" si="2"/>
        <v>-</v>
      </c>
      <c r="P9" s="31" t="str">
        <f t="shared" si="2"/>
        <v>-</v>
      </c>
      <c r="Q9" s="31" t="str">
        <f t="shared" si="2"/>
        <v>-</v>
      </c>
      <c r="R9" s="31" t="str">
        <f t="shared" si="2"/>
        <v>-</v>
      </c>
      <c r="S9" s="31">
        <f t="shared" si="3"/>
        <v>0.99867307692307705</v>
      </c>
      <c r="U9"/>
      <c r="V9" s="15"/>
      <c r="W9"/>
      <c r="X9"/>
      <c r="Y9"/>
      <c r="AF9" s="2" t="s">
        <v>165</v>
      </c>
    </row>
    <row r="10" spans="1:36">
      <c r="A10" s="487" t="str">
        <f>IFERROR(VLOOKUP($E10,RESOURCES!$C:$G,5,FALSE),"-")</f>
        <v>PASQUIN, Ryan</v>
      </c>
      <c r="B10" s="487" t="str">
        <f>IFERROR(VLOOKUP($E10,RESOURCES!$C:$G,4,FALSE),"-")</f>
        <v>REMULLA, Apple</v>
      </c>
      <c r="C10" s="489" t="s">
        <v>704</v>
      </c>
      <c r="D10" s="489" t="s">
        <v>527</v>
      </c>
      <c r="E10" s="489">
        <v>10071617</v>
      </c>
      <c r="F10" s="489" t="s">
        <v>614</v>
      </c>
      <c r="G10" s="490">
        <v>1</v>
      </c>
      <c r="H10" s="510">
        <v>0</v>
      </c>
      <c r="I10" s="70">
        <f t="shared" si="0"/>
        <v>1</v>
      </c>
      <c r="J10" s="71" t="str">
        <f t="shared" si="1"/>
        <v>resource</v>
      </c>
      <c r="L10" s="235">
        <v>10071256</v>
      </c>
      <c r="M10" s="664" t="s">
        <v>227</v>
      </c>
      <c r="N10" s="31" t="str">
        <f t="shared" si="2"/>
        <v>-</v>
      </c>
      <c r="O10" s="31" t="str">
        <f t="shared" si="2"/>
        <v>-</v>
      </c>
      <c r="P10" s="31" t="str">
        <f t="shared" si="2"/>
        <v>-</v>
      </c>
      <c r="Q10" s="31" t="str">
        <f t="shared" si="2"/>
        <v>-</v>
      </c>
      <c r="R10" s="31" t="str">
        <f t="shared" si="2"/>
        <v>-</v>
      </c>
      <c r="S10" s="31">
        <f t="shared" si="3"/>
        <v>1</v>
      </c>
      <c r="U10"/>
      <c r="V10" s="15"/>
      <c r="W10" s="472" t="s">
        <v>715</v>
      </c>
      <c r="X10"/>
      <c r="Y10"/>
      <c r="AF10" s="769" t="s">
        <v>48</v>
      </c>
      <c r="AG10" s="180" t="s">
        <v>716</v>
      </c>
      <c r="AH10" s="772" t="s">
        <v>717</v>
      </c>
      <c r="AI10" s="772"/>
      <c r="AJ10" s="668">
        <v>0.05</v>
      </c>
    </row>
    <row r="11" spans="1:36">
      <c r="A11" s="487" t="str">
        <f>IFERROR(VLOOKUP($E11,RESOURCES!$C:$G,5,FALSE),"-")</f>
        <v>PASQUIN, Ryan</v>
      </c>
      <c r="B11" s="487" t="str">
        <f>IFERROR(VLOOKUP($E11,RESOURCES!$C:$G,4,FALSE),"-")</f>
        <v>REMULLA, Apple</v>
      </c>
      <c r="C11" s="489" t="s">
        <v>704</v>
      </c>
      <c r="D11" s="489" t="s">
        <v>528</v>
      </c>
      <c r="E11" s="489">
        <v>10072215</v>
      </c>
      <c r="F11" s="489" t="s">
        <v>614</v>
      </c>
      <c r="G11" s="490">
        <v>1</v>
      </c>
      <c r="H11" s="510">
        <v>0</v>
      </c>
      <c r="I11" s="70">
        <f t="shared" si="0"/>
        <v>1</v>
      </c>
      <c r="J11" s="71" t="str">
        <f t="shared" si="1"/>
        <v>resource</v>
      </c>
      <c r="L11" s="235">
        <v>10071245</v>
      </c>
      <c r="M11" s="664" t="s">
        <v>124</v>
      </c>
      <c r="N11" s="31" t="str">
        <f t="shared" si="2"/>
        <v>-</v>
      </c>
      <c r="O11" s="31" t="str">
        <f t="shared" si="2"/>
        <v>-</v>
      </c>
      <c r="P11" s="31" t="str">
        <f t="shared" si="2"/>
        <v>-</v>
      </c>
      <c r="Q11" s="31" t="str">
        <f t="shared" si="2"/>
        <v>-</v>
      </c>
      <c r="R11" s="31" t="str">
        <f t="shared" si="2"/>
        <v>-</v>
      </c>
      <c r="S11" s="31">
        <f t="shared" si="3"/>
        <v>1</v>
      </c>
      <c r="U11"/>
      <c r="V11" s="15"/>
      <c r="W11" s="473" t="s">
        <v>356</v>
      </c>
      <c r="X11" s="473" t="s">
        <v>705</v>
      </c>
      <c r="Y11" s="473" t="s">
        <v>706</v>
      </c>
      <c r="Z11" s="473" t="s">
        <v>43</v>
      </c>
      <c r="AA11" s="476" t="s">
        <v>718</v>
      </c>
      <c r="AB11" s="476" t="s">
        <v>710</v>
      </c>
      <c r="AC11" s="483" t="s">
        <v>58</v>
      </c>
      <c r="AF11" s="770"/>
      <c r="AG11" s="180" t="s">
        <v>713</v>
      </c>
      <c r="AH11" s="772" t="s">
        <v>717</v>
      </c>
      <c r="AI11" s="772"/>
      <c r="AJ11" s="765">
        <v>0.05</v>
      </c>
    </row>
    <row r="12" spans="1:36">
      <c r="A12" s="487" t="str">
        <f>IFERROR(VLOOKUP($E12,RESOURCES!$C:$G,5,FALSE),"-")</f>
        <v>PASQUIN, Ryan</v>
      </c>
      <c r="B12" s="487" t="str">
        <f>IFERROR(VLOOKUP($E12,RESOURCES!$C:$G,4,FALSE),"-")</f>
        <v>REMULLA, Apple</v>
      </c>
      <c r="C12" s="489" t="s">
        <v>704</v>
      </c>
      <c r="D12" s="489" t="s">
        <v>536</v>
      </c>
      <c r="E12" s="489">
        <v>10072213</v>
      </c>
      <c r="F12" s="489" t="s">
        <v>614</v>
      </c>
      <c r="G12" s="490">
        <v>0.9</v>
      </c>
      <c r="H12" s="510">
        <v>1</v>
      </c>
      <c r="I12" s="70">
        <f t="shared" si="0"/>
        <v>0.9</v>
      </c>
      <c r="J12" s="71" t="str">
        <f t="shared" si="1"/>
        <v>resource</v>
      </c>
      <c r="L12" s="235">
        <v>10070828</v>
      </c>
      <c r="M12" s="664" t="s">
        <v>105</v>
      </c>
      <c r="N12" s="31" t="str">
        <f t="shared" si="2"/>
        <v>-</v>
      </c>
      <c r="O12" s="31" t="str">
        <f t="shared" si="2"/>
        <v>-</v>
      </c>
      <c r="P12" s="31" t="str">
        <f t="shared" si="2"/>
        <v>-</v>
      </c>
      <c r="Q12" s="31" t="str">
        <f t="shared" si="2"/>
        <v>-</v>
      </c>
      <c r="R12" s="31" t="str">
        <f t="shared" si="2"/>
        <v>-</v>
      </c>
      <c r="S12" s="31">
        <f t="shared" si="3"/>
        <v>0.98125000000000007</v>
      </c>
      <c r="T12" s="630">
        <f>SUM(H2:H600)</f>
        <v>3</v>
      </c>
      <c r="U12" s="393">
        <f>IF(T12&lt;=1,100%,IF(T12&lt;=2,90%,IF(T12&lt;=3,80%,IF(T12&lt;=4,75%,IF(T12&lt;=5,70%,IF(T12&lt;=6,65%,IF(T12&lt;=7,60%,0%)))))))</f>
        <v>0.8</v>
      </c>
      <c r="V12" s="15"/>
      <c r="W12" s="474"/>
      <c r="X12" s="474"/>
      <c r="Y12" s="474"/>
      <c r="Z12" s="474"/>
      <c r="AA12" s="477"/>
      <c r="AB12" s="477"/>
      <c r="AC12" s="477"/>
      <c r="AF12" s="771"/>
      <c r="AG12" s="180" t="s">
        <v>714</v>
      </c>
      <c r="AH12" s="772"/>
      <c r="AI12" s="772"/>
      <c r="AJ12" s="765"/>
    </row>
    <row r="13" spans="1:36">
      <c r="A13" s="487" t="str">
        <f>IFERROR(VLOOKUP($E13,RESOURCES!$C:$G,5,FALSE),"-")</f>
        <v>PASQUIN, Ryan</v>
      </c>
      <c r="B13" s="487" t="str">
        <f>IFERROR(VLOOKUP($E13,RESOURCES!$C:$G,4,FALSE),"-")</f>
        <v>REMULLA, Apple</v>
      </c>
      <c r="C13" s="489" t="s">
        <v>704</v>
      </c>
      <c r="D13" s="489" t="s">
        <v>550</v>
      </c>
      <c r="E13" s="489">
        <v>10071055</v>
      </c>
      <c r="F13" s="489" t="s">
        <v>614</v>
      </c>
      <c r="G13" s="490">
        <v>1</v>
      </c>
      <c r="H13" s="510">
        <v>0</v>
      </c>
      <c r="I13" s="70">
        <f t="shared" si="0"/>
        <v>1</v>
      </c>
      <c r="J13" s="71" t="str">
        <f t="shared" si="1"/>
        <v>resource</v>
      </c>
      <c r="L13" s="235">
        <v>10071492</v>
      </c>
      <c r="M13" s="664" t="s">
        <v>241</v>
      </c>
      <c r="N13" s="31" t="str">
        <f t="shared" si="2"/>
        <v>-</v>
      </c>
      <c r="O13" s="31" t="str">
        <f t="shared" si="2"/>
        <v>-</v>
      </c>
      <c r="P13" s="31" t="str">
        <f t="shared" si="2"/>
        <v>-</v>
      </c>
      <c r="Q13" s="31" t="str">
        <f t="shared" si="2"/>
        <v>-</v>
      </c>
      <c r="R13" s="31" t="str">
        <f t="shared" si="2"/>
        <v>-</v>
      </c>
      <c r="S13" s="31">
        <f t="shared" si="3"/>
        <v>0.99062500000000009</v>
      </c>
      <c r="U13"/>
      <c r="V13" s="15"/>
      <c r="W13" s="475">
        <v>1</v>
      </c>
      <c r="X13" s="475">
        <v>10072516</v>
      </c>
      <c r="Y13" s="475" t="s">
        <v>503</v>
      </c>
      <c r="Z13" s="475" t="s">
        <v>165</v>
      </c>
      <c r="AA13" s="31">
        <v>1</v>
      </c>
      <c r="AB13" s="581">
        <v>0.99350000000000005</v>
      </c>
      <c r="AC13" s="561">
        <f>AVERAGE(AA13:AB13)</f>
        <v>0.99675000000000002</v>
      </c>
    </row>
    <row r="14" spans="1:36">
      <c r="A14" s="487" t="str">
        <f>IFERROR(VLOOKUP($E14,RESOURCES!$C:$G,5,FALSE),"-")</f>
        <v>PASQUIN, Ryan</v>
      </c>
      <c r="B14" s="487" t="str">
        <f>IFERROR(VLOOKUP($E14,RESOURCES!$C:$G,4,FALSE),"-")</f>
        <v>REMULLA, Apple</v>
      </c>
      <c r="C14" s="489" t="s">
        <v>704</v>
      </c>
      <c r="D14" s="489" t="s">
        <v>552</v>
      </c>
      <c r="E14" s="489">
        <v>10070996</v>
      </c>
      <c r="F14" s="489" t="s">
        <v>614</v>
      </c>
      <c r="G14" s="490">
        <v>1</v>
      </c>
      <c r="H14" s="510">
        <v>0</v>
      </c>
      <c r="I14" s="70">
        <f t="shared" si="0"/>
        <v>1</v>
      </c>
      <c r="J14" s="71" t="str">
        <f t="shared" si="1"/>
        <v>resource</v>
      </c>
      <c r="U14"/>
      <c r="V14"/>
      <c r="W14" s="475">
        <v>2</v>
      </c>
      <c r="X14" s="475">
        <v>10071322</v>
      </c>
      <c r="Y14" s="475" t="s">
        <v>449</v>
      </c>
      <c r="Z14" s="475" t="s">
        <v>719</v>
      </c>
      <c r="AA14" s="31">
        <v>1</v>
      </c>
      <c r="AB14" s="581" t="s">
        <v>14</v>
      </c>
      <c r="AC14" s="561">
        <f>AVERAGE(AA14:AB14)</f>
        <v>1</v>
      </c>
    </row>
    <row r="15" spans="1:36">
      <c r="A15" s="487" t="str">
        <f>IFERROR(VLOOKUP($E15,RESOURCES!$C:$G,5,FALSE),"-")</f>
        <v>PASQUIN, Ryan</v>
      </c>
      <c r="B15" s="487" t="str">
        <f>IFERROR(VLOOKUP($E15,RESOURCES!$C:$G,4,FALSE),"-")</f>
        <v>REMULLA, Apple</v>
      </c>
      <c r="C15" s="489" t="s">
        <v>704</v>
      </c>
      <c r="D15" s="489" t="s">
        <v>120</v>
      </c>
      <c r="E15" s="489">
        <v>10071355</v>
      </c>
      <c r="F15" s="489" t="s">
        <v>614</v>
      </c>
      <c r="G15" s="490">
        <v>1</v>
      </c>
      <c r="H15" s="510">
        <v>0</v>
      </c>
      <c r="I15" s="70">
        <f t="shared" si="0"/>
        <v>1</v>
      </c>
      <c r="J15" s="71" t="str">
        <f t="shared" si="1"/>
        <v>resource</v>
      </c>
      <c r="U15"/>
      <c r="V15"/>
      <c r="W15" s="475">
        <v>3</v>
      </c>
      <c r="X15" s="475">
        <v>10072440</v>
      </c>
      <c r="Y15" s="475" t="s">
        <v>720</v>
      </c>
      <c r="Z15" s="475" t="s">
        <v>165</v>
      </c>
      <c r="AA15" s="31">
        <v>0.96840000000000004</v>
      </c>
      <c r="AB15" s="581" t="s">
        <v>14</v>
      </c>
      <c r="AC15" s="561">
        <f>AVERAGE(AA15:AB15)</f>
        <v>0.96840000000000004</v>
      </c>
    </row>
    <row r="16" spans="1:36">
      <c r="A16" s="487" t="str">
        <f>IFERROR(VLOOKUP($E16,RESOURCES!$C:$G,5,FALSE),"-")</f>
        <v>PASQUIN, Ryan</v>
      </c>
      <c r="B16" s="487" t="str">
        <f>IFERROR(VLOOKUP($E16,RESOURCES!$C:$G,4,FALSE),"-")</f>
        <v>REMULLA, Apple</v>
      </c>
      <c r="C16" s="489" t="s">
        <v>704</v>
      </c>
      <c r="D16" s="489" t="s">
        <v>121</v>
      </c>
      <c r="E16" s="489">
        <v>10072007</v>
      </c>
      <c r="F16" s="489" t="s">
        <v>614</v>
      </c>
      <c r="G16" s="490">
        <v>1</v>
      </c>
      <c r="H16" s="510">
        <v>0</v>
      </c>
      <c r="I16" s="70">
        <f t="shared" si="0"/>
        <v>1</v>
      </c>
      <c r="J16" s="71" t="str">
        <f t="shared" si="1"/>
        <v>resource</v>
      </c>
      <c r="M16" s="237" t="s">
        <v>608</v>
      </c>
      <c r="N16" s="237">
        <f t="shared" ref="N16:S16" si="4">N$1</f>
        <v>1</v>
      </c>
      <c r="O16" s="237">
        <f t="shared" si="4"/>
        <v>2</v>
      </c>
      <c r="P16" s="237">
        <f t="shared" si="4"/>
        <v>3</v>
      </c>
      <c r="Q16" s="237">
        <f t="shared" si="4"/>
        <v>4</v>
      </c>
      <c r="R16" s="237">
        <f t="shared" si="4"/>
        <v>5</v>
      </c>
      <c r="S16" s="237" t="str">
        <f t="shared" si="4"/>
        <v>MTD</v>
      </c>
      <c r="U16"/>
      <c r="V16"/>
      <c r="W16"/>
      <c r="X16"/>
      <c r="Y16"/>
      <c r="Z16"/>
      <c r="AA16"/>
      <c r="AB16"/>
      <c r="AC16"/>
    </row>
    <row r="17" spans="1:25">
      <c r="A17" s="487" t="str">
        <f>IFERROR(VLOOKUP($E17,RESOURCES!$C:$G,5,FALSE),"-")</f>
        <v>PASQUIN, Ryan</v>
      </c>
      <c r="B17" s="487" t="str">
        <f>IFERROR(VLOOKUP($E17,RESOURCES!$C:$G,4,FALSE),"-")</f>
        <v>REMULLA, Apple</v>
      </c>
      <c r="C17" s="489" t="s">
        <v>704</v>
      </c>
      <c r="D17" s="489" t="s">
        <v>558</v>
      </c>
      <c r="E17" s="489">
        <v>10072184</v>
      </c>
      <c r="F17" s="489" t="s">
        <v>614</v>
      </c>
      <c r="G17" s="490">
        <v>1</v>
      </c>
      <c r="H17" s="510">
        <v>0</v>
      </c>
      <c r="I17" s="70">
        <f t="shared" si="0"/>
        <v>1</v>
      </c>
      <c r="J17" s="71" t="str">
        <f t="shared" si="1"/>
        <v>resource</v>
      </c>
      <c r="L17" s="235">
        <v>10072003</v>
      </c>
      <c r="M17" s="664" t="s">
        <v>85</v>
      </c>
      <c r="N17" s="31" t="str">
        <f t="shared" ref="N17:R19" si="5">IFERROR(AVERAGEIFS($G:$G,$A:$A,$M17,$F:$F,N$1),"-")</f>
        <v>-</v>
      </c>
      <c r="O17" s="31" t="str">
        <f t="shared" si="5"/>
        <v>-</v>
      </c>
      <c r="P17" s="31" t="str">
        <f t="shared" si="5"/>
        <v>-</v>
      </c>
      <c r="Q17" s="31" t="str">
        <f t="shared" si="5"/>
        <v>-</v>
      </c>
      <c r="R17" s="31" t="str">
        <f t="shared" si="5"/>
        <v>-</v>
      </c>
      <c r="S17" s="31">
        <f>IFERROR(AVERAGEIFS($G:$G,$A:$A,$M17),"-")</f>
        <v>0.99569999999999992</v>
      </c>
      <c r="U17"/>
      <c r="V17" s="15"/>
      <c r="W17"/>
      <c r="X17"/>
      <c r="Y17"/>
    </row>
    <row r="18" spans="1:25">
      <c r="A18" s="487" t="str">
        <f>IFERROR(VLOOKUP($E18,RESOURCES!$C:$G,5,FALSE),"-")</f>
        <v>TAGUILASO, Daryl</v>
      </c>
      <c r="B18" s="487" t="str">
        <f>IFERROR(VLOOKUP($E18,RESOURCES!$C:$G,4,FALSE),"-")</f>
        <v>DE LOS SANTOS, Richard</v>
      </c>
      <c r="C18" s="489" t="s">
        <v>158</v>
      </c>
      <c r="D18" s="489" t="s">
        <v>453</v>
      </c>
      <c r="E18" s="489">
        <v>10071429</v>
      </c>
      <c r="F18" s="489" t="s">
        <v>614</v>
      </c>
      <c r="G18" s="490">
        <v>1</v>
      </c>
      <c r="H18" s="462"/>
      <c r="I18" s="70">
        <f t="shared" si="0"/>
        <v>1</v>
      </c>
      <c r="J18" s="71" t="str">
        <f t="shared" si="1"/>
        <v>resource</v>
      </c>
      <c r="L18" s="235">
        <v>10071937</v>
      </c>
      <c r="M18" s="664" t="s">
        <v>106</v>
      </c>
      <c r="N18" s="31" t="str">
        <f t="shared" si="5"/>
        <v>-</v>
      </c>
      <c r="O18" s="31" t="str">
        <f t="shared" si="5"/>
        <v>-</v>
      </c>
      <c r="P18" s="31" t="str">
        <f t="shared" si="5"/>
        <v>-</v>
      </c>
      <c r="Q18" s="31" t="str">
        <f t="shared" si="5"/>
        <v>-</v>
      </c>
      <c r="R18" s="31" t="str">
        <f t="shared" si="5"/>
        <v>-</v>
      </c>
      <c r="S18" s="31">
        <f>IFERROR(AVERAGEIFS($G:$G,$A:$A,$M18),"-")</f>
        <v>0.99103260869565213</v>
      </c>
      <c r="U18"/>
      <c r="V18" s="15"/>
      <c r="W18"/>
      <c r="X18"/>
      <c r="Y18"/>
    </row>
    <row r="19" spans="1:25">
      <c r="A19" s="487" t="str">
        <f>IFERROR(VLOOKUP($E19,RESOURCES!$C:$G,5,FALSE),"-")</f>
        <v>TAGUILASO, Daryl</v>
      </c>
      <c r="B19" s="487" t="str">
        <f>IFERROR(VLOOKUP($E19,RESOURCES!$C:$G,4,FALSE),"-")</f>
        <v>DE LOS SANTOS, Richard</v>
      </c>
      <c r="C19" s="489" t="s">
        <v>83</v>
      </c>
      <c r="D19" s="489" t="s">
        <v>489</v>
      </c>
      <c r="E19" s="489">
        <v>10072256</v>
      </c>
      <c r="F19" s="489" t="s">
        <v>614</v>
      </c>
      <c r="G19" s="490">
        <v>0.99934999999999996</v>
      </c>
      <c r="H19" s="462"/>
      <c r="I19" s="70">
        <f t="shared" si="0"/>
        <v>0.99934999999999996</v>
      </c>
      <c r="J19" s="71" t="str">
        <f t="shared" si="1"/>
        <v>resource</v>
      </c>
      <c r="L19" s="235">
        <v>7010609</v>
      </c>
      <c r="M19" s="664" t="s">
        <v>170</v>
      </c>
      <c r="N19" s="31" t="str">
        <f t="shared" si="5"/>
        <v>-</v>
      </c>
      <c r="O19" s="31" t="str">
        <f t="shared" si="5"/>
        <v>-</v>
      </c>
      <c r="P19" s="31" t="str">
        <f t="shared" si="5"/>
        <v>-</v>
      </c>
      <c r="Q19" s="31" t="str">
        <f t="shared" si="5"/>
        <v>-</v>
      </c>
      <c r="R19" s="31" t="str">
        <f t="shared" si="5"/>
        <v>-</v>
      </c>
      <c r="S19" s="31">
        <f>IFERROR(AVERAGEIFS($G:$G,$A:$A,$M19),"-")</f>
        <v>0.99726057692307701</v>
      </c>
      <c r="U19"/>
      <c r="V19" s="15"/>
      <c r="W19"/>
      <c r="X19"/>
      <c r="Y19"/>
    </row>
    <row r="20" spans="1:25">
      <c r="A20" s="487" t="str">
        <f>IFERROR(VLOOKUP($E20,RESOURCES!$C:$G,5,FALSE),"-")</f>
        <v>MENDOZA, Carlo</v>
      </c>
      <c r="B20" s="487" t="str">
        <f>IFERROR(VLOOKUP($E20,RESOURCES!$C:$G,4,FALSE),"-")</f>
        <v>JAYAWON, Franklin</v>
      </c>
      <c r="C20" s="489" t="s">
        <v>158</v>
      </c>
      <c r="D20" s="489" t="s">
        <v>500</v>
      </c>
      <c r="E20" s="489">
        <v>10072249</v>
      </c>
      <c r="F20" s="489" t="s">
        <v>614</v>
      </c>
      <c r="G20" s="490">
        <v>0.99690000000000001</v>
      </c>
      <c r="H20" s="462"/>
      <c r="I20" s="70">
        <f t="shared" si="0"/>
        <v>0.99690000000000001</v>
      </c>
      <c r="J20" s="71" t="str">
        <f t="shared" si="1"/>
        <v>resource</v>
      </c>
      <c r="U20"/>
      <c r="V20" s="15"/>
      <c r="W20"/>
      <c r="X20"/>
      <c r="Y20"/>
    </row>
    <row r="21" spans="1:25">
      <c r="A21" s="487" t="str">
        <f>IFERROR(VLOOKUP($E21,RESOURCES!$C:$G,5,FALSE),"-")</f>
        <v>MENDOZA, Carlo</v>
      </c>
      <c r="B21" s="487" t="str">
        <f>IFERROR(VLOOKUP($E21,RESOURCES!$C:$G,4,FALSE),"-")</f>
        <v>JAYAWON, Franklin</v>
      </c>
      <c r="C21" s="489" t="s">
        <v>83</v>
      </c>
      <c r="D21" s="489" t="s">
        <v>431</v>
      </c>
      <c r="E21" s="489">
        <v>10071201</v>
      </c>
      <c r="F21" s="489" t="s">
        <v>614</v>
      </c>
      <c r="G21" s="490">
        <v>0.99544999999999995</v>
      </c>
      <c r="H21" s="462"/>
      <c r="I21" s="70">
        <f t="shared" si="0"/>
        <v>0.99544999999999995</v>
      </c>
      <c r="J21" s="71" t="str">
        <f t="shared" si="1"/>
        <v>resource</v>
      </c>
      <c r="N21" s="240">
        <f t="shared" ref="N21:S21" si="6">N$1</f>
        <v>1</v>
      </c>
      <c r="O21" s="240">
        <f t="shared" si="6"/>
        <v>2</v>
      </c>
      <c r="P21" s="240">
        <f t="shared" si="6"/>
        <v>3</v>
      </c>
      <c r="Q21" s="240">
        <f t="shared" si="6"/>
        <v>4</v>
      </c>
      <c r="R21" s="240">
        <f t="shared" si="6"/>
        <v>5</v>
      </c>
      <c r="S21" s="240" t="str">
        <f t="shared" si="6"/>
        <v>MTD</v>
      </c>
      <c r="U21"/>
      <c r="V21" s="15"/>
      <c r="W21"/>
      <c r="X21"/>
      <c r="Y21"/>
    </row>
    <row r="22" spans="1:25">
      <c r="A22" s="487" t="str">
        <f>IFERROR(VLOOKUP($E22,RESOURCES!$C:$G,5,FALSE),"-")</f>
        <v>TAGUILASO, Daryl</v>
      </c>
      <c r="B22" s="487" t="str">
        <f>IFERROR(VLOOKUP($E22,RESOURCES!$C:$G,4,FALSE),"-")</f>
        <v>DE LOS SANTOS, Richard</v>
      </c>
      <c r="C22" s="489" t="s">
        <v>165</v>
      </c>
      <c r="D22" s="489" t="s">
        <v>503</v>
      </c>
      <c r="E22" s="489">
        <v>10072516</v>
      </c>
      <c r="F22" s="489" t="s">
        <v>614</v>
      </c>
      <c r="G22" s="490">
        <v>0.99890000000000001</v>
      </c>
      <c r="H22" s="462"/>
      <c r="I22" s="70">
        <f t="shared" si="0"/>
        <v>0.99890000000000001</v>
      </c>
      <c r="J22" s="71" t="str">
        <f t="shared" si="1"/>
        <v>resource</v>
      </c>
      <c r="M22" s="238" t="s">
        <v>274</v>
      </c>
      <c r="N22" s="239" t="str">
        <f>IFERROR(AVERAGEIFS($G:$G,$F:$F,N$1),"-")</f>
        <v>-</v>
      </c>
      <c r="O22" s="239" t="str">
        <f>IFERROR(AVERAGEIFS($G:$G,$F:$F,O$1),"-")</f>
        <v>-</v>
      </c>
      <c r="P22" s="239" t="str">
        <f>IFERROR(AVERAGEIFS($G:$G,$F:$F,P$1),"-")</f>
        <v>-</v>
      </c>
      <c r="Q22" s="239" t="str">
        <f>IFERROR(AVERAGEIFS($G:$G,$F:$F,Q$1),"-")</f>
        <v>-</v>
      </c>
      <c r="R22" s="239" t="str">
        <f>IFERROR(AVERAGEIFS($G:$G,$F:$F,R$1),"-")</f>
        <v>-</v>
      </c>
      <c r="S22" s="239">
        <f>IFERROR(AVERAGE($G:$G),"-")</f>
        <v>0.99473224637681146</v>
      </c>
      <c r="U22"/>
      <c r="V22" s="15"/>
      <c r="W22"/>
      <c r="X22"/>
      <c r="Y22"/>
    </row>
    <row r="23" spans="1:25">
      <c r="A23" s="487" t="str">
        <f>IFERROR(VLOOKUP($E23,RESOURCES!$C:$G,5,FALSE),"-")</f>
        <v>TAGUILASO, Daryl</v>
      </c>
      <c r="B23" s="487" t="str">
        <f>IFERROR(VLOOKUP($E23,RESOURCES!$C:$G,4,FALSE),"-")</f>
        <v>DE LOS SANTOS, Richard</v>
      </c>
      <c r="C23" s="489" t="s">
        <v>719</v>
      </c>
      <c r="D23" s="489" t="s">
        <v>449</v>
      </c>
      <c r="E23" s="489">
        <v>10071322</v>
      </c>
      <c r="F23" s="489" t="s">
        <v>614</v>
      </c>
      <c r="G23" s="490">
        <v>1</v>
      </c>
      <c r="H23" s="462"/>
      <c r="I23" s="70">
        <f t="shared" si="0"/>
        <v>1</v>
      </c>
      <c r="J23" s="71" t="str">
        <f t="shared" si="1"/>
        <v>resource</v>
      </c>
      <c r="U23"/>
      <c r="V23"/>
      <c r="W23"/>
      <c r="X23"/>
      <c r="Y23"/>
    </row>
    <row r="24" spans="1:25">
      <c r="A24" s="487" t="str">
        <f>IFERROR(VLOOKUP($E24,RESOURCES!$C:$G,5,FALSE),"-")</f>
        <v>MENDOZA, Carlo</v>
      </c>
      <c r="B24" s="487" t="str">
        <f>IFERROR(VLOOKUP($E24,RESOURCES!$C:$G,4,FALSE),"-")</f>
        <v>JAYAWON, Franklin</v>
      </c>
      <c r="C24" s="489" t="s">
        <v>165</v>
      </c>
      <c r="D24" s="489" t="s">
        <v>720</v>
      </c>
      <c r="E24" s="489">
        <v>10072440</v>
      </c>
      <c r="F24" s="489" t="s">
        <v>614</v>
      </c>
      <c r="G24" s="490">
        <v>1</v>
      </c>
      <c r="H24" s="462"/>
      <c r="I24" s="70">
        <f t="shared" si="0"/>
        <v>1</v>
      </c>
      <c r="J24" s="71" t="str">
        <f t="shared" si="1"/>
        <v>resource</v>
      </c>
      <c r="U24"/>
      <c r="V24"/>
      <c r="W24"/>
      <c r="X24"/>
      <c r="Y24"/>
    </row>
    <row r="25" spans="1:25">
      <c r="A25" s="487" t="str">
        <f>IFERROR(VLOOKUP($E25,RESOURCES!$C:$G,5,FALSE),"-")</f>
        <v>MENDOZA, Carlo</v>
      </c>
      <c r="B25" s="487" t="str">
        <f>IFERROR(VLOOKUP($E25,RESOURCES!$C:$G,4,FALSE),"-")</f>
        <v>LAPASTORA, Mark Anthony</v>
      </c>
      <c r="C25" s="489" t="s">
        <v>83</v>
      </c>
      <c r="D25" s="489" t="s">
        <v>437</v>
      </c>
      <c r="E25" s="489">
        <v>10072157</v>
      </c>
      <c r="F25" s="489" t="s">
        <v>614</v>
      </c>
      <c r="G25" s="490">
        <v>0.99695</v>
      </c>
      <c r="H25" s="462"/>
      <c r="I25" s="70">
        <f t="shared" si="0"/>
        <v>0.99695</v>
      </c>
      <c r="J25" s="71" t="str">
        <f t="shared" si="1"/>
        <v>resource</v>
      </c>
      <c r="U25"/>
      <c r="V25"/>
      <c r="W25"/>
      <c r="X25"/>
      <c r="Y25"/>
    </row>
    <row r="26" spans="1:25">
      <c r="A26" s="487" t="str">
        <f>IFERROR(VLOOKUP($E26,RESOURCES!$C:$G,5,FALSE),"-")</f>
        <v>TAGUILASO, Daryl</v>
      </c>
      <c r="B26" s="487" t="str">
        <f>IFERROR(VLOOKUP($E26,RESOURCES!$C:$G,4,FALSE),"-")</f>
        <v>FLORES, Emmanuel</v>
      </c>
      <c r="C26" s="489" t="s">
        <v>721</v>
      </c>
      <c r="D26" s="489" t="s">
        <v>543</v>
      </c>
      <c r="E26" s="489">
        <v>10071972</v>
      </c>
      <c r="F26" s="489" t="s">
        <v>614</v>
      </c>
      <c r="G26" s="490">
        <v>1</v>
      </c>
      <c r="H26" s="462"/>
      <c r="I26" s="70">
        <f t="shared" si="0"/>
        <v>1</v>
      </c>
      <c r="J26" s="71" t="str">
        <f t="shared" si="1"/>
        <v>resource</v>
      </c>
      <c r="M26"/>
      <c r="N26"/>
      <c r="O26"/>
      <c r="P26"/>
      <c r="Q26"/>
      <c r="R26"/>
      <c r="S26"/>
      <c r="U26"/>
      <c r="V26"/>
      <c r="W26"/>
      <c r="X26"/>
      <c r="Y26"/>
    </row>
    <row r="27" spans="1:25">
      <c r="A27" s="487" t="str">
        <f>IFERROR(VLOOKUP($E27,RESOURCES!$C:$G,5,FALSE),"-")</f>
        <v>TAGUILASO, Daryl</v>
      </c>
      <c r="B27" s="487" t="str">
        <f>IFERROR(VLOOKUP($E27,RESOURCES!$C:$G,4,FALSE),"-")</f>
        <v>FLORES, Emmanuel</v>
      </c>
      <c r="C27" s="489" t="s">
        <v>721</v>
      </c>
      <c r="D27" s="489" t="s">
        <v>508</v>
      </c>
      <c r="E27" s="489">
        <v>10071603</v>
      </c>
      <c r="F27" s="489" t="s">
        <v>614</v>
      </c>
      <c r="G27" s="490">
        <v>1</v>
      </c>
      <c r="H27" s="462"/>
      <c r="I27" s="70">
        <f t="shared" si="0"/>
        <v>1</v>
      </c>
      <c r="J27" s="71" t="str">
        <f t="shared" si="1"/>
        <v>resource</v>
      </c>
      <c r="M27"/>
      <c r="N27"/>
      <c r="O27"/>
      <c r="P27"/>
      <c r="Q27"/>
      <c r="R27"/>
      <c r="S27"/>
      <c r="U27"/>
      <c r="V27"/>
      <c r="W27"/>
      <c r="X27"/>
      <c r="Y27"/>
    </row>
    <row r="28" spans="1:25">
      <c r="A28" s="487" t="str">
        <f>IFERROR(VLOOKUP($E28,RESOURCES!$C:$G,5,FALSE),"-")</f>
        <v>PASQUIN, Ryan</v>
      </c>
      <c r="B28" s="487" t="str">
        <f>IFERROR(VLOOKUP($E28,RESOURCES!$C:$G,4,FALSE),"-")</f>
        <v>BARRIOS, Renell</v>
      </c>
      <c r="C28" s="461"/>
      <c r="D28" s="489" t="s">
        <v>465</v>
      </c>
      <c r="E28" s="489">
        <v>10071908</v>
      </c>
      <c r="F28" s="489" t="s">
        <v>614</v>
      </c>
      <c r="G28" s="490">
        <v>1</v>
      </c>
      <c r="H28" s="462"/>
      <c r="I28" s="70">
        <f t="shared" si="0"/>
        <v>1</v>
      </c>
      <c r="J28" s="71" t="str">
        <f t="shared" si="1"/>
        <v>resource</v>
      </c>
      <c r="U28"/>
      <c r="V28"/>
      <c r="W28"/>
      <c r="X28"/>
      <c r="Y28"/>
    </row>
    <row r="29" spans="1:25">
      <c r="A29" s="487" t="str">
        <f>IFERROR(VLOOKUP($E29,RESOURCES!$C:$G,5,FALSE),"-")</f>
        <v>PASQUIN, Ryan</v>
      </c>
      <c r="B29" s="487" t="str">
        <f>IFERROR(VLOOKUP($E29,RESOURCES!$C:$G,4,FALSE),"-")</f>
        <v>BARRIOS, Renell</v>
      </c>
      <c r="C29" s="461"/>
      <c r="D29" s="489" t="s">
        <v>522</v>
      </c>
      <c r="E29" s="489">
        <v>10071600</v>
      </c>
      <c r="F29" s="489" t="s">
        <v>614</v>
      </c>
      <c r="G29" s="490">
        <v>1</v>
      </c>
      <c r="H29" s="462"/>
      <c r="I29" s="70">
        <f t="shared" si="0"/>
        <v>1</v>
      </c>
      <c r="J29" s="71" t="str">
        <f t="shared" si="1"/>
        <v>resource</v>
      </c>
      <c r="U29"/>
      <c r="V29"/>
      <c r="W29"/>
      <c r="X29"/>
      <c r="Y29"/>
    </row>
    <row r="30" spans="1:25">
      <c r="A30" s="487" t="str">
        <f>IFERROR(VLOOKUP($E30,RESOURCES!$C:$G,5,FALSE),"-")</f>
        <v>PASQUIN, Ryan</v>
      </c>
      <c r="B30" s="487" t="str">
        <f>IFERROR(VLOOKUP($E30,RESOURCES!$C:$G,4,FALSE),"-")</f>
        <v>BARRIOS, Renell</v>
      </c>
      <c r="C30" s="461"/>
      <c r="D30" s="489" t="s">
        <v>498</v>
      </c>
      <c r="E30" s="489">
        <v>10072220</v>
      </c>
      <c r="F30" s="489" t="s">
        <v>614</v>
      </c>
      <c r="G30" s="490">
        <v>1</v>
      </c>
      <c r="H30" s="462"/>
      <c r="I30" s="70">
        <f t="shared" si="0"/>
        <v>1</v>
      </c>
      <c r="J30" s="71" t="str">
        <f t="shared" si="1"/>
        <v>resource</v>
      </c>
      <c r="U30"/>
      <c r="V30"/>
      <c r="W30"/>
      <c r="X30"/>
      <c r="Y30"/>
    </row>
    <row r="31" spans="1:25">
      <c r="A31" s="487" t="str">
        <f>IFERROR(VLOOKUP($E31,RESOURCES!$C:$G,5,FALSE),"-")</f>
        <v>PASQUIN, Ryan</v>
      </c>
      <c r="B31" s="487" t="str">
        <f>IFERROR(VLOOKUP($E31,RESOURCES!$C:$G,4,FALSE),"-")</f>
        <v>BARRIOS, Renell</v>
      </c>
      <c r="C31" s="461"/>
      <c r="D31" s="489" t="s">
        <v>434</v>
      </c>
      <c r="E31" s="489">
        <v>10072512</v>
      </c>
      <c r="F31" s="489" t="s">
        <v>614</v>
      </c>
      <c r="G31" s="490" t="s">
        <v>14</v>
      </c>
      <c r="H31" s="462"/>
      <c r="I31" s="70" t="str">
        <f t="shared" si="0"/>
        <v>-</v>
      </c>
      <c r="J31" s="71" t="str">
        <f t="shared" si="1"/>
        <v>resource</v>
      </c>
      <c r="U31"/>
      <c r="V31"/>
      <c r="W31"/>
      <c r="X31"/>
      <c r="Y31"/>
    </row>
    <row r="32" spans="1:25">
      <c r="A32" s="487" t="str">
        <f>IFERROR(VLOOKUP($E32,RESOURCES!$C:$G,5,FALSE),"-")</f>
        <v>PASQUIN, Ryan</v>
      </c>
      <c r="B32" s="487" t="str">
        <f>IFERROR(VLOOKUP($E32,RESOURCES!$C:$G,4,FALSE),"-")</f>
        <v>BARRIOS, Renell</v>
      </c>
      <c r="C32" s="461"/>
      <c r="D32" s="489" t="s">
        <v>440</v>
      </c>
      <c r="E32" s="489">
        <v>10072224</v>
      </c>
      <c r="F32" s="489" t="s">
        <v>614</v>
      </c>
      <c r="G32" s="490">
        <v>1</v>
      </c>
      <c r="H32" s="462"/>
      <c r="I32" s="70">
        <f t="shared" si="0"/>
        <v>1</v>
      </c>
      <c r="J32" s="71" t="str">
        <f t="shared" si="1"/>
        <v>resource</v>
      </c>
      <c r="U32"/>
      <c r="V32"/>
      <c r="W32"/>
      <c r="X32"/>
      <c r="Y32"/>
    </row>
    <row r="33" spans="1:25">
      <c r="A33" s="487" t="str">
        <f>IFERROR(VLOOKUP($E33,RESOURCES!$C:$G,5,FALSE),"-")</f>
        <v>PASQUIN, Ryan</v>
      </c>
      <c r="B33" s="487" t="str">
        <f>IFERROR(VLOOKUP($E33,RESOURCES!$C:$G,4,FALSE),"-")</f>
        <v>BARRIOS, Renell</v>
      </c>
      <c r="C33" s="461"/>
      <c r="D33" s="489" t="s">
        <v>454</v>
      </c>
      <c r="E33" s="489">
        <v>10071356</v>
      </c>
      <c r="F33" s="489" t="s">
        <v>614</v>
      </c>
      <c r="G33" s="490">
        <v>1</v>
      </c>
      <c r="H33" s="462"/>
      <c r="I33" s="70">
        <f t="shared" si="0"/>
        <v>1</v>
      </c>
      <c r="J33" s="71" t="str">
        <f t="shared" si="1"/>
        <v>resource</v>
      </c>
      <c r="U33"/>
      <c r="V33"/>
      <c r="W33"/>
      <c r="X33"/>
      <c r="Y33"/>
    </row>
    <row r="34" spans="1:25">
      <c r="A34" s="487" t="str">
        <f>IFERROR(VLOOKUP($E34,RESOURCES!$C:$G,5,FALSE),"-")</f>
        <v>PASQUIN, Ryan</v>
      </c>
      <c r="B34" s="487" t="str">
        <f>IFERROR(VLOOKUP($E34,RESOURCES!$C:$G,4,FALSE),"-")</f>
        <v>BARRIOS, Renell</v>
      </c>
      <c r="C34" s="461"/>
      <c r="D34" s="489" t="s">
        <v>456</v>
      </c>
      <c r="E34" s="489">
        <v>10072032</v>
      </c>
      <c r="F34" s="489" t="s">
        <v>614</v>
      </c>
      <c r="G34" s="490">
        <v>1</v>
      </c>
      <c r="H34" s="462"/>
      <c r="I34" s="70">
        <f t="shared" si="0"/>
        <v>1</v>
      </c>
      <c r="J34" s="71" t="str">
        <f t="shared" si="1"/>
        <v>resource</v>
      </c>
      <c r="U34"/>
      <c r="V34"/>
      <c r="W34"/>
      <c r="X34"/>
      <c r="Y34"/>
    </row>
    <row r="35" spans="1:25">
      <c r="A35" s="487" t="str">
        <f>IFERROR(VLOOKUP($E35,RESOURCES!$C:$G,5,FALSE),"-")</f>
        <v>PASQUIN, Ryan</v>
      </c>
      <c r="B35" s="487" t="str">
        <f>IFERROR(VLOOKUP($E35,RESOURCES!$C:$G,4,FALSE),"-")</f>
        <v>BARRIOS, Renell</v>
      </c>
      <c r="C35" s="461"/>
      <c r="D35" s="489" t="s">
        <v>466</v>
      </c>
      <c r="E35" s="489">
        <v>10071411</v>
      </c>
      <c r="F35" s="489" t="s">
        <v>614</v>
      </c>
      <c r="G35" s="490">
        <v>1</v>
      </c>
      <c r="H35" s="462"/>
      <c r="I35" s="70">
        <f t="shared" si="0"/>
        <v>1</v>
      </c>
      <c r="J35" s="71" t="str">
        <f t="shared" si="1"/>
        <v>resource</v>
      </c>
      <c r="U35"/>
      <c r="V35"/>
      <c r="W35"/>
      <c r="X35"/>
      <c r="Y35"/>
    </row>
    <row r="36" spans="1:25">
      <c r="A36" s="487" t="str">
        <f>IFERROR(VLOOKUP($E36,RESOURCES!$C:$G,5,FALSE),"-")</f>
        <v>PASQUIN, Ryan</v>
      </c>
      <c r="B36" s="487" t="str">
        <f>IFERROR(VLOOKUP($E36,RESOURCES!$C:$G,4,FALSE),"-")</f>
        <v>BARRIOS, Renell</v>
      </c>
      <c r="C36" s="461"/>
      <c r="D36" s="489" t="s">
        <v>516</v>
      </c>
      <c r="E36" s="489">
        <v>10071946</v>
      </c>
      <c r="F36" s="489" t="s">
        <v>614</v>
      </c>
      <c r="G36" s="490" t="s">
        <v>14</v>
      </c>
      <c r="H36" s="462"/>
      <c r="I36" s="70" t="str">
        <f t="shared" si="0"/>
        <v>-</v>
      </c>
      <c r="J36" s="71" t="str">
        <f t="shared" si="1"/>
        <v>resource</v>
      </c>
      <c r="U36"/>
      <c r="V36"/>
      <c r="W36"/>
      <c r="X36"/>
      <c r="Y36"/>
    </row>
    <row r="37" spans="1:25">
      <c r="A37" s="487" t="str">
        <f>IFERROR(VLOOKUP($E37,RESOURCES!$C:$G,5,FALSE),"-")</f>
        <v>PASQUIN, Ryan</v>
      </c>
      <c r="B37" s="487" t="str">
        <f>IFERROR(VLOOKUP($E37,RESOURCES!$C:$G,4,FALSE),"-")</f>
        <v>BARRIOS, Renell</v>
      </c>
      <c r="C37" s="461"/>
      <c r="D37" s="489" t="s">
        <v>524</v>
      </c>
      <c r="E37" s="489">
        <v>10071729</v>
      </c>
      <c r="F37" s="489" t="s">
        <v>614</v>
      </c>
      <c r="G37" s="490">
        <v>1</v>
      </c>
      <c r="H37" s="462"/>
      <c r="I37" s="70">
        <f t="shared" si="0"/>
        <v>1</v>
      </c>
      <c r="J37" s="71" t="str">
        <f t="shared" si="1"/>
        <v>resource</v>
      </c>
      <c r="U37"/>
      <c r="V37"/>
      <c r="W37"/>
      <c r="X37"/>
      <c r="Y37"/>
    </row>
    <row r="38" spans="1:25">
      <c r="A38" s="487" t="str">
        <f>IFERROR(VLOOKUP($E38,RESOURCES!$C:$G,5,FALSE),"-")</f>
        <v>PASQUIN, Ryan</v>
      </c>
      <c r="B38" s="487" t="str">
        <f>IFERROR(VLOOKUP($E38,RESOURCES!$C:$G,4,FALSE),"-")</f>
        <v>BARRIOS, Renell</v>
      </c>
      <c r="C38" s="461"/>
      <c r="D38" s="489" t="s">
        <v>535</v>
      </c>
      <c r="E38" s="489">
        <v>10071151</v>
      </c>
      <c r="F38" s="489" t="s">
        <v>614</v>
      </c>
      <c r="G38" s="490">
        <v>1</v>
      </c>
      <c r="H38" s="462"/>
      <c r="I38" s="70">
        <f t="shared" si="0"/>
        <v>1</v>
      </c>
      <c r="J38" s="71" t="str">
        <f t="shared" si="1"/>
        <v>resource</v>
      </c>
      <c r="U38"/>
      <c r="V38"/>
      <c r="W38"/>
      <c r="X38"/>
      <c r="Y38"/>
    </row>
    <row r="39" spans="1:25">
      <c r="A39" s="487" t="str">
        <f>IFERROR(VLOOKUP($E39,RESOURCES!$C:$G,5,FALSE),"-")</f>
        <v>PASQUIN, Ryan</v>
      </c>
      <c r="B39" s="487" t="str">
        <f>IFERROR(VLOOKUP($E39,RESOURCES!$C:$G,4,FALSE),"-")</f>
        <v>BARRIOS, Renell</v>
      </c>
      <c r="C39" s="461"/>
      <c r="D39" s="489" t="s">
        <v>545</v>
      </c>
      <c r="E39" s="489">
        <v>10072439</v>
      </c>
      <c r="F39" s="489" t="s">
        <v>614</v>
      </c>
      <c r="G39" s="490">
        <v>1</v>
      </c>
      <c r="H39" s="462"/>
      <c r="I39" s="70">
        <f t="shared" si="0"/>
        <v>1</v>
      </c>
      <c r="J39" s="71" t="str">
        <f t="shared" si="1"/>
        <v>resource</v>
      </c>
      <c r="U39"/>
      <c r="V39"/>
      <c r="W39"/>
      <c r="X39"/>
      <c r="Y39"/>
    </row>
    <row r="40" spans="1:25">
      <c r="A40" s="487" t="str">
        <f>IFERROR(VLOOKUP($E40,RESOURCES!$C:$G,5,FALSE),"-")</f>
        <v>TAGUILASO, Daryl</v>
      </c>
      <c r="B40" s="487" t="str">
        <f>IFERROR(VLOOKUP($E40,RESOURCES!$C:$G,4,FALSE),"-")</f>
        <v>CEDENO, Karleen</v>
      </c>
      <c r="C40" s="461"/>
      <c r="D40" s="489" t="s">
        <v>457</v>
      </c>
      <c r="E40" s="489">
        <v>10071423</v>
      </c>
      <c r="F40" s="489" t="s">
        <v>614</v>
      </c>
      <c r="G40" s="490">
        <v>1</v>
      </c>
      <c r="H40" s="462"/>
      <c r="I40" s="70">
        <f t="shared" si="0"/>
        <v>1</v>
      </c>
      <c r="J40" s="71" t="str">
        <f t="shared" si="1"/>
        <v>resource</v>
      </c>
      <c r="U40"/>
      <c r="V40"/>
      <c r="W40"/>
      <c r="X40"/>
      <c r="Y40"/>
    </row>
    <row r="41" spans="1:25">
      <c r="A41" s="487" t="str">
        <f>IFERROR(VLOOKUP($E41,RESOURCES!$C:$G,5,FALSE),"-")</f>
        <v>TAGUILASO, Daryl</v>
      </c>
      <c r="B41" s="487" t="str">
        <f>IFERROR(VLOOKUP($E41,RESOURCES!$C:$G,4,FALSE),"-")</f>
        <v>CEDENO, Karleen</v>
      </c>
      <c r="C41" s="461"/>
      <c r="D41" s="489" t="s">
        <v>469</v>
      </c>
      <c r="E41" s="489">
        <v>10071301</v>
      </c>
      <c r="F41" s="489" t="s">
        <v>614</v>
      </c>
      <c r="G41" s="490">
        <v>0.99739999999999995</v>
      </c>
      <c r="H41" s="462"/>
      <c r="I41" s="70">
        <f t="shared" si="0"/>
        <v>0.99739999999999995</v>
      </c>
      <c r="J41" s="71" t="str">
        <f t="shared" si="1"/>
        <v>resource</v>
      </c>
      <c r="U41"/>
      <c r="V41"/>
      <c r="W41"/>
      <c r="X41"/>
      <c r="Y41"/>
    </row>
    <row r="42" spans="1:25">
      <c r="A42" s="487" t="str">
        <f>IFERROR(VLOOKUP($E42,RESOURCES!$C:$G,5,FALSE),"-")</f>
        <v>TAGUILASO, Daryl</v>
      </c>
      <c r="B42" s="487" t="str">
        <f>IFERROR(VLOOKUP($E42,RESOURCES!$C:$G,4,FALSE),"-")</f>
        <v>CEDENO, Karleen</v>
      </c>
      <c r="C42" s="461"/>
      <c r="D42" s="489" t="s">
        <v>482</v>
      </c>
      <c r="E42" s="489">
        <v>10072245</v>
      </c>
      <c r="F42" s="489" t="s">
        <v>614</v>
      </c>
      <c r="G42" s="490">
        <v>0.99609999999999999</v>
      </c>
      <c r="H42" s="462"/>
      <c r="I42" s="70">
        <f t="shared" si="0"/>
        <v>0.99609999999999999</v>
      </c>
      <c r="J42" s="71" t="str">
        <f t="shared" si="1"/>
        <v>resource</v>
      </c>
      <c r="U42"/>
      <c r="V42"/>
      <c r="W42"/>
      <c r="X42"/>
      <c r="Y42"/>
    </row>
    <row r="43" spans="1:25">
      <c r="A43" s="487" t="str">
        <f>IFERROR(VLOOKUP($E43,RESOURCES!$C:$G,5,FALSE),"-")</f>
        <v>TAGUILASO, Daryl</v>
      </c>
      <c r="B43" s="487" t="str">
        <f>IFERROR(VLOOKUP($E43,RESOURCES!$C:$G,4,FALSE),"-")</f>
        <v>CEDENO, Karleen</v>
      </c>
      <c r="C43" s="461"/>
      <c r="D43" s="489" t="s">
        <v>488</v>
      </c>
      <c r="E43" s="489">
        <v>10072160</v>
      </c>
      <c r="F43" s="489" t="s">
        <v>614</v>
      </c>
      <c r="G43" s="490">
        <v>0.99650000000000005</v>
      </c>
      <c r="H43" s="462"/>
      <c r="I43" s="70">
        <f t="shared" si="0"/>
        <v>0.99650000000000005</v>
      </c>
      <c r="J43" s="71" t="str">
        <f t="shared" si="1"/>
        <v>resource</v>
      </c>
      <c r="U43"/>
      <c r="V43"/>
      <c r="W43"/>
      <c r="X43"/>
      <c r="Y43"/>
    </row>
    <row r="44" spans="1:25">
      <c r="A44" s="487" t="str">
        <f>IFERROR(VLOOKUP($E44,RESOURCES!$C:$G,5,FALSE),"-")</f>
        <v>TAGUILASO, Daryl</v>
      </c>
      <c r="B44" s="487" t="str">
        <f>IFERROR(VLOOKUP($E44,RESOURCES!$C:$G,4,FALSE),"-")</f>
        <v>CEDENO, Karleen</v>
      </c>
      <c r="C44" s="461"/>
      <c r="D44" s="489" t="s">
        <v>507</v>
      </c>
      <c r="E44" s="489">
        <v>10071252</v>
      </c>
      <c r="F44" s="489" t="s">
        <v>614</v>
      </c>
      <c r="G44" s="490">
        <v>0.99560000000000004</v>
      </c>
      <c r="H44" s="462"/>
      <c r="I44" s="70">
        <f t="shared" si="0"/>
        <v>0.99560000000000004</v>
      </c>
      <c r="J44" s="71" t="str">
        <f t="shared" si="1"/>
        <v>resource</v>
      </c>
      <c r="U44"/>
      <c r="V44"/>
      <c r="W44"/>
      <c r="X44"/>
      <c r="Y44"/>
    </row>
    <row r="45" spans="1:25">
      <c r="A45" s="487" t="str">
        <f>IFERROR(VLOOKUP($E45,RESOURCES!$C:$G,5,FALSE),"-")</f>
        <v>TAGUILASO, Daryl</v>
      </c>
      <c r="B45" s="487" t="str">
        <f>IFERROR(VLOOKUP($E45,RESOURCES!$C:$G,4,FALSE),"-")</f>
        <v>CEDENO, Karleen</v>
      </c>
      <c r="C45" s="461"/>
      <c r="D45" s="489" t="s">
        <v>515</v>
      </c>
      <c r="E45" s="489">
        <v>10072457</v>
      </c>
      <c r="F45" s="489" t="s">
        <v>614</v>
      </c>
      <c r="G45" s="490">
        <v>1</v>
      </c>
      <c r="H45" s="462"/>
      <c r="I45" s="70">
        <f t="shared" si="0"/>
        <v>1</v>
      </c>
      <c r="J45" s="71" t="str">
        <f t="shared" si="1"/>
        <v>resource</v>
      </c>
      <c r="U45"/>
      <c r="V45"/>
      <c r="W45"/>
      <c r="X45"/>
      <c r="Y45"/>
    </row>
    <row r="46" spans="1:25">
      <c r="A46" s="487" t="str">
        <f>IFERROR(VLOOKUP($E46,RESOURCES!$C:$G,5,FALSE),"-")</f>
        <v>TAGUILASO, Daryl</v>
      </c>
      <c r="B46" s="487" t="str">
        <f>IFERROR(VLOOKUP($E46,RESOURCES!$C:$G,4,FALSE),"-")</f>
        <v>CEDENO, Karleen</v>
      </c>
      <c r="C46" s="461"/>
      <c r="D46" s="489" t="s">
        <v>519</v>
      </c>
      <c r="E46" s="489">
        <v>10070728</v>
      </c>
      <c r="F46" s="489" t="s">
        <v>614</v>
      </c>
      <c r="G46" s="490">
        <v>0.99560000000000004</v>
      </c>
      <c r="H46" s="462"/>
      <c r="I46" s="70">
        <f t="shared" si="0"/>
        <v>0.99560000000000004</v>
      </c>
      <c r="J46" s="71" t="str">
        <f t="shared" si="1"/>
        <v>resource</v>
      </c>
      <c r="U46"/>
      <c r="V46"/>
      <c r="W46"/>
      <c r="X46"/>
      <c r="Y46"/>
    </row>
    <row r="47" spans="1:25">
      <c r="A47" s="487" t="str">
        <f>IFERROR(VLOOKUP($E47,RESOURCES!$C:$G,5,FALSE),"-")</f>
        <v>TAGUILASO, Daryl</v>
      </c>
      <c r="B47" s="487" t="str">
        <f>IFERROR(VLOOKUP($E47,RESOURCES!$C:$G,4,FALSE),"-")</f>
        <v>CEDENO, Karleen</v>
      </c>
      <c r="C47" s="461"/>
      <c r="D47" s="489" t="s">
        <v>525</v>
      </c>
      <c r="E47" s="489">
        <v>10071310</v>
      </c>
      <c r="F47" s="489" t="s">
        <v>614</v>
      </c>
      <c r="G47" s="490">
        <v>0.99590000000000001</v>
      </c>
      <c r="H47" s="462"/>
      <c r="I47" s="70">
        <f t="shared" si="0"/>
        <v>0.99590000000000001</v>
      </c>
      <c r="J47" s="71" t="str">
        <f t="shared" si="1"/>
        <v>resource</v>
      </c>
      <c r="U47"/>
      <c r="V47"/>
      <c r="W47"/>
      <c r="X47"/>
      <c r="Y47"/>
    </row>
    <row r="48" spans="1:25">
      <c r="A48" s="487" t="str">
        <f>IFERROR(VLOOKUP($E48,RESOURCES!$C:$G,5,FALSE),"-")</f>
        <v>TAGUILASO, Daryl</v>
      </c>
      <c r="B48" s="487" t="str">
        <f>IFERROR(VLOOKUP($E48,RESOURCES!$C:$G,4,FALSE),"-")</f>
        <v>CEDENO, Karleen</v>
      </c>
      <c r="C48" s="461"/>
      <c r="D48" s="489" t="s">
        <v>532</v>
      </c>
      <c r="E48" s="489">
        <v>10072515</v>
      </c>
      <c r="F48" s="489" t="s">
        <v>614</v>
      </c>
      <c r="G48" s="490">
        <v>0.99919999999999998</v>
      </c>
      <c r="H48" s="462"/>
      <c r="I48" s="70">
        <f t="shared" si="0"/>
        <v>0.99919999999999998</v>
      </c>
      <c r="J48" s="71" t="str">
        <f t="shared" si="1"/>
        <v>resource</v>
      </c>
      <c r="U48"/>
      <c r="V48"/>
      <c r="W48"/>
      <c r="X48"/>
      <c r="Y48"/>
    </row>
    <row r="49" spans="1:25">
      <c r="A49" s="487" t="str">
        <f>IFERROR(VLOOKUP($E49,RESOURCES!$C:$G,5,FALSE),"-")</f>
        <v>TAGUILASO, Daryl</v>
      </c>
      <c r="B49" s="487" t="str">
        <f>IFERROR(VLOOKUP($E49,RESOURCES!$C:$G,4,FALSE),"-")</f>
        <v>CEDENO, Karleen</v>
      </c>
      <c r="C49" s="461"/>
      <c r="D49" s="489" t="s">
        <v>537</v>
      </c>
      <c r="E49" s="489">
        <v>10072211</v>
      </c>
      <c r="F49" s="489" t="s">
        <v>614</v>
      </c>
      <c r="G49" s="490">
        <v>0.99729999999999996</v>
      </c>
      <c r="H49" s="462"/>
      <c r="I49" s="70">
        <f t="shared" si="0"/>
        <v>0.99729999999999996</v>
      </c>
      <c r="J49" s="71" t="str">
        <f t="shared" si="1"/>
        <v>resource</v>
      </c>
      <c r="U49"/>
      <c r="V49"/>
      <c r="W49"/>
      <c r="X49"/>
      <c r="Y49"/>
    </row>
    <row r="50" spans="1:25">
      <c r="A50" s="487" t="str">
        <f>IFERROR(VLOOKUP($E50,RESOURCES!$C:$G,5,FALSE),"-")</f>
        <v>TAGUILASO, Daryl</v>
      </c>
      <c r="B50" s="487" t="str">
        <f>IFERROR(VLOOKUP($E50,RESOURCES!$C:$G,4,FALSE),"-")</f>
        <v>CRUZ, Noel</v>
      </c>
      <c r="C50" s="461"/>
      <c r="D50" s="489" t="s">
        <v>443</v>
      </c>
      <c r="E50" s="489">
        <v>10072244</v>
      </c>
      <c r="F50" s="489" t="s">
        <v>614</v>
      </c>
      <c r="G50" s="490">
        <v>0.99619999999999997</v>
      </c>
      <c r="H50" s="462"/>
      <c r="I50" s="70">
        <f t="shared" si="0"/>
        <v>0.99619999999999997</v>
      </c>
      <c r="J50" s="71" t="str">
        <f t="shared" si="1"/>
        <v>resource</v>
      </c>
      <c r="U50"/>
      <c r="V50"/>
      <c r="W50"/>
      <c r="X50"/>
      <c r="Y50"/>
    </row>
    <row r="51" spans="1:25">
      <c r="A51" s="487" t="str">
        <f>IFERROR(VLOOKUP($E51,RESOURCES!$C:$G,5,FALSE),"-")</f>
        <v>TAGUILASO, Daryl</v>
      </c>
      <c r="B51" s="487" t="str">
        <f>IFERROR(VLOOKUP($E51,RESOURCES!$C:$G,4,FALSE),"-")</f>
        <v>CRUZ, Noel</v>
      </c>
      <c r="C51" s="461"/>
      <c r="D51" s="489" t="s">
        <v>483</v>
      </c>
      <c r="E51" s="489">
        <v>10072449</v>
      </c>
      <c r="F51" s="489" t="s">
        <v>614</v>
      </c>
      <c r="G51" s="490">
        <v>0.99550000000000005</v>
      </c>
      <c r="H51" s="462"/>
      <c r="I51" s="70">
        <f t="shared" si="0"/>
        <v>0.99550000000000005</v>
      </c>
      <c r="J51" s="71" t="str">
        <f t="shared" si="1"/>
        <v>resource</v>
      </c>
      <c r="U51"/>
      <c r="V51"/>
      <c r="W51"/>
      <c r="X51"/>
      <c r="Y51"/>
    </row>
    <row r="52" spans="1:25">
      <c r="A52" s="487" t="str">
        <f>IFERROR(VLOOKUP($E52,RESOURCES!$C:$G,5,FALSE),"-")</f>
        <v>TAGUILASO, Daryl</v>
      </c>
      <c r="B52" s="487" t="str">
        <f>IFERROR(VLOOKUP($E52,RESOURCES!$C:$G,4,FALSE),"-")</f>
        <v>CRUZ, Noel</v>
      </c>
      <c r="C52" s="461"/>
      <c r="D52" s="489" t="s">
        <v>501</v>
      </c>
      <c r="E52" s="489">
        <v>10071692</v>
      </c>
      <c r="F52" s="489" t="s">
        <v>614</v>
      </c>
      <c r="G52" s="490">
        <v>0.99839999999999995</v>
      </c>
      <c r="H52" s="462"/>
      <c r="I52" s="70">
        <f t="shared" si="0"/>
        <v>0.99839999999999995</v>
      </c>
      <c r="J52" s="71" t="str">
        <f t="shared" si="1"/>
        <v>resource</v>
      </c>
      <c r="U52"/>
      <c r="V52"/>
      <c r="W52"/>
      <c r="X52"/>
      <c r="Y52"/>
    </row>
    <row r="53" spans="1:25">
      <c r="A53" s="487" t="str">
        <f>IFERROR(VLOOKUP($E53,RESOURCES!$C:$G,5,FALSE),"-")</f>
        <v>TAGUILASO, Daryl</v>
      </c>
      <c r="B53" s="487" t="str">
        <f>IFERROR(VLOOKUP($E53,RESOURCES!$C:$G,4,FALSE),"-")</f>
        <v>CRUZ, Noel</v>
      </c>
      <c r="C53" s="461"/>
      <c r="D53" s="489" t="s">
        <v>541</v>
      </c>
      <c r="E53" s="489">
        <v>10072180</v>
      </c>
      <c r="F53" s="489" t="s">
        <v>614</v>
      </c>
      <c r="G53" s="490">
        <v>0.99639999999999995</v>
      </c>
      <c r="H53" s="462"/>
      <c r="I53" s="70">
        <f t="shared" si="0"/>
        <v>0.99639999999999995</v>
      </c>
      <c r="J53" s="71" t="str">
        <f t="shared" si="1"/>
        <v>resource</v>
      </c>
      <c r="U53"/>
      <c r="V53"/>
      <c r="W53"/>
      <c r="X53"/>
      <c r="Y53"/>
    </row>
    <row r="54" spans="1:25">
      <c r="A54" s="487" t="str">
        <f>IFERROR(VLOOKUP($E54,RESOURCES!$C:$G,5,FALSE),"-")</f>
        <v>TAGUILASO, Daryl</v>
      </c>
      <c r="B54" s="487" t="str">
        <f>IFERROR(VLOOKUP($E54,RESOURCES!$C:$G,4,FALSE),"-")</f>
        <v>CRUZ, Noel</v>
      </c>
      <c r="C54" s="461"/>
      <c r="D54" s="489" t="s">
        <v>419</v>
      </c>
      <c r="E54" s="489">
        <v>10072198</v>
      </c>
      <c r="F54" s="489" t="s">
        <v>614</v>
      </c>
      <c r="G54" s="490">
        <v>0.99519999999999997</v>
      </c>
      <c r="H54" s="462"/>
      <c r="I54" s="70">
        <f t="shared" si="0"/>
        <v>0.99519999999999997</v>
      </c>
      <c r="J54" s="71" t="str">
        <f t="shared" si="1"/>
        <v>resource</v>
      </c>
      <c r="U54"/>
      <c r="V54"/>
      <c r="W54"/>
      <c r="X54"/>
      <c r="Y54"/>
    </row>
    <row r="55" spans="1:25">
      <c r="A55" s="487" t="str">
        <f>IFERROR(VLOOKUP($E55,RESOURCES!$C:$G,5,FALSE),"-")</f>
        <v>-</v>
      </c>
      <c r="B55" s="487" t="str">
        <f>IFERROR(VLOOKUP($E55,RESOURCES!$C:$G,4,FALSE),"-")</f>
        <v>-</v>
      </c>
      <c r="C55" s="461"/>
      <c r="D55" s="489" t="s">
        <v>441</v>
      </c>
      <c r="E55" s="489">
        <v>10072442</v>
      </c>
      <c r="F55" s="489" t="s">
        <v>614</v>
      </c>
      <c r="G55" s="490" t="s">
        <v>14</v>
      </c>
      <c r="H55" s="462"/>
      <c r="I55" s="70" t="str">
        <f t="shared" si="0"/>
        <v>-</v>
      </c>
      <c r="J55" s="71" t="str">
        <f t="shared" si="1"/>
        <v>resource</v>
      </c>
      <c r="U55"/>
      <c r="V55"/>
      <c r="W55"/>
      <c r="X55"/>
      <c r="Y55"/>
    </row>
    <row r="56" spans="1:25">
      <c r="A56" s="487" t="str">
        <f>IFERROR(VLOOKUP($E56,RESOURCES!$C:$G,5,FALSE),"-")</f>
        <v>TAGUILASO, Daryl</v>
      </c>
      <c r="B56" s="487" t="str">
        <f>IFERROR(VLOOKUP($E56,RESOURCES!$C:$G,4,FALSE),"-")</f>
        <v>CRUZ, Noel</v>
      </c>
      <c r="C56" s="461"/>
      <c r="D56" s="489" t="s">
        <v>464</v>
      </c>
      <c r="E56" s="489">
        <v>10072444</v>
      </c>
      <c r="F56" s="489" t="s">
        <v>614</v>
      </c>
      <c r="G56" s="490">
        <v>0.99819999999999998</v>
      </c>
      <c r="H56" s="462"/>
      <c r="I56" s="70">
        <f t="shared" si="0"/>
        <v>0.99819999999999998</v>
      </c>
      <c r="J56" s="71" t="str">
        <f t="shared" si="1"/>
        <v>resource</v>
      </c>
      <c r="U56"/>
      <c r="V56"/>
      <c r="W56"/>
      <c r="X56"/>
      <c r="Y56"/>
    </row>
    <row r="57" spans="1:25">
      <c r="A57" s="487" t="str">
        <f>IFERROR(VLOOKUP($E57,RESOURCES!$C:$G,5,FALSE),"-")</f>
        <v>TAGUILASO, Daryl</v>
      </c>
      <c r="B57" s="487" t="str">
        <f>IFERROR(VLOOKUP($E57,RESOURCES!$C:$G,4,FALSE),"-")</f>
        <v>CRUZ, Noel</v>
      </c>
      <c r="C57" s="461"/>
      <c r="D57" s="489" t="s">
        <v>497</v>
      </c>
      <c r="E57" s="489">
        <v>10071306</v>
      </c>
      <c r="F57" s="489" t="s">
        <v>614</v>
      </c>
      <c r="G57" s="490">
        <v>0.99629999999999996</v>
      </c>
      <c r="H57" s="462"/>
      <c r="I57" s="70">
        <f t="shared" si="0"/>
        <v>0.99629999999999996</v>
      </c>
      <c r="J57" s="71" t="str">
        <f t="shared" si="1"/>
        <v>resource</v>
      </c>
      <c r="U57"/>
      <c r="V57"/>
      <c r="W57"/>
      <c r="X57"/>
      <c r="Y57"/>
    </row>
    <row r="58" spans="1:25">
      <c r="A58" s="487" t="str">
        <f>IFERROR(VLOOKUP($E58,RESOURCES!$C:$G,5,FALSE),"-")</f>
        <v>TAGUILASO, Daryl</v>
      </c>
      <c r="B58" s="487" t="str">
        <f>IFERROR(VLOOKUP($E58,RESOURCES!$C:$G,4,FALSE),"-")</f>
        <v>CRUZ, Noel</v>
      </c>
      <c r="C58" s="461"/>
      <c r="D58" s="489" t="s">
        <v>502</v>
      </c>
      <c r="E58" s="489">
        <v>10072517</v>
      </c>
      <c r="F58" s="489" t="s">
        <v>614</v>
      </c>
      <c r="G58" s="490">
        <v>0.99339999999999995</v>
      </c>
      <c r="H58" s="462"/>
      <c r="I58" s="70">
        <f t="shared" si="0"/>
        <v>0.99339999999999995</v>
      </c>
      <c r="J58" s="71" t="str">
        <f t="shared" si="1"/>
        <v>resource</v>
      </c>
      <c r="U58"/>
      <c r="V58"/>
      <c r="W58"/>
      <c r="X58"/>
      <c r="Y58"/>
    </row>
    <row r="59" spans="1:25">
      <c r="A59" s="487" t="str">
        <f>IFERROR(VLOOKUP($E59,RESOURCES!$C:$G,5,FALSE),"-")</f>
        <v>TAGUILASO, Daryl</v>
      </c>
      <c r="B59" s="487" t="str">
        <f>IFERROR(VLOOKUP($E59,RESOURCES!$C:$G,4,FALSE),"-")</f>
        <v>CRUZ, Noel</v>
      </c>
      <c r="C59" s="461"/>
      <c r="D59" s="489" t="s">
        <v>511</v>
      </c>
      <c r="E59" s="489">
        <v>10072204</v>
      </c>
      <c r="F59" s="489" t="s">
        <v>614</v>
      </c>
      <c r="G59" s="490">
        <v>1</v>
      </c>
      <c r="H59" s="462"/>
      <c r="I59" s="70">
        <f t="shared" si="0"/>
        <v>1</v>
      </c>
      <c r="J59" s="71" t="str">
        <f t="shared" si="1"/>
        <v>resource</v>
      </c>
      <c r="U59"/>
      <c r="V59"/>
      <c r="W59"/>
      <c r="X59"/>
      <c r="Y59"/>
    </row>
    <row r="60" spans="1:25">
      <c r="A60" s="487" t="str">
        <f>IFERROR(VLOOKUP($E60,RESOURCES!$C:$G,5,FALSE),"-")</f>
        <v>TAGUILASO, Daryl</v>
      </c>
      <c r="B60" s="487" t="str">
        <f>IFERROR(VLOOKUP($E60,RESOURCES!$C:$G,4,FALSE),"-")</f>
        <v>CRUZ, Noel</v>
      </c>
      <c r="C60" s="461"/>
      <c r="D60" s="489" t="s">
        <v>722</v>
      </c>
      <c r="E60" s="489">
        <v>10072445</v>
      </c>
      <c r="F60" s="489" t="s">
        <v>614</v>
      </c>
      <c r="G60" s="490">
        <v>0.99770000000000003</v>
      </c>
      <c r="H60" s="462"/>
      <c r="I60" s="70">
        <f t="shared" si="0"/>
        <v>0.99770000000000003</v>
      </c>
      <c r="J60" s="71" t="str">
        <f t="shared" si="1"/>
        <v>resource</v>
      </c>
      <c r="U60"/>
      <c r="V60"/>
      <c r="W60"/>
      <c r="X60"/>
      <c r="Y60"/>
    </row>
    <row r="61" spans="1:25">
      <c r="A61" s="487" t="str">
        <f>IFERROR(VLOOKUP($E61,RESOURCES!$C:$G,5,FALSE),"-")</f>
        <v>TAGUILASO, Daryl</v>
      </c>
      <c r="B61" s="487" t="str">
        <f>IFERROR(VLOOKUP($E61,RESOURCES!$C:$G,4,FALSE),"-")</f>
        <v>CRUZ, Noel</v>
      </c>
      <c r="C61" s="461"/>
      <c r="D61" s="489" t="s">
        <v>210</v>
      </c>
      <c r="E61" s="489">
        <v>10071728</v>
      </c>
      <c r="F61" s="489" t="s">
        <v>614</v>
      </c>
      <c r="G61" s="490">
        <v>0.99750000000000005</v>
      </c>
      <c r="H61" s="462"/>
      <c r="I61" s="70">
        <f t="shared" si="0"/>
        <v>0.99750000000000005</v>
      </c>
      <c r="J61" s="71" t="str">
        <f t="shared" si="1"/>
        <v>resource</v>
      </c>
      <c r="U61"/>
      <c r="V61"/>
      <c r="W61"/>
      <c r="X61"/>
      <c r="Y61"/>
    </row>
    <row r="62" spans="1:25">
      <c r="A62" s="487" t="str">
        <f>IFERROR(VLOOKUP($E62,RESOURCES!$C:$G,5,FALSE),"-")</f>
        <v>TAGUILASO, Daryl</v>
      </c>
      <c r="B62" s="487" t="str">
        <f>IFERROR(VLOOKUP($E62,RESOURCES!$C:$G,4,FALSE),"-")</f>
        <v>DE LOS SANTOS, Richard</v>
      </c>
      <c r="C62" s="461"/>
      <c r="D62" s="489" t="s">
        <v>430</v>
      </c>
      <c r="E62" s="489">
        <v>10072458</v>
      </c>
      <c r="F62" s="489" t="s">
        <v>614</v>
      </c>
      <c r="G62" s="490">
        <v>0.99539999999999995</v>
      </c>
      <c r="H62" s="462"/>
      <c r="I62" s="70">
        <f t="shared" si="0"/>
        <v>0.99539999999999995</v>
      </c>
      <c r="J62" s="71" t="str">
        <f t="shared" si="1"/>
        <v>resource</v>
      </c>
      <c r="U62"/>
      <c r="V62"/>
      <c r="W62"/>
      <c r="X62"/>
      <c r="Y62"/>
    </row>
    <row r="63" spans="1:25">
      <c r="A63" s="487" t="str">
        <f>IFERROR(VLOOKUP($E63,RESOURCES!$C:$G,5,FALSE),"-")</f>
        <v>TAGUILASO, Daryl</v>
      </c>
      <c r="B63" s="487" t="str">
        <f>IFERROR(VLOOKUP($E63,RESOURCES!$C:$G,4,FALSE),"-")</f>
        <v>DE LOS SANTOS, Richard</v>
      </c>
      <c r="C63" s="461"/>
      <c r="D63" s="489" t="s">
        <v>468</v>
      </c>
      <c r="E63" s="489">
        <v>10071430</v>
      </c>
      <c r="F63" s="489" t="s">
        <v>614</v>
      </c>
      <c r="G63" s="490">
        <v>0.99880000000000002</v>
      </c>
      <c r="H63" s="462"/>
      <c r="I63" s="70">
        <f t="shared" si="0"/>
        <v>0.99880000000000002</v>
      </c>
      <c r="J63" s="71" t="str">
        <f t="shared" si="1"/>
        <v>resource</v>
      </c>
      <c r="U63"/>
      <c r="V63"/>
      <c r="W63"/>
      <c r="X63"/>
      <c r="Y63"/>
    </row>
    <row r="64" spans="1:25">
      <c r="A64" s="487" t="str">
        <f>IFERROR(VLOOKUP($E64,RESOURCES!$C:$G,5,FALSE),"-")</f>
        <v>TAGUILASO, Daryl</v>
      </c>
      <c r="B64" s="487" t="str">
        <f>IFERROR(VLOOKUP($E64,RESOURCES!$C:$G,4,FALSE),"-")</f>
        <v>DE LOS SANTOS, Richard</v>
      </c>
      <c r="C64" s="461"/>
      <c r="D64" s="489" t="s">
        <v>478</v>
      </c>
      <c r="E64" s="489">
        <v>10072202</v>
      </c>
      <c r="F64" s="489" t="s">
        <v>614</v>
      </c>
      <c r="G64" s="490">
        <v>1</v>
      </c>
      <c r="H64" s="462"/>
      <c r="I64" s="70">
        <f t="shared" si="0"/>
        <v>1</v>
      </c>
      <c r="J64" s="71" t="str">
        <f t="shared" si="1"/>
        <v>resource</v>
      </c>
      <c r="U64"/>
      <c r="V64"/>
      <c r="W64"/>
      <c r="X64"/>
      <c r="Y64"/>
    </row>
    <row r="65" spans="1:25">
      <c r="A65" s="487" t="str">
        <f>IFERROR(VLOOKUP($E65,RESOURCES!$C:$G,5,FALSE),"-")</f>
        <v>TAGUILASO, Daryl</v>
      </c>
      <c r="B65" s="487" t="str">
        <f>IFERROR(VLOOKUP($E65,RESOURCES!$C:$G,4,FALSE),"-")</f>
        <v>DE LOS SANTOS, Richard</v>
      </c>
      <c r="C65" s="461"/>
      <c r="D65" s="489" t="s">
        <v>723</v>
      </c>
      <c r="E65" s="489">
        <v>10072205</v>
      </c>
      <c r="F65" s="489" t="s">
        <v>614</v>
      </c>
      <c r="G65" s="490">
        <v>0.99839999999999995</v>
      </c>
      <c r="H65" s="462"/>
      <c r="I65" s="70">
        <f t="shared" si="0"/>
        <v>0.99839999999999995</v>
      </c>
      <c r="J65" s="71" t="str">
        <f t="shared" si="1"/>
        <v>resource</v>
      </c>
      <c r="U65"/>
      <c r="V65"/>
      <c r="W65"/>
      <c r="X65"/>
      <c r="Y65"/>
    </row>
    <row r="66" spans="1:25">
      <c r="A66" s="487" t="str">
        <f>IFERROR(VLOOKUP($E66,RESOURCES!$C:$G,5,FALSE),"-")</f>
        <v>TAGUILASO, Daryl</v>
      </c>
      <c r="B66" s="487" t="str">
        <f>IFERROR(VLOOKUP($E66,RESOURCES!$C:$G,4,FALSE),"-")</f>
        <v>DE LOS SANTOS, Richard</v>
      </c>
      <c r="C66" s="461"/>
      <c r="D66" s="489" t="s">
        <v>494</v>
      </c>
      <c r="E66" s="489">
        <v>10071811</v>
      </c>
      <c r="F66" s="489" t="s">
        <v>614</v>
      </c>
      <c r="G66" s="490">
        <v>1</v>
      </c>
      <c r="H66" s="462"/>
      <c r="I66" s="70">
        <f t="shared" ref="I66:I129" si="7">IFERROR(AVERAGEIFS($G:$G,$E:$E,$E66),"-")</f>
        <v>1</v>
      </c>
      <c r="J66" s="71" t="str">
        <f t="shared" ref="J66:J129" si="8">IF($C66="Voice QA",$C66,"resource")</f>
        <v>resource</v>
      </c>
      <c r="U66"/>
      <c r="V66"/>
      <c r="W66"/>
      <c r="X66"/>
      <c r="Y66"/>
    </row>
    <row r="67" spans="1:25">
      <c r="A67" s="487" t="str">
        <f>IFERROR(VLOOKUP($E67,RESOURCES!$C:$G,5,FALSE),"-")</f>
        <v>TAGUILASO, Daryl</v>
      </c>
      <c r="B67" s="487" t="str">
        <f>IFERROR(VLOOKUP($E67,RESOURCES!$C:$G,4,FALSE),"-")</f>
        <v>DE LOS SANTOS, Richard</v>
      </c>
      <c r="C67" s="461"/>
      <c r="D67" s="489" t="s">
        <v>548</v>
      </c>
      <c r="E67" s="489">
        <v>10072243</v>
      </c>
      <c r="F67" s="489" t="s">
        <v>614</v>
      </c>
      <c r="G67" s="490">
        <v>1</v>
      </c>
      <c r="H67" s="462"/>
      <c r="I67" s="70">
        <f t="shared" si="7"/>
        <v>1</v>
      </c>
      <c r="J67" s="71" t="str">
        <f t="shared" si="8"/>
        <v>resource</v>
      </c>
      <c r="U67"/>
      <c r="V67"/>
      <c r="W67"/>
      <c r="X67"/>
      <c r="Y67"/>
    </row>
    <row r="68" spans="1:25">
      <c r="A68" s="487" t="str">
        <f>IFERROR(VLOOKUP($E68,RESOURCES!$C:$G,5,FALSE),"-")</f>
        <v>TAGUILASO, Daryl</v>
      </c>
      <c r="B68" s="487" t="str">
        <f>IFERROR(VLOOKUP($E68,RESOURCES!$C:$G,4,FALSE),"-")</f>
        <v>DE LOS SANTOS, Richard</v>
      </c>
      <c r="C68" s="461"/>
      <c r="D68" s="489" t="s">
        <v>553</v>
      </c>
      <c r="E68" s="489">
        <v>10072096</v>
      </c>
      <c r="F68" s="489" t="s">
        <v>614</v>
      </c>
      <c r="G68" s="490">
        <v>0.99739999999999995</v>
      </c>
      <c r="H68" s="462"/>
      <c r="I68" s="70">
        <f t="shared" si="7"/>
        <v>0.99739999999999995</v>
      </c>
      <c r="J68" s="71" t="str">
        <f t="shared" si="8"/>
        <v>resource</v>
      </c>
      <c r="U68"/>
      <c r="V68"/>
      <c r="W68"/>
      <c r="X68"/>
      <c r="Y68"/>
    </row>
    <row r="69" spans="1:25">
      <c r="A69" s="487" t="str">
        <f>IFERROR(VLOOKUP($E69,RESOURCES!$C:$G,5,FALSE),"-")</f>
        <v>TAGUILASO, Daryl</v>
      </c>
      <c r="B69" s="487" t="str">
        <f>IFERROR(VLOOKUP($E69,RESOURCES!$C:$G,4,FALSE),"-")</f>
        <v>DE LOS SANTOS, Richard</v>
      </c>
      <c r="C69" s="461"/>
      <c r="D69" s="489" t="s">
        <v>490</v>
      </c>
      <c r="E69" s="489">
        <v>10071432</v>
      </c>
      <c r="F69" s="489" t="s">
        <v>614</v>
      </c>
      <c r="G69" s="490">
        <v>1</v>
      </c>
      <c r="H69" s="462"/>
      <c r="I69" s="70">
        <f t="shared" si="7"/>
        <v>1</v>
      </c>
      <c r="J69" s="71" t="str">
        <f t="shared" si="8"/>
        <v>resource</v>
      </c>
      <c r="U69"/>
      <c r="V69"/>
      <c r="W69"/>
      <c r="X69"/>
      <c r="Y69"/>
    </row>
    <row r="70" spans="1:25">
      <c r="A70" s="487" t="str">
        <f>IFERROR(VLOOKUP($E70,RESOURCES!$C:$G,5,FALSE),"-")</f>
        <v>TAGUILASO, Daryl</v>
      </c>
      <c r="B70" s="487" t="str">
        <f>IFERROR(VLOOKUP($E70,RESOURCES!$C:$G,4,FALSE),"-")</f>
        <v>DE LOS SANTOS, Richard</v>
      </c>
      <c r="C70" s="461"/>
      <c r="D70" s="489" t="s">
        <v>198</v>
      </c>
      <c r="E70" s="489">
        <v>10071188</v>
      </c>
      <c r="F70" s="489" t="s">
        <v>614</v>
      </c>
      <c r="G70" s="490">
        <v>0.99450000000000005</v>
      </c>
      <c r="H70" s="462"/>
      <c r="I70" s="70">
        <f t="shared" si="7"/>
        <v>0.99450000000000005</v>
      </c>
      <c r="J70" s="71" t="str">
        <f t="shared" si="8"/>
        <v>resource</v>
      </c>
      <c r="U70"/>
      <c r="V70"/>
      <c r="W70"/>
      <c r="X70"/>
      <c r="Y70"/>
    </row>
    <row r="71" spans="1:25">
      <c r="A71" s="487" t="str">
        <f>IFERROR(VLOOKUP($E71,RESOURCES!$C:$G,5,FALSE),"-")</f>
        <v>TAGUILASO, Daryl</v>
      </c>
      <c r="B71" s="487" t="str">
        <f>IFERROR(VLOOKUP($E71,RESOURCES!$C:$G,4,FALSE),"-")</f>
        <v>FLORES, Emmanuel</v>
      </c>
      <c r="C71" s="461"/>
      <c r="D71" s="489" t="s">
        <v>458</v>
      </c>
      <c r="E71" s="489">
        <v>10072177</v>
      </c>
      <c r="F71" s="489" t="s">
        <v>614</v>
      </c>
      <c r="G71" s="490">
        <v>0.99619999999999997</v>
      </c>
      <c r="H71" s="462"/>
      <c r="I71" s="70">
        <f t="shared" si="7"/>
        <v>0.99619999999999997</v>
      </c>
      <c r="J71" s="71" t="str">
        <f t="shared" si="8"/>
        <v>resource</v>
      </c>
      <c r="U71"/>
      <c r="V71"/>
      <c r="W71"/>
      <c r="X71"/>
      <c r="Y71"/>
    </row>
    <row r="72" spans="1:25">
      <c r="A72" s="487" t="str">
        <f>IFERROR(VLOOKUP($E72,RESOURCES!$C:$G,5,FALSE),"-")</f>
        <v>TAGUILASO, Daryl</v>
      </c>
      <c r="B72" s="487" t="str">
        <f>IFERROR(VLOOKUP($E72,RESOURCES!$C:$G,4,FALSE),"-")</f>
        <v>FLORES, Emmanuel</v>
      </c>
      <c r="C72" s="461"/>
      <c r="D72" s="489" t="s">
        <v>433</v>
      </c>
      <c r="E72" s="489">
        <v>10071358</v>
      </c>
      <c r="F72" s="489" t="s">
        <v>614</v>
      </c>
      <c r="G72" s="490">
        <v>0.99809999999999999</v>
      </c>
      <c r="H72" s="462"/>
      <c r="I72" s="70">
        <f t="shared" si="7"/>
        <v>0.99809999999999999</v>
      </c>
      <c r="J72" s="71" t="str">
        <f t="shared" si="8"/>
        <v>resource</v>
      </c>
      <c r="U72"/>
      <c r="V72"/>
      <c r="W72"/>
      <c r="X72"/>
      <c r="Y72"/>
    </row>
    <row r="73" spans="1:25">
      <c r="A73" s="487" t="str">
        <f>IFERROR(VLOOKUP($E73,RESOURCES!$C:$G,5,FALSE),"-")</f>
        <v>TAGUILASO, Daryl</v>
      </c>
      <c r="B73" s="487" t="str">
        <f>IFERROR(VLOOKUP($E73,RESOURCES!$C:$G,4,FALSE),"-")</f>
        <v>FLORES, Emmanuel</v>
      </c>
      <c r="C73" s="461"/>
      <c r="D73" s="489" t="s">
        <v>436</v>
      </c>
      <c r="E73" s="489">
        <v>10071910</v>
      </c>
      <c r="F73" s="489" t="s">
        <v>614</v>
      </c>
      <c r="G73" s="490">
        <v>0.99650000000000005</v>
      </c>
      <c r="H73" s="462"/>
      <c r="I73" s="70">
        <f t="shared" si="7"/>
        <v>0.99650000000000005</v>
      </c>
      <c r="J73" s="71" t="str">
        <f t="shared" si="8"/>
        <v>resource</v>
      </c>
      <c r="U73"/>
      <c r="V73"/>
      <c r="W73"/>
      <c r="X73"/>
      <c r="Y73"/>
    </row>
    <row r="74" spans="1:25">
      <c r="A74" s="487" t="str">
        <f>IFERROR(VLOOKUP($E74,RESOURCES!$C:$G,5,FALSE),"-")</f>
        <v>TAGUILASO, Daryl</v>
      </c>
      <c r="B74" s="487" t="str">
        <f>IFERROR(VLOOKUP($E74,RESOURCES!$C:$G,4,FALSE),"-")</f>
        <v>FLORES, Emmanuel</v>
      </c>
      <c r="C74" s="461"/>
      <c r="D74" s="489" t="s">
        <v>444</v>
      </c>
      <c r="E74" s="489">
        <v>10071433</v>
      </c>
      <c r="F74" s="489" t="s">
        <v>614</v>
      </c>
      <c r="G74" s="490">
        <v>0.99460000000000004</v>
      </c>
      <c r="H74" s="462"/>
      <c r="I74" s="70">
        <f t="shared" si="7"/>
        <v>0.99460000000000004</v>
      </c>
      <c r="J74" s="71" t="str">
        <f t="shared" si="8"/>
        <v>resource</v>
      </c>
      <c r="U74"/>
      <c r="V74"/>
      <c r="W74"/>
      <c r="X74"/>
      <c r="Y74"/>
    </row>
    <row r="75" spans="1:25">
      <c r="A75" s="487" t="str">
        <f>IFERROR(VLOOKUP($E75,RESOURCES!$C:$G,5,FALSE),"-")</f>
        <v>TAGUILASO, Daryl</v>
      </c>
      <c r="B75" s="487" t="str">
        <f>IFERROR(VLOOKUP($E75,RESOURCES!$C:$G,4,FALSE),"-")</f>
        <v>FLORES, Emmanuel</v>
      </c>
      <c r="C75" s="461"/>
      <c r="D75" s="489" t="s">
        <v>448</v>
      </c>
      <c r="E75" s="489">
        <v>10072437</v>
      </c>
      <c r="F75" s="489" t="s">
        <v>614</v>
      </c>
      <c r="G75" s="490">
        <v>0.99439999999999995</v>
      </c>
      <c r="H75" s="462"/>
      <c r="I75" s="70">
        <f t="shared" si="7"/>
        <v>0.99439999999999995</v>
      </c>
      <c r="J75" s="71" t="str">
        <f t="shared" si="8"/>
        <v>resource</v>
      </c>
      <c r="U75"/>
      <c r="V75"/>
      <c r="W75"/>
      <c r="X75"/>
      <c r="Y75"/>
    </row>
    <row r="76" spans="1:25">
      <c r="A76" s="487" t="str">
        <f>IFERROR(VLOOKUP($E76,RESOURCES!$C:$G,5,FALSE),"-")</f>
        <v>TAGUILASO, Daryl</v>
      </c>
      <c r="B76" s="487" t="str">
        <f>IFERROR(VLOOKUP($E76,RESOURCES!$C:$G,4,FALSE),"-")</f>
        <v>FLORES, Emmanuel</v>
      </c>
      <c r="C76" s="461"/>
      <c r="D76" s="489" t="s">
        <v>486</v>
      </c>
      <c r="E76" s="489">
        <v>10072453</v>
      </c>
      <c r="F76" s="489" t="s">
        <v>614</v>
      </c>
      <c r="G76" s="490">
        <v>0.99439999999999995</v>
      </c>
      <c r="H76" s="462"/>
      <c r="I76" s="70">
        <f t="shared" si="7"/>
        <v>0.99439999999999995</v>
      </c>
      <c r="J76" s="71" t="str">
        <f t="shared" si="8"/>
        <v>resource</v>
      </c>
      <c r="U76"/>
      <c r="V76"/>
      <c r="W76"/>
      <c r="X76"/>
      <c r="Y76"/>
    </row>
    <row r="77" spans="1:25">
      <c r="A77" s="487" t="str">
        <f>IFERROR(VLOOKUP($E77,RESOURCES!$C:$G,5,FALSE),"-")</f>
        <v>TAGUILASO, Daryl</v>
      </c>
      <c r="B77" s="487" t="str">
        <f>IFERROR(VLOOKUP($E77,RESOURCES!$C:$G,4,FALSE),"-")</f>
        <v>FLORES, Emmanuel</v>
      </c>
      <c r="C77" s="461"/>
      <c r="D77" s="489" t="s">
        <v>520</v>
      </c>
      <c r="E77" s="489">
        <v>10071268</v>
      </c>
      <c r="F77" s="489" t="s">
        <v>614</v>
      </c>
      <c r="G77" s="490">
        <v>0.995</v>
      </c>
      <c r="H77" s="462"/>
      <c r="I77" s="70">
        <f t="shared" si="7"/>
        <v>0.995</v>
      </c>
      <c r="J77" s="71" t="str">
        <f t="shared" si="8"/>
        <v>resource</v>
      </c>
      <c r="U77"/>
      <c r="V77"/>
      <c r="W77"/>
      <c r="X77"/>
      <c r="Y77"/>
    </row>
    <row r="78" spans="1:25">
      <c r="A78" s="487" t="str">
        <f>IFERROR(VLOOKUP($E78,RESOURCES!$C:$G,5,FALSE),"-")</f>
        <v>TAGUILASO, Daryl</v>
      </c>
      <c r="B78" s="487" t="str">
        <f>IFERROR(VLOOKUP($E78,RESOURCES!$C:$G,4,FALSE),"-")</f>
        <v>FLORES, Emmanuel</v>
      </c>
      <c r="C78" s="461"/>
      <c r="D78" s="489" t="s">
        <v>540</v>
      </c>
      <c r="E78" s="489">
        <v>10071296</v>
      </c>
      <c r="F78" s="489" t="s">
        <v>614</v>
      </c>
      <c r="G78" s="490">
        <v>0.99809999999999999</v>
      </c>
      <c r="H78" s="462"/>
      <c r="I78" s="70">
        <f t="shared" si="7"/>
        <v>0.99809999999999999</v>
      </c>
      <c r="J78" s="71" t="str">
        <f t="shared" si="8"/>
        <v>resource</v>
      </c>
      <c r="U78"/>
      <c r="V78"/>
      <c r="W78"/>
      <c r="X78"/>
      <c r="Y78"/>
    </row>
    <row r="79" spans="1:25">
      <c r="A79" s="487" t="str">
        <f>IFERROR(VLOOKUP($E79,RESOURCES!$C:$G,5,FALSE),"-")</f>
        <v>TAGUILASO, Daryl</v>
      </c>
      <c r="B79" s="487" t="str">
        <f>IFERROR(VLOOKUP($E79,RESOURCES!$C:$G,4,FALSE),"-")</f>
        <v>FLORES, Emmanuel</v>
      </c>
      <c r="C79" s="461"/>
      <c r="D79" s="489" t="s">
        <v>549</v>
      </c>
      <c r="E79" s="489">
        <v>10071283</v>
      </c>
      <c r="F79" s="489" t="s">
        <v>614</v>
      </c>
      <c r="G79" s="490">
        <v>0.99450000000000005</v>
      </c>
      <c r="H79" s="462"/>
      <c r="I79" s="70">
        <f t="shared" si="7"/>
        <v>0.99450000000000005</v>
      </c>
      <c r="J79" s="71" t="str">
        <f t="shared" si="8"/>
        <v>resource</v>
      </c>
      <c r="U79"/>
      <c r="V79"/>
      <c r="W79"/>
      <c r="X79"/>
      <c r="Y79"/>
    </row>
    <row r="80" spans="1:25">
      <c r="A80" s="487" t="str">
        <f>IFERROR(VLOOKUP($E80,RESOURCES!$C:$G,5,FALSE),"-")</f>
        <v>TAGUILASO, Daryl</v>
      </c>
      <c r="B80" s="487" t="str">
        <f>IFERROR(VLOOKUP($E80,RESOURCES!$C:$G,4,FALSE),"-")</f>
        <v>FLORES, Emmanuel</v>
      </c>
      <c r="C80" s="461"/>
      <c r="D80" s="489" t="s">
        <v>182</v>
      </c>
      <c r="E80" s="489">
        <v>10071753</v>
      </c>
      <c r="F80" s="489" t="s">
        <v>614</v>
      </c>
      <c r="G80" s="490">
        <v>0.99180000000000001</v>
      </c>
      <c r="H80" s="462"/>
      <c r="I80" s="70">
        <f t="shared" si="7"/>
        <v>0.99180000000000001</v>
      </c>
      <c r="J80" s="71" t="str">
        <f t="shared" si="8"/>
        <v>resource</v>
      </c>
      <c r="U80"/>
      <c r="V80"/>
      <c r="W80"/>
      <c r="X80"/>
      <c r="Y80"/>
    </row>
    <row r="81" spans="1:25">
      <c r="A81" s="487" t="str">
        <f>IFERROR(VLOOKUP($E81,RESOURCES!$C:$G,5,FALSE),"-")</f>
        <v>MENDOZA, Carlo</v>
      </c>
      <c r="B81" s="487" t="str">
        <f>IFERROR(VLOOKUP($E81,RESOURCES!$C:$G,4,FALSE),"-")</f>
        <v>JAYAWON, Franklin</v>
      </c>
      <c r="C81" s="461"/>
      <c r="D81" s="489" t="s">
        <v>432</v>
      </c>
      <c r="E81" s="489">
        <v>10072155</v>
      </c>
      <c r="F81" s="489" t="s">
        <v>614</v>
      </c>
      <c r="G81" s="490">
        <v>0.99590000000000001</v>
      </c>
      <c r="H81" s="462"/>
      <c r="I81" s="70">
        <f t="shared" si="7"/>
        <v>0.99590000000000001</v>
      </c>
      <c r="J81" s="71" t="str">
        <f t="shared" si="8"/>
        <v>resource</v>
      </c>
      <c r="U81"/>
      <c r="V81"/>
      <c r="W81"/>
      <c r="X81"/>
      <c r="Y81"/>
    </row>
    <row r="82" spans="1:25">
      <c r="A82" s="487" t="str">
        <f>IFERROR(VLOOKUP($E82,RESOURCES!$C:$G,5,FALSE),"-")</f>
        <v>MENDOZA, Carlo</v>
      </c>
      <c r="B82" s="487" t="str">
        <f>IFERROR(VLOOKUP($E82,RESOURCES!$C:$G,4,FALSE),"-")</f>
        <v>JAYAWON, Franklin</v>
      </c>
      <c r="C82" s="461"/>
      <c r="D82" s="489" t="s">
        <v>460</v>
      </c>
      <c r="E82" s="489">
        <v>10072451</v>
      </c>
      <c r="F82" s="489" t="s">
        <v>614</v>
      </c>
      <c r="G82" s="490">
        <v>0.998</v>
      </c>
      <c r="H82" s="462"/>
      <c r="I82" s="70">
        <f t="shared" si="7"/>
        <v>0.998</v>
      </c>
      <c r="J82" s="71" t="str">
        <f t="shared" si="8"/>
        <v>resource</v>
      </c>
      <c r="U82"/>
      <c r="V82"/>
      <c r="W82"/>
      <c r="X82"/>
      <c r="Y82"/>
    </row>
    <row r="83" spans="1:25">
      <c r="A83" s="487" t="str">
        <f>IFERROR(VLOOKUP($E83,RESOURCES!$C:$G,5,FALSE),"-")</f>
        <v>MENDOZA, Carlo</v>
      </c>
      <c r="B83" s="487" t="str">
        <f>IFERROR(VLOOKUP($E83,RESOURCES!$C:$G,4,FALSE),"-")</f>
        <v>JAYAWON, Franklin</v>
      </c>
      <c r="C83" s="461"/>
      <c r="D83" s="489" t="s">
        <v>467</v>
      </c>
      <c r="E83" s="489">
        <v>10072241</v>
      </c>
      <c r="F83" s="489" t="s">
        <v>614</v>
      </c>
      <c r="G83" s="490">
        <v>0.99739999999999995</v>
      </c>
      <c r="H83" s="462"/>
      <c r="I83" s="70">
        <f t="shared" si="7"/>
        <v>0.99739999999999995</v>
      </c>
      <c r="J83" s="71" t="str">
        <f t="shared" si="8"/>
        <v>resource</v>
      </c>
      <c r="U83"/>
      <c r="V83"/>
      <c r="W83"/>
      <c r="X83"/>
      <c r="Y83"/>
    </row>
    <row r="84" spans="1:25">
      <c r="A84" s="487" t="str">
        <f>IFERROR(VLOOKUP($E84,RESOURCES!$C:$G,5,FALSE),"-")</f>
        <v>MENDOZA, Carlo</v>
      </c>
      <c r="B84" s="487" t="str">
        <f>IFERROR(VLOOKUP($E84,RESOURCES!$C:$G,4,FALSE),"-")</f>
        <v>JAYAWON, Franklin</v>
      </c>
      <c r="C84" s="461"/>
      <c r="D84" s="489" t="s">
        <v>492</v>
      </c>
      <c r="E84" s="489">
        <v>10072237</v>
      </c>
      <c r="F84" s="489" t="s">
        <v>614</v>
      </c>
      <c r="G84" s="490">
        <v>0.99319999999999997</v>
      </c>
      <c r="H84" s="462"/>
      <c r="I84" s="70">
        <f t="shared" si="7"/>
        <v>0.99319999999999997</v>
      </c>
      <c r="J84" s="71" t="str">
        <f t="shared" si="8"/>
        <v>resource</v>
      </c>
      <c r="U84"/>
      <c r="V84"/>
      <c r="W84"/>
      <c r="X84"/>
      <c r="Y84"/>
    </row>
    <row r="85" spans="1:25">
      <c r="A85" s="487" t="str">
        <f>IFERROR(VLOOKUP($E85,RESOURCES!$C:$G,5,FALSE),"-")</f>
        <v>MENDOZA, Carlo</v>
      </c>
      <c r="B85" s="487" t="str">
        <f>IFERROR(VLOOKUP($E85,RESOURCES!$C:$G,4,FALSE),"-")</f>
        <v>JAYAWON, Franklin</v>
      </c>
      <c r="C85" s="461"/>
      <c r="D85" s="489" t="s">
        <v>514</v>
      </c>
      <c r="E85" s="489">
        <v>10071067</v>
      </c>
      <c r="F85" s="489" t="s">
        <v>614</v>
      </c>
      <c r="G85" s="490">
        <v>0.99409999999999998</v>
      </c>
      <c r="H85" s="462"/>
      <c r="I85" s="70">
        <f t="shared" si="7"/>
        <v>0.99409999999999998</v>
      </c>
      <c r="J85" s="71" t="str">
        <f t="shared" si="8"/>
        <v>resource</v>
      </c>
      <c r="U85"/>
      <c r="V85"/>
      <c r="W85"/>
      <c r="X85"/>
      <c r="Y85"/>
    </row>
    <row r="86" spans="1:25">
      <c r="A86" s="487" t="str">
        <f>IFERROR(VLOOKUP($E86,RESOURCES!$C:$G,5,FALSE),"-")</f>
        <v>MENDOZA, Carlo</v>
      </c>
      <c r="B86" s="487" t="str">
        <f>IFERROR(VLOOKUP($E86,RESOURCES!$C:$G,4,FALSE),"-")</f>
        <v>JAYAWON, Franklin</v>
      </c>
      <c r="C86" s="461"/>
      <c r="D86" s="489" t="s">
        <v>518</v>
      </c>
      <c r="E86" s="489">
        <v>10071420</v>
      </c>
      <c r="F86" s="489" t="s">
        <v>614</v>
      </c>
      <c r="G86" s="490">
        <v>0.99660000000000004</v>
      </c>
      <c r="H86" s="462"/>
      <c r="I86" s="70">
        <f t="shared" si="7"/>
        <v>0.99660000000000004</v>
      </c>
      <c r="J86" s="71" t="str">
        <f t="shared" si="8"/>
        <v>resource</v>
      </c>
      <c r="U86"/>
      <c r="V86"/>
      <c r="W86"/>
      <c r="X86"/>
      <c r="Y86"/>
    </row>
    <row r="87" spans="1:25">
      <c r="A87" s="487" t="str">
        <f>IFERROR(VLOOKUP($E87,RESOURCES!$C:$G,5,FALSE),"-")</f>
        <v>MENDOZA, Carlo</v>
      </c>
      <c r="B87" s="487" t="str">
        <f>IFERROR(VLOOKUP($E87,RESOURCES!$C:$G,4,FALSE),"-")</f>
        <v>JAYAWON, Franklin</v>
      </c>
      <c r="C87" s="461"/>
      <c r="D87" s="489" t="s">
        <v>529</v>
      </c>
      <c r="E87" s="489">
        <v>10071677</v>
      </c>
      <c r="F87" s="489" t="s">
        <v>614</v>
      </c>
      <c r="G87" s="490">
        <v>0.99819999999999998</v>
      </c>
      <c r="H87" s="462"/>
      <c r="I87" s="70">
        <f t="shared" si="7"/>
        <v>0.99819999999999998</v>
      </c>
      <c r="J87" s="71" t="str">
        <f t="shared" si="8"/>
        <v>resource</v>
      </c>
      <c r="U87"/>
      <c r="V87"/>
      <c r="W87"/>
      <c r="X87"/>
      <c r="Y87"/>
    </row>
    <row r="88" spans="1:25">
      <c r="A88" s="487" t="str">
        <f>IFERROR(VLOOKUP($E88,RESOURCES!$C:$G,5,FALSE),"-")</f>
        <v>MENDOZA, Carlo</v>
      </c>
      <c r="B88" s="487" t="str">
        <f>IFERROR(VLOOKUP($E88,RESOURCES!$C:$G,4,FALSE),"-")</f>
        <v>JAYAWON, Franklin</v>
      </c>
      <c r="C88" s="461"/>
      <c r="D88" s="489" t="s">
        <v>534</v>
      </c>
      <c r="E88" s="489">
        <v>10071253</v>
      </c>
      <c r="F88" s="489" t="s">
        <v>614</v>
      </c>
      <c r="G88" s="490">
        <v>1</v>
      </c>
      <c r="H88" s="462"/>
      <c r="I88" s="70">
        <f t="shared" si="7"/>
        <v>1</v>
      </c>
      <c r="J88" s="71" t="str">
        <f t="shared" si="8"/>
        <v>resource</v>
      </c>
      <c r="U88"/>
      <c r="V88"/>
      <c r="W88"/>
      <c r="X88"/>
      <c r="Y88"/>
    </row>
    <row r="89" spans="1:25">
      <c r="A89" s="487" t="str">
        <f>IFERROR(VLOOKUP($E89,RESOURCES!$C:$G,5,FALSE),"-")</f>
        <v>MENDOZA, Carlo</v>
      </c>
      <c r="B89" s="487" t="str">
        <f>IFERROR(VLOOKUP($E89,RESOURCES!$C:$G,4,FALSE),"-")</f>
        <v>JAYAWON, Franklin</v>
      </c>
      <c r="C89" s="461"/>
      <c r="D89" s="489" t="s">
        <v>546</v>
      </c>
      <c r="E89" s="489">
        <v>10072450</v>
      </c>
      <c r="F89" s="489" t="s">
        <v>614</v>
      </c>
      <c r="G89" s="490">
        <v>0.99590000000000001</v>
      </c>
      <c r="H89" s="462"/>
      <c r="I89" s="70">
        <f t="shared" si="7"/>
        <v>0.99590000000000001</v>
      </c>
      <c r="J89" s="71" t="str">
        <f t="shared" si="8"/>
        <v>resource</v>
      </c>
      <c r="U89"/>
      <c r="V89"/>
      <c r="W89"/>
      <c r="X89"/>
      <c r="Y89"/>
    </row>
    <row r="90" spans="1:25">
      <c r="A90" s="487" t="str">
        <f>IFERROR(VLOOKUP($E90,RESOURCES!$C:$G,5,FALSE),"-")</f>
        <v>MENDOZA, Carlo</v>
      </c>
      <c r="B90" s="487" t="str">
        <f>IFERROR(VLOOKUP($E90,RESOURCES!$C:$G,4,FALSE),"-")</f>
        <v>JAYAWON, Franklin</v>
      </c>
      <c r="C90" s="461"/>
      <c r="D90" s="489" t="s">
        <v>166</v>
      </c>
      <c r="E90" s="489">
        <v>10072255</v>
      </c>
      <c r="F90" s="489" t="s">
        <v>614</v>
      </c>
      <c r="G90" s="490">
        <v>0.99350000000000005</v>
      </c>
      <c r="H90" s="462"/>
      <c r="I90" s="70">
        <f t="shared" si="7"/>
        <v>0.99350000000000005</v>
      </c>
      <c r="J90" s="71" t="str">
        <f t="shared" si="8"/>
        <v>resource</v>
      </c>
      <c r="U90"/>
      <c r="V90"/>
      <c r="W90"/>
      <c r="X90"/>
      <c r="Y90"/>
    </row>
    <row r="91" spans="1:25">
      <c r="A91" s="487" t="str">
        <f>IFERROR(VLOOKUP($E91,RESOURCES!$C:$G,5,FALSE),"-")</f>
        <v>MENDOZA, Carlo</v>
      </c>
      <c r="B91" s="487" t="str">
        <f>IFERROR(VLOOKUP($E91,RESOURCES!$C:$G,4,FALSE),"-")</f>
        <v>LAPASTORA, Mark Anthony</v>
      </c>
      <c r="C91" s="461"/>
      <c r="D91" s="489" t="s">
        <v>425</v>
      </c>
      <c r="E91" s="489">
        <v>10072201</v>
      </c>
      <c r="F91" s="489" t="s">
        <v>614</v>
      </c>
      <c r="G91" s="490">
        <v>1</v>
      </c>
      <c r="H91" s="462"/>
      <c r="I91" s="70">
        <f t="shared" si="7"/>
        <v>1</v>
      </c>
      <c r="J91" s="71" t="str">
        <f t="shared" si="8"/>
        <v>resource</v>
      </c>
      <c r="U91"/>
      <c r="V91"/>
      <c r="W91"/>
      <c r="X91"/>
      <c r="Y91"/>
    </row>
    <row r="92" spans="1:25">
      <c r="A92" s="487" t="str">
        <f>IFERROR(VLOOKUP($E92,RESOURCES!$C:$G,5,FALSE),"-")</f>
        <v>MENDOZA, Carlo</v>
      </c>
      <c r="B92" s="487" t="str">
        <f>IFERROR(VLOOKUP($E92,RESOURCES!$C:$G,4,FALSE),"-")</f>
        <v>LAPASTORA, Mark Anthony</v>
      </c>
      <c r="C92" s="461"/>
      <c r="D92" s="489" t="s">
        <v>426</v>
      </c>
      <c r="E92" s="489">
        <v>10071631</v>
      </c>
      <c r="F92" s="489" t="s">
        <v>614</v>
      </c>
      <c r="G92" s="490">
        <v>0.99790000000000001</v>
      </c>
      <c r="H92" s="462"/>
      <c r="I92" s="70">
        <f t="shared" si="7"/>
        <v>0.99790000000000001</v>
      </c>
      <c r="J92" s="71" t="str">
        <f t="shared" si="8"/>
        <v>resource</v>
      </c>
      <c r="U92"/>
      <c r="V92"/>
      <c r="W92"/>
      <c r="X92"/>
      <c r="Y92"/>
    </row>
    <row r="93" spans="1:25">
      <c r="A93" s="487" t="str">
        <f>IFERROR(VLOOKUP($E93,RESOURCES!$C:$G,5,FALSE),"-")</f>
        <v>MENDOZA, Carlo</v>
      </c>
      <c r="B93" s="487" t="str">
        <f>IFERROR(VLOOKUP($E93,RESOURCES!$C:$G,4,FALSE),"-")</f>
        <v>LAPASTORA, Mark Anthony</v>
      </c>
      <c r="C93" s="461"/>
      <c r="D93" s="489" t="s">
        <v>442</v>
      </c>
      <c r="E93" s="489">
        <v>10071958</v>
      </c>
      <c r="F93" s="489" t="s">
        <v>614</v>
      </c>
      <c r="G93" s="490">
        <v>0.99519999999999997</v>
      </c>
      <c r="H93" s="462"/>
      <c r="I93" s="70">
        <f t="shared" si="7"/>
        <v>0.99519999999999997</v>
      </c>
      <c r="J93" s="71" t="str">
        <f t="shared" si="8"/>
        <v>resource</v>
      </c>
      <c r="U93"/>
      <c r="V93"/>
      <c r="W93"/>
      <c r="X93"/>
      <c r="Y93"/>
    </row>
    <row r="94" spans="1:25">
      <c r="A94" s="487" t="str">
        <f>IFERROR(VLOOKUP($E94,RESOURCES!$C:$G,5,FALSE),"-")</f>
        <v>MENDOZA, Carlo</v>
      </c>
      <c r="B94" s="487" t="str">
        <f>IFERROR(VLOOKUP($E94,RESOURCES!$C:$G,4,FALSE),"-")</f>
        <v>LAPASTORA, Mark Anthony</v>
      </c>
      <c r="C94" s="461"/>
      <c r="D94" s="489" t="s">
        <v>470</v>
      </c>
      <c r="E94" s="489">
        <v>10071039</v>
      </c>
      <c r="F94" s="489" t="s">
        <v>614</v>
      </c>
      <c r="G94" s="490">
        <v>1</v>
      </c>
      <c r="H94" s="462"/>
      <c r="I94" s="70">
        <f t="shared" si="7"/>
        <v>1</v>
      </c>
      <c r="J94" s="71" t="str">
        <f t="shared" si="8"/>
        <v>resource</v>
      </c>
      <c r="U94"/>
      <c r="V94"/>
      <c r="W94"/>
      <c r="X94"/>
      <c r="Y94"/>
    </row>
    <row r="95" spans="1:25">
      <c r="A95" s="487" t="str">
        <f>IFERROR(VLOOKUP($E95,RESOURCES!$C:$G,5,FALSE),"-")</f>
        <v>MENDOZA, Carlo</v>
      </c>
      <c r="B95" s="487" t="str">
        <f>IFERROR(VLOOKUP($E95,RESOURCES!$C:$G,4,FALSE),"-")</f>
        <v>LAPASTORA, Mark Anthony</v>
      </c>
      <c r="C95" s="461"/>
      <c r="D95" s="489" t="s">
        <v>476</v>
      </c>
      <c r="E95" s="489">
        <v>10071261</v>
      </c>
      <c r="F95" s="489" t="s">
        <v>614</v>
      </c>
      <c r="G95" s="490">
        <v>0.99870000000000003</v>
      </c>
      <c r="H95" s="462"/>
      <c r="I95" s="70">
        <f t="shared" si="7"/>
        <v>0.99870000000000003</v>
      </c>
      <c r="J95" s="71" t="str">
        <f t="shared" si="8"/>
        <v>resource</v>
      </c>
      <c r="U95"/>
      <c r="V95"/>
      <c r="W95"/>
      <c r="X95"/>
      <c r="Y95"/>
    </row>
    <row r="96" spans="1:25">
      <c r="A96" s="487" t="str">
        <f>IFERROR(VLOOKUP($E96,RESOURCES!$C:$G,5,FALSE),"-")</f>
        <v>MENDOZA, Carlo</v>
      </c>
      <c r="B96" s="487" t="str">
        <f>IFERROR(VLOOKUP($E96,RESOURCES!$C:$G,4,FALSE),"-")</f>
        <v>LAPASTORA, Mark Anthony</v>
      </c>
      <c r="C96" s="461"/>
      <c r="D96" s="489" t="s">
        <v>477</v>
      </c>
      <c r="E96" s="489">
        <v>10071751</v>
      </c>
      <c r="F96" s="489" t="s">
        <v>614</v>
      </c>
      <c r="G96" s="490">
        <v>0.95820000000000005</v>
      </c>
      <c r="H96" s="462"/>
      <c r="I96" s="70">
        <f t="shared" si="7"/>
        <v>0.95820000000000005</v>
      </c>
      <c r="J96" s="71" t="str">
        <f t="shared" si="8"/>
        <v>resource</v>
      </c>
      <c r="U96"/>
      <c r="V96"/>
      <c r="W96"/>
      <c r="X96"/>
      <c r="Y96"/>
    </row>
    <row r="97" spans="1:25">
      <c r="A97" s="487" t="str">
        <f>IFERROR(VLOOKUP($E97,RESOURCES!$C:$G,5,FALSE),"-")</f>
        <v>MENDOZA, Carlo</v>
      </c>
      <c r="B97" s="487" t="str">
        <f>IFERROR(VLOOKUP($E97,RESOURCES!$C:$G,4,FALSE),"-")</f>
        <v>LAPASTORA, Mark Anthony</v>
      </c>
      <c r="C97" s="461"/>
      <c r="D97" s="489" t="s">
        <v>487</v>
      </c>
      <c r="E97" s="489">
        <v>10072238</v>
      </c>
      <c r="F97" s="489" t="s">
        <v>614</v>
      </c>
      <c r="G97" s="490">
        <v>0.99470000000000003</v>
      </c>
      <c r="H97" s="462"/>
      <c r="I97" s="70">
        <f t="shared" si="7"/>
        <v>0.99470000000000003</v>
      </c>
      <c r="J97" s="71" t="str">
        <f t="shared" si="8"/>
        <v>resource</v>
      </c>
      <c r="U97"/>
      <c r="V97"/>
      <c r="W97"/>
      <c r="X97"/>
      <c r="Y97"/>
    </row>
    <row r="98" spans="1:25">
      <c r="A98" s="487" t="str">
        <f>IFERROR(VLOOKUP($E98,RESOURCES!$C:$G,5,FALSE),"-")</f>
        <v>MENDOZA, Carlo</v>
      </c>
      <c r="B98" s="487" t="str">
        <f>IFERROR(VLOOKUP($E98,RESOURCES!$C:$G,4,FALSE),"-")</f>
        <v>LAPASTORA, Mark Anthony</v>
      </c>
      <c r="C98" s="461"/>
      <c r="D98" s="489" t="s">
        <v>495</v>
      </c>
      <c r="E98" s="489">
        <v>10071275</v>
      </c>
      <c r="F98" s="489" t="s">
        <v>614</v>
      </c>
      <c r="G98" s="490">
        <v>1</v>
      </c>
      <c r="H98" s="462"/>
      <c r="I98" s="70">
        <f t="shared" si="7"/>
        <v>1</v>
      </c>
      <c r="J98" s="71" t="str">
        <f t="shared" si="8"/>
        <v>resource</v>
      </c>
      <c r="U98"/>
      <c r="V98"/>
      <c r="W98"/>
      <c r="X98"/>
      <c r="Y98"/>
    </row>
    <row r="99" spans="1:25">
      <c r="A99" s="487" t="str">
        <f>IFERROR(VLOOKUP($E99,RESOURCES!$C:$G,5,FALSE),"-")</f>
        <v>MENDOZA, Carlo</v>
      </c>
      <c r="B99" s="487" t="str">
        <f>IFERROR(VLOOKUP($E99,RESOURCES!$C:$G,4,FALSE),"-")</f>
        <v>LAPASTORA, Mark Anthony</v>
      </c>
      <c r="C99" s="461"/>
      <c r="D99" s="489" t="s">
        <v>523</v>
      </c>
      <c r="E99" s="489">
        <v>10072233</v>
      </c>
      <c r="F99" s="489" t="s">
        <v>614</v>
      </c>
      <c r="G99" s="490">
        <v>0.99539999999999995</v>
      </c>
      <c r="H99" s="462"/>
      <c r="I99" s="70">
        <f t="shared" si="7"/>
        <v>0.99539999999999995</v>
      </c>
      <c r="J99" s="71" t="str">
        <f t="shared" si="8"/>
        <v>resource</v>
      </c>
      <c r="U99"/>
      <c r="V99"/>
      <c r="W99"/>
      <c r="X99"/>
      <c r="Y99"/>
    </row>
    <row r="100" spans="1:25">
      <c r="A100" s="487" t="str">
        <f>IFERROR(VLOOKUP($E100,RESOURCES!$C:$G,5,FALSE),"-")</f>
        <v>MENDOZA, Carlo</v>
      </c>
      <c r="B100" s="487" t="str">
        <f>IFERROR(VLOOKUP($E100,RESOURCES!$C:$G,4,FALSE),"-")</f>
        <v>REYES, Arthur</v>
      </c>
      <c r="C100" s="461"/>
      <c r="D100" s="489" t="s">
        <v>475</v>
      </c>
      <c r="E100" s="489">
        <v>10072031</v>
      </c>
      <c r="F100" s="489" t="s">
        <v>614</v>
      </c>
      <c r="G100" s="490">
        <v>0.99829999999999997</v>
      </c>
      <c r="H100" s="462"/>
      <c r="I100" s="70">
        <f t="shared" si="7"/>
        <v>0.99829999999999997</v>
      </c>
      <c r="J100" s="71" t="str">
        <f t="shared" si="8"/>
        <v>resource</v>
      </c>
      <c r="U100"/>
      <c r="V100"/>
      <c r="W100"/>
      <c r="X100"/>
      <c r="Y100"/>
    </row>
    <row r="101" spans="1:25">
      <c r="A101" s="487" t="str">
        <f>IFERROR(VLOOKUP($E101,RESOURCES!$C:$G,5,FALSE),"-")</f>
        <v>MENDOZA, Carlo</v>
      </c>
      <c r="B101" s="487" t="str">
        <f>IFERROR(VLOOKUP($E101,RESOURCES!$C:$G,4,FALSE),"-")</f>
        <v>REYES, Arthur</v>
      </c>
      <c r="C101" s="461"/>
      <c r="D101" s="489" t="s">
        <v>557</v>
      </c>
      <c r="E101" s="489">
        <v>10070976</v>
      </c>
      <c r="F101" s="489" t="s">
        <v>614</v>
      </c>
      <c r="G101" s="490">
        <v>0.99619999999999997</v>
      </c>
      <c r="H101" s="462"/>
      <c r="I101" s="70">
        <f t="shared" si="7"/>
        <v>0.99619999999999997</v>
      </c>
      <c r="J101" s="71" t="str">
        <f t="shared" si="8"/>
        <v>resource</v>
      </c>
      <c r="U101"/>
      <c r="V101"/>
      <c r="W101"/>
      <c r="X101"/>
      <c r="Y101"/>
    </row>
    <row r="102" spans="1:25">
      <c r="A102" s="487" t="str">
        <f>IFERROR(VLOOKUP($E102,RESOURCES!$C:$G,5,FALSE),"-")</f>
        <v>TAGUILASO, Daryl</v>
      </c>
      <c r="B102" s="487" t="str">
        <f>IFERROR(VLOOKUP($E102,RESOURCES!$C:$G,4,FALSE),"-")</f>
        <v>CRUZ, Noel</v>
      </c>
      <c r="C102" s="461"/>
      <c r="D102" s="489" t="s">
        <v>423</v>
      </c>
      <c r="E102" s="489">
        <v>10072438</v>
      </c>
      <c r="F102" s="489" t="s">
        <v>614</v>
      </c>
      <c r="G102" s="490">
        <v>0.99380000000000002</v>
      </c>
      <c r="H102" s="462"/>
      <c r="I102" s="70">
        <f t="shared" si="7"/>
        <v>0.99380000000000002</v>
      </c>
      <c r="J102" s="71" t="str">
        <f t="shared" si="8"/>
        <v>resource</v>
      </c>
      <c r="U102"/>
      <c r="V102"/>
      <c r="W102"/>
      <c r="X102"/>
      <c r="Y102"/>
    </row>
    <row r="103" spans="1:25">
      <c r="A103" s="487" t="str">
        <f>IFERROR(VLOOKUP($E103,RESOURCES!$C:$G,5,FALSE),"-")</f>
        <v>TAGUILASO, Daryl</v>
      </c>
      <c r="B103" s="487" t="str">
        <f>IFERROR(VLOOKUP($E103,RESOURCES!$C:$G,4,FALSE),"-")</f>
        <v>FLORES, Emmanuel</v>
      </c>
      <c r="C103" s="461"/>
      <c r="D103" s="489" t="s">
        <v>439</v>
      </c>
      <c r="E103" s="489">
        <v>10071803</v>
      </c>
      <c r="F103" s="489" t="s">
        <v>614</v>
      </c>
      <c r="G103" s="490">
        <v>0.995</v>
      </c>
      <c r="H103" s="462"/>
      <c r="I103" s="70">
        <f t="shared" si="7"/>
        <v>0.995</v>
      </c>
      <c r="J103" s="71" t="str">
        <f t="shared" si="8"/>
        <v>resource</v>
      </c>
      <c r="U103"/>
      <c r="V103"/>
      <c r="W103"/>
      <c r="X103"/>
      <c r="Y103"/>
    </row>
    <row r="104" spans="1:25">
      <c r="A104" s="487" t="str">
        <f>IFERROR(VLOOKUP($E104,RESOURCES!$C:$G,5,FALSE),"-")</f>
        <v>TAGUILASO, Daryl</v>
      </c>
      <c r="B104" s="487" t="str">
        <f>IFERROR(VLOOKUP($E104,RESOURCES!$C:$G,4,FALSE),"-")</f>
        <v>CEDENO, Karleen</v>
      </c>
      <c r="C104" s="461"/>
      <c r="D104" s="489" t="s">
        <v>455</v>
      </c>
      <c r="E104" s="489">
        <v>10072460</v>
      </c>
      <c r="F104" s="489" t="s">
        <v>614</v>
      </c>
      <c r="G104" s="490">
        <v>0.99939999999999996</v>
      </c>
      <c r="H104" s="462"/>
      <c r="I104" s="70">
        <f t="shared" si="7"/>
        <v>0.99939999999999996</v>
      </c>
      <c r="J104" s="71" t="str">
        <f t="shared" si="8"/>
        <v>resource</v>
      </c>
      <c r="U104"/>
      <c r="V104"/>
      <c r="W104"/>
      <c r="X104"/>
      <c r="Y104"/>
    </row>
    <row r="105" spans="1:25">
      <c r="A105" s="487" t="str">
        <f>IFERROR(VLOOKUP($E105,RESOURCES!$C:$G,5,FALSE),"-")</f>
        <v>MENDOZA, Carlo</v>
      </c>
      <c r="B105" s="487" t="str">
        <f>IFERROR(VLOOKUP($E105,RESOURCES!$C:$G,4,FALSE),"-")</f>
        <v>REYES, Arthur</v>
      </c>
      <c r="C105" s="461"/>
      <c r="D105" s="489" t="s">
        <v>472</v>
      </c>
      <c r="E105" s="489">
        <v>10072063</v>
      </c>
      <c r="F105" s="489" t="s">
        <v>614</v>
      </c>
      <c r="G105" s="490">
        <v>0.99809999999999999</v>
      </c>
      <c r="H105" s="462"/>
      <c r="I105" s="70">
        <f t="shared" si="7"/>
        <v>0.99809999999999999</v>
      </c>
      <c r="J105" s="71" t="str">
        <f t="shared" si="8"/>
        <v>resource</v>
      </c>
      <c r="U105"/>
      <c r="V105"/>
      <c r="W105"/>
      <c r="X105"/>
      <c r="Y105"/>
    </row>
    <row r="106" spans="1:25">
      <c r="A106" s="487" t="str">
        <f>IFERROR(VLOOKUP($E106,RESOURCES!$C:$G,5,FALSE),"-")</f>
        <v>TAGUILASO, Daryl</v>
      </c>
      <c r="B106" s="487" t="str">
        <f>IFERROR(VLOOKUP($E106,RESOURCES!$C:$G,4,FALSE),"-")</f>
        <v>FLORES, Emmanuel</v>
      </c>
      <c r="C106" s="461"/>
      <c r="D106" s="489" t="s">
        <v>473</v>
      </c>
      <c r="E106" s="489">
        <v>10072076</v>
      </c>
      <c r="F106" s="489" t="s">
        <v>614</v>
      </c>
      <c r="G106" s="490">
        <v>0.996</v>
      </c>
      <c r="H106" s="462"/>
      <c r="I106" s="70">
        <f t="shared" si="7"/>
        <v>0.996</v>
      </c>
      <c r="J106" s="71" t="str">
        <f t="shared" si="8"/>
        <v>resource</v>
      </c>
      <c r="U106"/>
      <c r="V106"/>
      <c r="W106"/>
      <c r="X106"/>
      <c r="Y106"/>
    </row>
    <row r="107" spans="1:25">
      <c r="A107" s="487" t="str">
        <f>IFERROR(VLOOKUP($E107,RESOURCES!$C:$G,5,FALSE),"-")</f>
        <v>MENDOZA, Carlo</v>
      </c>
      <c r="B107" s="487" t="str">
        <f>IFERROR(VLOOKUP($E107,RESOURCES!$C:$G,4,FALSE),"-")</f>
        <v>LAPASTORA, Mark Anthony</v>
      </c>
      <c r="C107" s="461"/>
      <c r="D107" s="489" t="s">
        <v>491</v>
      </c>
      <c r="E107" s="489">
        <v>10072026</v>
      </c>
      <c r="F107" s="489" t="s">
        <v>614</v>
      </c>
      <c r="G107" s="490">
        <v>0.99750000000000005</v>
      </c>
      <c r="H107" s="462"/>
      <c r="I107" s="70">
        <f t="shared" si="7"/>
        <v>0.99750000000000005</v>
      </c>
      <c r="J107" s="71" t="str">
        <f t="shared" si="8"/>
        <v>resource</v>
      </c>
      <c r="U107"/>
      <c r="V107"/>
      <c r="W107"/>
      <c r="X107"/>
      <c r="Y107"/>
    </row>
    <row r="108" spans="1:25">
      <c r="A108" s="487" t="str">
        <f>IFERROR(VLOOKUP($E108,RESOURCES!$C:$G,5,FALSE),"-")</f>
        <v>TAGUILASO, Daryl</v>
      </c>
      <c r="B108" s="487" t="str">
        <f>IFERROR(VLOOKUP($E108,RESOURCES!$C:$G,4,FALSE),"-")</f>
        <v>CRUZ, Noel</v>
      </c>
      <c r="C108" s="461"/>
      <c r="D108" s="489" t="s">
        <v>724</v>
      </c>
      <c r="E108" s="489">
        <v>10072073</v>
      </c>
      <c r="F108" s="489" t="s">
        <v>614</v>
      </c>
      <c r="G108" s="490">
        <v>0.99860000000000004</v>
      </c>
      <c r="H108" s="462"/>
      <c r="I108" s="70">
        <f t="shared" si="7"/>
        <v>0.99860000000000004</v>
      </c>
      <c r="J108" s="71" t="str">
        <f t="shared" si="8"/>
        <v>resource</v>
      </c>
      <c r="U108"/>
      <c r="V108"/>
      <c r="W108"/>
      <c r="X108"/>
      <c r="Y108"/>
    </row>
    <row r="109" spans="1:25">
      <c r="A109" s="487" t="str">
        <f>IFERROR(VLOOKUP($E109,RESOURCES!$C:$G,5,FALSE),"-")</f>
        <v>MENDOZA, Carlo</v>
      </c>
      <c r="B109" s="487" t="str">
        <f>IFERROR(VLOOKUP($E109,RESOURCES!$C:$G,4,FALSE),"-")</f>
        <v>JAYAWON, Franklin</v>
      </c>
      <c r="C109" s="461"/>
      <c r="D109" s="489" t="s">
        <v>544</v>
      </c>
      <c r="E109" s="489">
        <v>10070729</v>
      </c>
      <c r="F109" s="489" t="s">
        <v>614</v>
      </c>
      <c r="G109" s="490">
        <v>0.999</v>
      </c>
      <c r="H109" s="462"/>
      <c r="I109" s="70">
        <f t="shared" si="7"/>
        <v>0.999</v>
      </c>
      <c r="J109" s="71" t="str">
        <f t="shared" si="8"/>
        <v>resource</v>
      </c>
      <c r="U109"/>
      <c r="V109"/>
      <c r="W109"/>
      <c r="X109"/>
      <c r="Y109"/>
    </row>
    <row r="110" spans="1:25">
      <c r="A110" s="487" t="str">
        <f>IFERROR(VLOOKUP($E110,RESOURCES!$C:$G,5,FALSE),"-")</f>
        <v>TAGUILASO, Daryl</v>
      </c>
      <c r="B110" s="487" t="str">
        <f>IFERROR(VLOOKUP($E110,RESOURCES!$C:$G,4,FALSE),"-")</f>
        <v>CEDENO, Karleen</v>
      </c>
      <c r="C110" s="461"/>
      <c r="D110" s="489" t="s">
        <v>551</v>
      </c>
      <c r="E110" s="489">
        <v>10071903</v>
      </c>
      <c r="F110" s="489" t="s">
        <v>614</v>
      </c>
      <c r="G110" s="490">
        <v>1</v>
      </c>
      <c r="H110" s="462"/>
      <c r="I110" s="70">
        <f t="shared" si="7"/>
        <v>1</v>
      </c>
      <c r="J110" s="71" t="str">
        <f t="shared" si="8"/>
        <v>resource</v>
      </c>
      <c r="U110"/>
      <c r="V110"/>
      <c r="W110"/>
      <c r="X110"/>
      <c r="Y110"/>
    </row>
    <row r="111" spans="1:25">
      <c r="A111" s="487" t="str">
        <f>IFERROR(VLOOKUP($E111,RESOURCES!$C:$G,5,FALSE),"-")</f>
        <v>MENDOZA, Carlo</v>
      </c>
      <c r="B111" s="487" t="str">
        <f>IFERROR(VLOOKUP($E111,RESOURCES!$C:$G,4,FALSE),"-")</f>
        <v>REYES, Arthur</v>
      </c>
      <c r="C111" s="461"/>
      <c r="D111" s="489" t="s">
        <v>561</v>
      </c>
      <c r="E111" s="489">
        <v>10071750</v>
      </c>
      <c r="F111" s="489" t="s">
        <v>614</v>
      </c>
      <c r="G111" s="490">
        <v>0.99580000000000002</v>
      </c>
      <c r="H111" s="462"/>
      <c r="I111" s="70">
        <f t="shared" si="7"/>
        <v>0.99580000000000002</v>
      </c>
      <c r="J111" s="71" t="str">
        <f t="shared" si="8"/>
        <v>resource</v>
      </c>
      <c r="U111"/>
      <c r="V111"/>
      <c r="W111"/>
      <c r="X111"/>
      <c r="Y111"/>
    </row>
    <row r="112" spans="1:25">
      <c r="A112" s="487" t="str">
        <f>IFERROR(VLOOKUP($E112,RESOURCES!$C:$G,5,FALSE),"-")</f>
        <v>MENDOZA, Carlo</v>
      </c>
      <c r="B112" s="487" t="str">
        <f>IFERROR(VLOOKUP($E112,RESOURCES!$C:$G,4,FALSE),"-")</f>
        <v>LAPASTORA, Mark Anthony</v>
      </c>
      <c r="C112" s="461"/>
      <c r="D112" s="489" t="s">
        <v>150</v>
      </c>
      <c r="E112" s="489">
        <v>10072159</v>
      </c>
      <c r="F112" s="489" t="s">
        <v>614</v>
      </c>
      <c r="G112" s="490">
        <v>0.99660000000000004</v>
      </c>
      <c r="H112" s="462"/>
      <c r="I112" s="70">
        <f t="shared" si="7"/>
        <v>0.99660000000000004</v>
      </c>
      <c r="J112" s="71" t="str">
        <f t="shared" si="8"/>
        <v>resource</v>
      </c>
      <c r="U112"/>
      <c r="V112"/>
      <c r="W112"/>
      <c r="X112"/>
      <c r="Y112"/>
    </row>
    <row r="113" spans="1:25">
      <c r="A113" s="487" t="str">
        <f>IFERROR(VLOOKUP($E113,RESOURCES!$C:$G,5,FALSE),"-")</f>
        <v>MENDOZA, Carlo</v>
      </c>
      <c r="B113" s="487" t="str">
        <f>IFERROR(VLOOKUP($E113,RESOURCES!$C:$G,4,FALSE),"-")</f>
        <v>LAPASTORA, Mark Anthony</v>
      </c>
      <c r="C113" s="461"/>
      <c r="D113" s="489" t="s">
        <v>435</v>
      </c>
      <c r="E113" s="489">
        <v>10072179</v>
      </c>
      <c r="F113" s="489" t="s">
        <v>614</v>
      </c>
      <c r="G113" s="490">
        <v>0.99809999999999999</v>
      </c>
      <c r="H113" s="462"/>
      <c r="I113" s="70">
        <f t="shared" si="7"/>
        <v>0.99809999999999999</v>
      </c>
      <c r="J113" s="71" t="str">
        <f t="shared" si="8"/>
        <v>resource</v>
      </c>
      <c r="U113"/>
      <c r="V113"/>
      <c r="W113"/>
      <c r="X113"/>
      <c r="Y113"/>
    </row>
    <row r="114" spans="1:25">
      <c r="A114" s="487" t="str">
        <f>IFERROR(VLOOKUP($E114,RESOURCES!$C:$G,5,FALSE),"-")</f>
        <v>PASQUIN, Ryan</v>
      </c>
      <c r="B114" s="487" t="str">
        <f>IFERROR(VLOOKUP($E114,RESOURCES!$C:$G,4,FALSE),"-")</f>
        <v>REGENCIA, Reymark</v>
      </c>
      <c r="C114" s="461"/>
      <c r="D114" s="489" t="s">
        <v>421</v>
      </c>
      <c r="E114" s="489">
        <v>10072156</v>
      </c>
      <c r="F114" s="489" t="s">
        <v>614</v>
      </c>
      <c r="G114" s="490">
        <v>1</v>
      </c>
      <c r="H114" s="462"/>
      <c r="I114" s="70">
        <f t="shared" si="7"/>
        <v>1</v>
      </c>
      <c r="J114" s="71" t="str">
        <f t="shared" si="8"/>
        <v>resource</v>
      </c>
      <c r="U114"/>
      <c r="V114"/>
      <c r="W114"/>
      <c r="X114"/>
      <c r="Y114"/>
    </row>
    <row r="115" spans="1:25">
      <c r="A115" s="487" t="str">
        <f>IFERROR(VLOOKUP($E115,RESOURCES!$C:$G,5,FALSE),"-")</f>
        <v>PASQUIN, Ryan</v>
      </c>
      <c r="B115" s="487" t="str">
        <f>IFERROR(VLOOKUP($E115,RESOURCES!$C:$G,4,FALSE),"-")</f>
        <v>REGENCIA, Reymark</v>
      </c>
      <c r="C115" s="461"/>
      <c r="D115" s="489" t="s">
        <v>424</v>
      </c>
      <c r="E115" s="489">
        <v>10072301</v>
      </c>
      <c r="F115" s="489" t="s">
        <v>614</v>
      </c>
      <c r="G115" s="490">
        <v>1</v>
      </c>
      <c r="H115" s="462"/>
      <c r="I115" s="70">
        <f t="shared" si="7"/>
        <v>1</v>
      </c>
      <c r="J115" s="71" t="str">
        <f t="shared" si="8"/>
        <v>resource</v>
      </c>
      <c r="U115"/>
      <c r="V115"/>
      <c r="W115"/>
      <c r="X115"/>
      <c r="Y115"/>
    </row>
    <row r="116" spans="1:25">
      <c r="A116" s="487" t="str">
        <f>IFERROR(VLOOKUP($E116,RESOURCES!$C:$G,5,FALSE),"-")</f>
        <v>PASQUIN, Ryan</v>
      </c>
      <c r="B116" s="487" t="str">
        <f>IFERROR(VLOOKUP($E116,RESOURCES!$C:$G,4,FALSE),"-")</f>
        <v>REGENCIA, Reymark</v>
      </c>
      <c r="C116" s="461"/>
      <c r="D116" s="489" t="s">
        <v>451</v>
      </c>
      <c r="E116" s="489">
        <v>10071278</v>
      </c>
      <c r="F116" s="489" t="s">
        <v>614</v>
      </c>
      <c r="G116" s="490">
        <v>1</v>
      </c>
      <c r="H116" s="462"/>
      <c r="I116" s="70">
        <f t="shared" si="7"/>
        <v>1</v>
      </c>
      <c r="J116" s="71" t="str">
        <f t="shared" si="8"/>
        <v>resource</v>
      </c>
      <c r="U116"/>
      <c r="V116"/>
      <c r="W116"/>
      <c r="X116"/>
      <c r="Y116"/>
    </row>
    <row r="117" spans="1:25">
      <c r="A117" s="487" t="str">
        <f>IFERROR(VLOOKUP($E117,RESOURCES!$C:$G,5,FALSE),"-")</f>
        <v>PASQUIN, Ryan</v>
      </c>
      <c r="B117" s="487" t="str">
        <f>IFERROR(VLOOKUP($E117,RESOURCES!$C:$G,4,FALSE),"-")</f>
        <v>REGENCIA, Reymark</v>
      </c>
      <c r="C117" s="461"/>
      <c r="D117" s="489" t="s">
        <v>461</v>
      </c>
      <c r="E117" s="489">
        <v>10072207</v>
      </c>
      <c r="F117" s="489" t="s">
        <v>614</v>
      </c>
      <c r="G117" s="490">
        <v>1</v>
      </c>
      <c r="H117" s="462"/>
      <c r="I117" s="70">
        <f t="shared" si="7"/>
        <v>1</v>
      </c>
      <c r="J117" s="71" t="str">
        <f t="shared" si="8"/>
        <v>resource</v>
      </c>
      <c r="U117"/>
      <c r="V117"/>
      <c r="W117"/>
      <c r="X117"/>
      <c r="Y117"/>
    </row>
    <row r="118" spans="1:25">
      <c r="A118" s="487" t="str">
        <f>IFERROR(VLOOKUP($E118,RESOURCES!$C:$G,5,FALSE),"-")</f>
        <v>PASQUIN, Ryan</v>
      </c>
      <c r="B118" s="487" t="str">
        <f>IFERROR(VLOOKUP($E118,RESOURCES!$C:$G,4,FALSE),"-")</f>
        <v>REGENCIA, Reymark</v>
      </c>
      <c r="C118" s="461"/>
      <c r="D118" s="489" t="s">
        <v>463</v>
      </c>
      <c r="E118" s="489">
        <v>10071198</v>
      </c>
      <c r="F118" s="489" t="s">
        <v>614</v>
      </c>
      <c r="G118" s="490">
        <v>1</v>
      </c>
      <c r="H118" s="462"/>
      <c r="I118" s="70">
        <f t="shared" si="7"/>
        <v>1</v>
      </c>
      <c r="J118" s="71" t="str">
        <f t="shared" si="8"/>
        <v>resource</v>
      </c>
      <c r="U118"/>
      <c r="V118"/>
      <c r="W118"/>
      <c r="X118"/>
      <c r="Y118"/>
    </row>
    <row r="119" spans="1:25">
      <c r="A119" s="487" t="str">
        <f>IFERROR(VLOOKUP($E119,RESOURCES!$C:$G,5,FALSE),"-")</f>
        <v>PASQUIN, Ryan</v>
      </c>
      <c r="B119" s="487" t="str">
        <f>IFERROR(VLOOKUP($E119,RESOURCES!$C:$G,4,FALSE),"-")</f>
        <v>REGENCIA, Reymark</v>
      </c>
      <c r="C119" s="461"/>
      <c r="D119" s="489" t="s">
        <v>474</v>
      </c>
      <c r="E119" s="489">
        <v>10072040</v>
      </c>
      <c r="F119" s="489" t="s">
        <v>614</v>
      </c>
      <c r="G119" s="490" t="s">
        <v>14</v>
      </c>
      <c r="H119" s="462"/>
      <c r="I119" s="70" t="str">
        <f t="shared" si="7"/>
        <v>-</v>
      </c>
      <c r="J119" s="71" t="str">
        <f t="shared" si="8"/>
        <v>resource</v>
      </c>
      <c r="U119"/>
      <c r="V119"/>
      <c r="W119"/>
      <c r="X119"/>
      <c r="Y119"/>
    </row>
    <row r="120" spans="1:25">
      <c r="A120" s="487" t="str">
        <f>IFERROR(VLOOKUP($E120,RESOURCES!$C:$G,5,FALSE),"-")</f>
        <v>PASQUIN, Ryan</v>
      </c>
      <c r="B120" s="487" t="str">
        <f>IFERROR(VLOOKUP($E120,RESOURCES!$C:$G,4,FALSE),"-")</f>
        <v>REGENCIA, Reymark</v>
      </c>
      <c r="C120" s="461"/>
      <c r="D120" s="489" t="s">
        <v>481</v>
      </c>
      <c r="E120" s="489">
        <v>10071199</v>
      </c>
      <c r="F120" s="489" t="s">
        <v>614</v>
      </c>
      <c r="G120" s="490">
        <v>1</v>
      </c>
      <c r="H120" s="462"/>
      <c r="I120" s="70">
        <f t="shared" si="7"/>
        <v>1</v>
      </c>
      <c r="J120" s="71" t="str">
        <f t="shared" si="8"/>
        <v>resource</v>
      </c>
      <c r="U120"/>
      <c r="V120"/>
      <c r="W120"/>
      <c r="X120"/>
      <c r="Y120"/>
    </row>
    <row r="121" spans="1:25">
      <c r="A121" s="487" t="str">
        <f>IFERROR(VLOOKUP($E121,RESOURCES!$C:$G,5,FALSE),"-")</f>
        <v>PASQUIN, Ryan</v>
      </c>
      <c r="B121" s="487" t="str">
        <f>IFERROR(VLOOKUP($E121,RESOURCES!$C:$G,4,FALSE),"-")</f>
        <v>REGENCIA, Reymark</v>
      </c>
      <c r="C121" s="461"/>
      <c r="D121" s="489" t="s">
        <v>530</v>
      </c>
      <c r="E121" s="489">
        <v>10072452</v>
      </c>
      <c r="F121" s="489" t="s">
        <v>614</v>
      </c>
      <c r="G121" s="490" t="s">
        <v>14</v>
      </c>
      <c r="H121" s="462"/>
      <c r="I121" s="70" t="str">
        <f t="shared" si="7"/>
        <v>-</v>
      </c>
      <c r="J121" s="71" t="str">
        <f t="shared" si="8"/>
        <v>resource</v>
      </c>
      <c r="U121"/>
      <c r="V121"/>
      <c r="W121"/>
      <c r="X121"/>
      <c r="Y121"/>
    </row>
    <row r="122" spans="1:25">
      <c r="A122" s="487" t="str">
        <f>IFERROR(VLOOKUP($E122,RESOURCES!$C:$G,5,FALSE),"-")</f>
        <v>PASQUIN, Ryan</v>
      </c>
      <c r="B122" s="487" t="str">
        <f>IFERROR(VLOOKUP($E122,RESOURCES!$C:$G,4,FALSE),"-")</f>
        <v>REGENCIA, Reymark</v>
      </c>
      <c r="C122" s="461"/>
      <c r="D122" s="489" t="s">
        <v>531</v>
      </c>
      <c r="E122" s="489">
        <v>10071178</v>
      </c>
      <c r="F122" s="489" t="s">
        <v>614</v>
      </c>
      <c r="G122" s="490" t="s">
        <v>14</v>
      </c>
      <c r="H122" s="462"/>
      <c r="I122" s="70" t="str">
        <f t="shared" si="7"/>
        <v>-</v>
      </c>
      <c r="J122" s="71" t="str">
        <f t="shared" si="8"/>
        <v>resource</v>
      </c>
      <c r="U122"/>
      <c r="V122"/>
      <c r="W122"/>
      <c r="X122"/>
      <c r="Y122"/>
    </row>
    <row r="123" spans="1:25">
      <c r="A123" s="487" t="str">
        <f>IFERROR(VLOOKUP($E123,RESOURCES!$C:$G,5,FALSE),"-")</f>
        <v>PASQUIN, Ryan</v>
      </c>
      <c r="B123" s="487" t="str">
        <f>IFERROR(VLOOKUP($E123,RESOURCES!$C:$G,4,FALSE),"-")</f>
        <v>REGENCIA, Reymark</v>
      </c>
      <c r="C123" s="461"/>
      <c r="D123" s="489" t="s">
        <v>533</v>
      </c>
      <c r="E123" s="489">
        <v>10071439</v>
      </c>
      <c r="F123" s="489" t="s">
        <v>614</v>
      </c>
      <c r="G123" s="490" t="s">
        <v>14</v>
      </c>
      <c r="H123" s="462"/>
      <c r="I123" s="70" t="str">
        <f t="shared" si="7"/>
        <v>-</v>
      </c>
      <c r="J123" s="71" t="str">
        <f t="shared" si="8"/>
        <v>resource</v>
      </c>
      <c r="U123"/>
      <c r="V123"/>
      <c r="W123"/>
      <c r="X123"/>
      <c r="Y123"/>
    </row>
    <row r="124" spans="1:25">
      <c r="A124" s="487" t="str">
        <f>IFERROR(VLOOKUP($E124,RESOURCES!$C:$G,5,FALSE),"-")</f>
        <v>PASQUIN, Ryan</v>
      </c>
      <c r="B124" s="487" t="str">
        <f>IFERROR(VLOOKUP($E124,RESOURCES!$C:$G,4,FALSE),"-")</f>
        <v>REGENCIA, Reymark</v>
      </c>
      <c r="C124" s="461"/>
      <c r="D124" s="489" t="s">
        <v>556</v>
      </c>
      <c r="E124" s="489">
        <v>10071314</v>
      </c>
      <c r="F124" s="489" t="s">
        <v>614</v>
      </c>
      <c r="G124" s="490">
        <v>1</v>
      </c>
      <c r="H124" s="462"/>
      <c r="I124" s="70">
        <f t="shared" si="7"/>
        <v>1</v>
      </c>
      <c r="J124" s="71" t="str">
        <f t="shared" si="8"/>
        <v>resource</v>
      </c>
      <c r="U124"/>
      <c r="V124"/>
      <c r="W124"/>
      <c r="X124"/>
      <c r="Y124"/>
    </row>
    <row r="125" spans="1:25">
      <c r="A125" s="487" t="str">
        <f>IFERROR(VLOOKUP($E125,RESOURCES!$C:$G,5,FALSE),"-")</f>
        <v>MENDOZA, Carlo</v>
      </c>
      <c r="B125" s="487" t="str">
        <f>IFERROR(VLOOKUP($E125,RESOURCES!$C:$G,4,FALSE),"-")</f>
        <v>REYES, Arthur</v>
      </c>
      <c r="C125" s="461"/>
      <c r="D125" s="489" t="s">
        <v>471</v>
      </c>
      <c r="E125" s="489">
        <v>10071775</v>
      </c>
      <c r="F125" s="489" t="s">
        <v>614</v>
      </c>
      <c r="G125" s="490">
        <v>0.99909999999999999</v>
      </c>
      <c r="H125" s="462"/>
      <c r="I125" s="70">
        <f t="shared" si="7"/>
        <v>0.99909999999999999</v>
      </c>
      <c r="J125" s="71" t="str">
        <f t="shared" si="8"/>
        <v>resource</v>
      </c>
      <c r="U125"/>
      <c r="V125"/>
      <c r="W125"/>
      <c r="X125"/>
      <c r="Y125"/>
    </row>
    <row r="126" spans="1:25">
      <c r="A126" s="487" t="str">
        <f>IFERROR(VLOOKUP($E126,RESOURCES!$C:$G,5,FALSE),"-")</f>
        <v>PASQUIN, Ryan</v>
      </c>
      <c r="B126" s="487" t="str">
        <f>IFERROR(VLOOKUP($E126,RESOURCES!$C:$G,4,FALSE),"-")</f>
        <v>REGENCIA, Reymark</v>
      </c>
      <c r="C126" s="461"/>
      <c r="D126" s="489" t="s">
        <v>438</v>
      </c>
      <c r="E126" s="489">
        <v>10071904</v>
      </c>
      <c r="F126" s="489" t="s">
        <v>614</v>
      </c>
      <c r="G126" s="490">
        <v>1</v>
      </c>
      <c r="H126" s="462"/>
      <c r="I126" s="70">
        <f t="shared" si="7"/>
        <v>1</v>
      </c>
      <c r="J126" s="71" t="str">
        <f t="shared" si="8"/>
        <v>resource</v>
      </c>
      <c r="U126"/>
      <c r="V126"/>
      <c r="W126"/>
      <c r="X126"/>
      <c r="Y126"/>
    </row>
    <row r="127" spans="1:25">
      <c r="A127" s="487" t="str">
        <f>IFERROR(VLOOKUP($E127,RESOURCES!$C:$G,5,FALSE),"-")</f>
        <v>MENDOZA, Carlo</v>
      </c>
      <c r="B127" s="487" t="str">
        <f>IFERROR(VLOOKUP($E127,RESOURCES!$C:$G,4,FALSE),"-")</f>
        <v>REYES, Arthur</v>
      </c>
      <c r="C127" s="461"/>
      <c r="D127" s="489" t="s">
        <v>446</v>
      </c>
      <c r="E127" s="489">
        <v>10072158</v>
      </c>
      <c r="F127" s="489" t="s">
        <v>614</v>
      </c>
      <c r="G127" s="490">
        <v>0.99709999999999999</v>
      </c>
      <c r="H127" s="462"/>
      <c r="I127" s="70">
        <f t="shared" si="7"/>
        <v>0.99709999999999999</v>
      </c>
      <c r="J127" s="71" t="str">
        <f t="shared" si="8"/>
        <v>resource</v>
      </c>
      <c r="U127"/>
      <c r="V127"/>
      <c r="W127"/>
      <c r="X127"/>
      <c r="Y127"/>
    </row>
    <row r="128" spans="1:25">
      <c r="A128" s="487" t="str">
        <f>IFERROR(VLOOKUP($E128,RESOURCES!$C:$G,5,FALSE),"-")</f>
        <v>MENDOZA, Carlo</v>
      </c>
      <c r="B128" s="487" t="str">
        <f>IFERROR(VLOOKUP($E128,RESOURCES!$C:$G,4,FALSE),"-")</f>
        <v>REYES, Arthur</v>
      </c>
      <c r="C128" s="461"/>
      <c r="D128" s="489" t="s">
        <v>447</v>
      </c>
      <c r="E128" s="489">
        <v>10071899</v>
      </c>
      <c r="F128" s="489" t="s">
        <v>614</v>
      </c>
      <c r="G128" s="490">
        <v>0.99680000000000002</v>
      </c>
      <c r="H128" s="462"/>
      <c r="I128" s="70">
        <f t="shared" si="7"/>
        <v>0.99680000000000002</v>
      </c>
      <c r="J128" s="71" t="str">
        <f t="shared" si="8"/>
        <v>resource</v>
      </c>
      <c r="U128"/>
      <c r="V128"/>
      <c r="W128"/>
      <c r="X128"/>
      <c r="Y128"/>
    </row>
    <row r="129" spans="1:25">
      <c r="A129" s="487" t="str">
        <f>IFERROR(VLOOKUP($E129,RESOURCES!$C:$G,5,FALSE),"-")</f>
        <v>MENDOZA, Carlo</v>
      </c>
      <c r="B129" s="487" t="str">
        <f>IFERROR(VLOOKUP($E129,RESOURCES!$C:$G,4,FALSE),"-")</f>
        <v>REYES, Arthur</v>
      </c>
      <c r="C129" s="461"/>
      <c r="D129" s="489" t="s">
        <v>462</v>
      </c>
      <c r="E129" s="489">
        <v>10071594</v>
      </c>
      <c r="F129" s="489" t="s">
        <v>614</v>
      </c>
      <c r="G129" s="490">
        <v>0.99739999999999995</v>
      </c>
      <c r="H129" s="462"/>
      <c r="I129" s="70">
        <f t="shared" si="7"/>
        <v>0.99739999999999995</v>
      </c>
      <c r="J129" s="71" t="str">
        <f t="shared" si="8"/>
        <v>resource</v>
      </c>
      <c r="U129"/>
      <c r="V129"/>
      <c r="W129"/>
      <c r="X129"/>
      <c r="Y129"/>
    </row>
    <row r="130" spans="1:25">
      <c r="A130" s="487" t="str">
        <f>IFERROR(VLOOKUP($E130,RESOURCES!$C:$G,5,FALSE),"-")</f>
        <v>MENDOZA, Carlo</v>
      </c>
      <c r="B130" s="487" t="str">
        <f>IFERROR(VLOOKUP($E130,RESOURCES!$C:$G,4,FALSE),"-")</f>
        <v>REYES, Arthur</v>
      </c>
      <c r="C130" s="461"/>
      <c r="D130" s="489" t="s">
        <v>496</v>
      </c>
      <c r="E130" s="489">
        <v>10071592</v>
      </c>
      <c r="F130" s="489" t="s">
        <v>614</v>
      </c>
      <c r="G130" s="490">
        <v>0.99390000000000001</v>
      </c>
      <c r="H130" s="462"/>
      <c r="I130" s="70">
        <f t="shared" ref="I130:I193" si="9">IFERROR(AVERAGEIFS($G:$G,$E:$E,$E130),"-")</f>
        <v>0.99390000000000001</v>
      </c>
      <c r="J130" s="71" t="str">
        <f t="shared" ref="J130:J193" si="10">IF($C130="Voice QA",$C130,"resource")</f>
        <v>resource</v>
      </c>
      <c r="U130"/>
      <c r="V130"/>
      <c r="W130"/>
      <c r="X130"/>
      <c r="Y130"/>
    </row>
    <row r="131" spans="1:25">
      <c r="A131" s="487" t="str">
        <f>IFERROR(VLOOKUP($E131,RESOURCES!$C:$G,5,FALSE),"-")</f>
        <v>MENDOZA, Carlo</v>
      </c>
      <c r="B131" s="487" t="str">
        <f>IFERROR(VLOOKUP($E131,RESOURCES!$C:$G,4,FALSE),"-")</f>
        <v>REYES, Arthur</v>
      </c>
      <c r="C131" s="461"/>
      <c r="D131" s="489" t="s">
        <v>499</v>
      </c>
      <c r="E131" s="489">
        <v>10072228</v>
      </c>
      <c r="F131" s="489" t="s">
        <v>614</v>
      </c>
      <c r="G131" s="490">
        <v>1</v>
      </c>
      <c r="H131" s="462"/>
      <c r="I131" s="70">
        <f t="shared" si="9"/>
        <v>1</v>
      </c>
      <c r="J131" s="71" t="str">
        <f t="shared" si="10"/>
        <v>resource</v>
      </c>
      <c r="U131"/>
      <c r="V131"/>
      <c r="W131"/>
      <c r="X131"/>
      <c r="Y131"/>
    </row>
    <row r="132" spans="1:25">
      <c r="A132" s="487" t="str">
        <f>IFERROR(VLOOKUP($E132,RESOURCES!$C:$G,5,FALSE),"-")</f>
        <v>MENDOZA, Carlo</v>
      </c>
      <c r="B132" s="487" t="str">
        <f>IFERROR(VLOOKUP($E132,RESOURCES!$C:$G,4,FALSE),"-")</f>
        <v>REYES, Arthur</v>
      </c>
      <c r="C132" s="461"/>
      <c r="D132" s="489" t="s">
        <v>504</v>
      </c>
      <c r="E132" s="489">
        <v>10072161</v>
      </c>
      <c r="F132" s="489" t="s">
        <v>614</v>
      </c>
      <c r="G132" s="490" t="s">
        <v>14</v>
      </c>
      <c r="H132" s="462"/>
      <c r="I132" s="70" t="str">
        <f t="shared" si="9"/>
        <v>-</v>
      </c>
      <c r="J132" s="71" t="str">
        <f t="shared" si="10"/>
        <v>resource</v>
      </c>
      <c r="U132"/>
      <c r="V132"/>
      <c r="W132"/>
      <c r="X132"/>
      <c r="Y132"/>
    </row>
    <row r="133" spans="1:25">
      <c r="A133" s="487" t="str">
        <f>IFERROR(VLOOKUP($E133,RESOURCES!$C:$G,5,FALSE),"-")</f>
        <v>PASQUIN, Ryan</v>
      </c>
      <c r="B133" s="487" t="str">
        <f>IFERROR(VLOOKUP($E133,RESOURCES!$C:$G,4,FALSE),"-")</f>
        <v>BARRIOS, Renell</v>
      </c>
      <c r="C133" s="461"/>
      <c r="D133" s="489" t="s">
        <v>510</v>
      </c>
      <c r="E133" s="489">
        <v>10071342</v>
      </c>
      <c r="F133" s="489" t="s">
        <v>614</v>
      </c>
      <c r="G133" s="490" t="s">
        <v>14</v>
      </c>
      <c r="H133" s="462"/>
      <c r="I133" s="70" t="str">
        <f t="shared" si="9"/>
        <v>-</v>
      </c>
      <c r="J133" s="71" t="str">
        <f t="shared" si="10"/>
        <v>resource</v>
      </c>
      <c r="U133"/>
      <c r="V133"/>
      <c r="W133"/>
      <c r="X133"/>
      <c r="Y133"/>
    </row>
    <row r="134" spans="1:25">
      <c r="A134" s="487" t="str">
        <f>IFERROR(VLOOKUP($E134,RESOURCES!$C:$G,5,FALSE),"-")</f>
        <v>MENDOZA, Carlo</v>
      </c>
      <c r="B134" s="487" t="str">
        <f>IFERROR(VLOOKUP($E134,RESOURCES!$C:$G,4,FALSE),"-")</f>
        <v>REYES, Arthur</v>
      </c>
      <c r="C134" s="461"/>
      <c r="D134" s="489" t="s">
        <v>513</v>
      </c>
      <c r="E134" s="489">
        <v>10071147</v>
      </c>
      <c r="F134" s="489" t="s">
        <v>614</v>
      </c>
      <c r="G134" s="490">
        <v>0.98450000000000004</v>
      </c>
      <c r="H134" s="462"/>
      <c r="I134" s="70">
        <f t="shared" si="9"/>
        <v>0.98450000000000004</v>
      </c>
      <c r="J134" s="71" t="str">
        <f t="shared" si="10"/>
        <v>resource</v>
      </c>
      <c r="U134"/>
      <c r="V134"/>
      <c r="W134"/>
      <c r="X134"/>
      <c r="Y134"/>
    </row>
    <row r="135" spans="1:25">
      <c r="A135" s="487" t="str">
        <f>IFERROR(VLOOKUP($E135,RESOURCES!$C:$G,5,FALSE),"-")</f>
        <v>MENDOZA, Carlo</v>
      </c>
      <c r="B135" s="487" t="str">
        <f>IFERROR(VLOOKUP($E135,RESOURCES!$C:$G,4,FALSE),"-")</f>
        <v>REYES, Arthur</v>
      </c>
      <c r="C135" s="461"/>
      <c r="D135" s="489" t="s">
        <v>559</v>
      </c>
      <c r="E135" s="489">
        <v>10072105</v>
      </c>
      <c r="F135" s="489" t="s">
        <v>614</v>
      </c>
      <c r="G135" s="490">
        <v>0.9909</v>
      </c>
      <c r="H135" s="462"/>
      <c r="I135" s="70">
        <f t="shared" si="9"/>
        <v>0.9909</v>
      </c>
      <c r="J135" s="71" t="str">
        <f t="shared" si="10"/>
        <v>resource</v>
      </c>
      <c r="U135"/>
      <c r="V135"/>
      <c r="W135"/>
      <c r="X135"/>
      <c r="Y135"/>
    </row>
    <row r="136" spans="1:25">
      <c r="A136" s="487" t="str">
        <f>IFERROR(VLOOKUP($E136,RESOURCES!$C:$G,5,FALSE),"-")</f>
        <v>MENDOZA, Carlo</v>
      </c>
      <c r="B136" s="487" t="str">
        <f>IFERROR(VLOOKUP($E136,RESOURCES!$C:$G,4,FALSE),"-")</f>
        <v>REYES, Arthur</v>
      </c>
      <c r="C136" s="461"/>
      <c r="D136" s="489" t="s">
        <v>99</v>
      </c>
      <c r="E136" s="489">
        <v>10072206</v>
      </c>
      <c r="F136" s="489" t="s">
        <v>614</v>
      </c>
      <c r="G136" s="490">
        <v>0.99650000000000005</v>
      </c>
      <c r="H136" s="462"/>
      <c r="I136" s="70">
        <f t="shared" si="9"/>
        <v>0.99650000000000005</v>
      </c>
      <c r="J136" s="71" t="str">
        <f t="shared" si="10"/>
        <v>resource</v>
      </c>
      <c r="U136"/>
      <c r="V136"/>
      <c r="W136"/>
      <c r="X136"/>
      <c r="Y136"/>
    </row>
    <row r="137" spans="1:25">
      <c r="A137" s="487" t="str">
        <f>IFERROR(VLOOKUP($E137,RESOURCES!$C:$G,5,FALSE),"-")</f>
        <v>-</v>
      </c>
      <c r="B137" s="487" t="str">
        <f>IFERROR(VLOOKUP($E137,RESOURCES!$C:$G,4,FALSE),"-")</f>
        <v>-</v>
      </c>
      <c r="C137" s="461"/>
      <c r="H137" s="462"/>
      <c r="I137" s="70" t="str">
        <f t="shared" si="9"/>
        <v>-</v>
      </c>
      <c r="J137" s="71" t="str">
        <f t="shared" si="10"/>
        <v>resource</v>
      </c>
      <c r="U137"/>
      <c r="V137"/>
      <c r="W137"/>
      <c r="X137"/>
      <c r="Y137"/>
    </row>
    <row r="138" spans="1:25">
      <c r="A138" s="487" t="str">
        <f>IFERROR(VLOOKUP($E138,RESOURCES!$C:$G,5,FALSE),"-")</f>
        <v>-</v>
      </c>
      <c r="B138" s="487" t="str">
        <f>IFERROR(VLOOKUP($E138,RESOURCES!$C:$G,4,FALSE),"-")</f>
        <v>-</v>
      </c>
      <c r="C138" s="461"/>
      <c r="H138" s="462"/>
      <c r="I138" s="70" t="str">
        <f t="shared" si="9"/>
        <v>-</v>
      </c>
      <c r="J138" s="71" t="str">
        <f t="shared" si="10"/>
        <v>resource</v>
      </c>
      <c r="U138"/>
      <c r="V138"/>
      <c r="W138"/>
      <c r="X138"/>
      <c r="Y138"/>
    </row>
    <row r="139" spans="1:25">
      <c r="A139" s="487" t="str">
        <f>IFERROR(VLOOKUP($E139,RESOURCES!$C:$G,5,FALSE),"-")</f>
        <v>-</v>
      </c>
      <c r="B139" s="487" t="str">
        <f>IFERROR(VLOOKUP($E139,RESOURCES!$C:$G,4,FALSE),"-")</f>
        <v>-</v>
      </c>
      <c r="C139" s="461"/>
      <c r="H139" s="462"/>
      <c r="I139" s="70" t="str">
        <f t="shared" si="9"/>
        <v>-</v>
      </c>
      <c r="J139" s="71" t="str">
        <f t="shared" si="10"/>
        <v>resource</v>
      </c>
      <c r="U139"/>
      <c r="V139"/>
      <c r="W139"/>
      <c r="X139"/>
      <c r="Y139"/>
    </row>
    <row r="140" spans="1:25">
      <c r="A140" s="487" t="str">
        <f>IFERROR(VLOOKUP($E140,RESOURCES!$C:$G,5,FALSE),"-")</f>
        <v>-</v>
      </c>
      <c r="B140" s="487" t="str">
        <f>IFERROR(VLOOKUP($E140,RESOURCES!$C:$G,4,FALSE),"-")</f>
        <v>-</v>
      </c>
      <c r="C140" s="461"/>
      <c r="H140" s="462"/>
      <c r="I140" s="70" t="str">
        <f t="shared" si="9"/>
        <v>-</v>
      </c>
      <c r="J140" s="71" t="str">
        <f t="shared" si="10"/>
        <v>resource</v>
      </c>
      <c r="U140"/>
      <c r="V140"/>
      <c r="W140"/>
      <c r="X140"/>
      <c r="Y140"/>
    </row>
    <row r="141" spans="1:25">
      <c r="A141" s="487" t="str">
        <f>IFERROR(VLOOKUP($E141,RESOURCES!$C:$G,5,FALSE),"-")</f>
        <v>-</v>
      </c>
      <c r="B141" s="487" t="str">
        <f>IFERROR(VLOOKUP($E141,RESOURCES!$C:$G,4,FALSE),"-")</f>
        <v>-</v>
      </c>
      <c r="C141" s="461"/>
      <c r="H141" s="462"/>
      <c r="I141" s="70" t="str">
        <f t="shared" si="9"/>
        <v>-</v>
      </c>
      <c r="J141" s="71" t="str">
        <f t="shared" si="10"/>
        <v>resource</v>
      </c>
      <c r="U141"/>
      <c r="V141"/>
      <c r="W141"/>
      <c r="X141"/>
      <c r="Y141"/>
    </row>
    <row r="142" spans="1:25">
      <c r="A142" s="487" t="str">
        <f>IFERROR(VLOOKUP($E142,RESOURCES!$C:$G,5,FALSE),"-")</f>
        <v>-</v>
      </c>
      <c r="B142" s="487" t="str">
        <f>IFERROR(VLOOKUP($E142,RESOURCES!$C:$G,4,FALSE),"-")</f>
        <v>-</v>
      </c>
      <c r="C142" s="461"/>
      <c r="H142" s="462"/>
      <c r="I142" s="70" t="str">
        <f t="shared" si="9"/>
        <v>-</v>
      </c>
      <c r="J142" s="71" t="str">
        <f t="shared" si="10"/>
        <v>resource</v>
      </c>
      <c r="U142"/>
      <c r="V142"/>
      <c r="W142"/>
      <c r="X142"/>
      <c r="Y142"/>
    </row>
    <row r="143" spans="1:25">
      <c r="A143" s="487" t="str">
        <f>IFERROR(VLOOKUP($E143,RESOURCES!$C:$G,5,FALSE),"-")</f>
        <v>-</v>
      </c>
      <c r="B143" s="487" t="str">
        <f>IFERROR(VLOOKUP($E143,RESOURCES!$C:$G,4,FALSE),"-")</f>
        <v>-</v>
      </c>
      <c r="C143" s="461"/>
      <c r="H143" s="462"/>
      <c r="I143" s="70" t="str">
        <f t="shared" si="9"/>
        <v>-</v>
      </c>
      <c r="J143" s="71" t="str">
        <f t="shared" si="10"/>
        <v>resource</v>
      </c>
      <c r="U143"/>
      <c r="V143"/>
      <c r="W143"/>
      <c r="X143"/>
      <c r="Y143"/>
    </row>
    <row r="144" spans="1:25">
      <c r="A144" s="487" t="str">
        <f>IFERROR(VLOOKUP($E144,RESOURCES!$C:$G,5,FALSE),"-")</f>
        <v>-</v>
      </c>
      <c r="B144" s="487" t="str">
        <f>IFERROR(VLOOKUP($E144,RESOURCES!$C:$G,4,FALSE),"-")</f>
        <v>-</v>
      </c>
      <c r="C144" s="461"/>
      <c r="H144" s="462"/>
      <c r="I144" s="70" t="str">
        <f t="shared" si="9"/>
        <v>-</v>
      </c>
      <c r="J144" s="71" t="str">
        <f t="shared" si="10"/>
        <v>resource</v>
      </c>
      <c r="U144"/>
      <c r="V144"/>
      <c r="W144"/>
      <c r="X144"/>
      <c r="Y144"/>
    </row>
    <row r="145" spans="1:25">
      <c r="A145" s="487" t="str">
        <f>IFERROR(VLOOKUP($E145,RESOURCES!$C:$G,5,FALSE),"-")</f>
        <v>-</v>
      </c>
      <c r="B145" s="487" t="str">
        <f>IFERROR(VLOOKUP($E145,RESOURCES!$C:$G,4,FALSE),"-")</f>
        <v>-</v>
      </c>
      <c r="C145" s="461"/>
      <c r="H145" s="462"/>
      <c r="I145" s="70" t="str">
        <f t="shared" si="9"/>
        <v>-</v>
      </c>
      <c r="J145" s="71" t="str">
        <f t="shared" si="10"/>
        <v>resource</v>
      </c>
      <c r="U145"/>
      <c r="V145"/>
      <c r="W145"/>
      <c r="X145"/>
      <c r="Y145"/>
    </row>
    <row r="146" spans="1:25">
      <c r="A146" s="487" t="str">
        <f>IFERROR(VLOOKUP($E146,RESOURCES!$C:$G,5,FALSE),"-")</f>
        <v>-</v>
      </c>
      <c r="B146" s="487" t="str">
        <f>IFERROR(VLOOKUP($E146,RESOURCES!$C:$G,4,FALSE),"-")</f>
        <v>-</v>
      </c>
      <c r="C146" s="461"/>
      <c r="H146" s="462"/>
      <c r="I146" s="70" t="str">
        <f t="shared" si="9"/>
        <v>-</v>
      </c>
      <c r="J146" s="71" t="str">
        <f t="shared" si="10"/>
        <v>resource</v>
      </c>
      <c r="U146"/>
      <c r="V146"/>
      <c r="W146"/>
      <c r="X146"/>
      <c r="Y146"/>
    </row>
    <row r="147" spans="1:25">
      <c r="A147" s="487" t="str">
        <f>IFERROR(VLOOKUP($E147,RESOURCES!$C:$G,5,FALSE),"-")</f>
        <v>-</v>
      </c>
      <c r="B147" s="487" t="str">
        <f>IFERROR(VLOOKUP($E147,RESOURCES!$C:$G,4,FALSE),"-")</f>
        <v>-</v>
      </c>
      <c r="C147" s="461"/>
      <c r="D147" s="461"/>
      <c r="E147" s="461"/>
      <c r="F147" s="489" t="str">
        <f t="shared" ref="F147:F194" si="11">IF(E147="","","MID")</f>
        <v/>
      </c>
      <c r="G147" s="464"/>
      <c r="H147" s="462"/>
      <c r="I147" s="70" t="str">
        <f t="shared" si="9"/>
        <v>-</v>
      </c>
      <c r="J147" s="71" t="str">
        <f t="shared" si="10"/>
        <v>resource</v>
      </c>
      <c r="U147"/>
      <c r="V147"/>
      <c r="W147"/>
      <c r="X147"/>
      <c r="Y147"/>
    </row>
    <row r="148" spans="1:25">
      <c r="A148" s="487" t="str">
        <f>IFERROR(VLOOKUP($E148,RESOURCES!$C:$G,5,FALSE),"-")</f>
        <v>-</v>
      </c>
      <c r="B148" s="487" t="str">
        <f>IFERROR(VLOOKUP($E148,RESOURCES!$C:$G,4,FALSE),"-")</f>
        <v>-</v>
      </c>
      <c r="C148" s="461"/>
      <c r="D148" s="461"/>
      <c r="E148" s="461"/>
      <c r="F148" s="489" t="str">
        <f t="shared" si="11"/>
        <v/>
      </c>
      <c r="G148" s="464"/>
      <c r="H148" s="462"/>
      <c r="I148" s="70" t="str">
        <f t="shared" si="9"/>
        <v>-</v>
      </c>
      <c r="J148" s="71" t="str">
        <f t="shared" si="10"/>
        <v>resource</v>
      </c>
      <c r="U148"/>
      <c r="V148"/>
      <c r="W148"/>
      <c r="X148"/>
      <c r="Y148"/>
    </row>
    <row r="149" spans="1:25">
      <c r="A149" s="487" t="str">
        <f>IFERROR(VLOOKUP($E149,RESOURCES!$C:$G,5,FALSE),"-")</f>
        <v>-</v>
      </c>
      <c r="B149" s="487" t="str">
        <f>IFERROR(VLOOKUP($E149,RESOURCES!$C:$G,4,FALSE),"-")</f>
        <v>-</v>
      </c>
      <c r="C149" s="461"/>
      <c r="D149" s="461"/>
      <c r="E149" s="461"/>
      <c r="F149" s="489" t="str">
        <f t="shared" si="11"/>
        <v/>
      </c>
      <c r="G149" s="464"/>
      <c r="H149" s="462"/>
      <c r="I149" s="70" t="str">
        <f t="shared" si="9"/>
        <v>-</v>
      </c>
      <c r="J149" s="71" t="str">
        <f t="shared" si="10"/>
        <v>resource</v>
      </c>
      <c r="U149"/>
      <c r="V149"/>
      <c r="W149"/>
      <c r="X149"/>
      <c r="Y149"/>
    </row>
    <row r="150" spans="1:25">
      <c r="A150" s="487" t="str">
        <f>IFERROR(VLOOKUP($E150,RESOURCES!$C:$G,5,FALSE),"-")</f>
        <v>-</v>
      </c>
      <c r="B150" s="487" t="str">
        <f>IFERROR(VLOOKUP($E150,RESOURCES!$C:$G,4,FALSE),"-")</f>
        <v>-</v>
      </c>
      <c r="C150" s="461"/>
      <c r="D150" s="461"/>
      <c r="E150" s="461"/>
      <c r="F150" s="489" t="str">
        <f t="shared" si="11"/>
        <v/>
      </c>
      <c r="G150" s="464"/>
      <c r="H150" s="462"/>
      <c r="I150" s="70" t="str">
        <f t="shared" si="9"/>
        <v>-</v>
      </c>
      <c r="J150" s="71" t="str">
        <f t="shared" si="10"/>
        <v>resource</v>
      </c>
      <c r="U150"/>
      <c r="V150"/>
      <c r="W150"/>
      <c r="X150"/>
      <c r="Y150"/>
    </row>
    <row r="151" spans="1:25">
      <c r="A151" s="487" t="str">
        <f>IFERROR(VLOOKUP($E151,RESOURCES!$C:$G,5,FALSE),"-")</f>
        <v>-</v>
      </c>
      <c r="B151" s="487" t="str">
        <f>IFERROR(VLOOKUP($E151,RESOURCES!$C:$G,4,FALSE),"-")</f>
        <v>-</v>
      </c>
      <c r="C151" s="461"/>
      <c r="D151" s="461"/>
      <c r="E151" s="461"/>
      <c r="F151" s="489" t="str">
        <f t="shared" si="11"/>
        <v/>
      </c>
      <c r="G151" s="464"/>
      <c r="H151" s="462"/>
      <c r="I151" s="70" t="str">
        <f t="shared" si="9"/>
        <v>-</v>
      </c>
      <c r="J151" s="71" t="str">
        <f t="shared" si="10"/>
        <v>resource</v>
      </c>
      <c r="U151"/>
      <c r="V151"/>
      <c r="W151"/>
      <c r="X151"/>
      <c r="Y151"/>
    </row>
    <row r="152" spans="1:25">
      <c r="A152" s="487" t="str">
        <f>IFERROR(VLOOKUP($E152,RESOURCES!$C:$G,5,FALSE),"-")</f>
        <v>-</v>
      </c>
      <c r="B152" s="487" t="str">
        <f>IFERROR(VLOOKUP($E152,RESOURCES!$C:$G,4,FALSE),"-")</f>
        <v>-</v>
      </c>
      <c r="C152" s="461"/>
      <c r="D152" s="461"/>
      <c r="E152" s="461"/>
      <c r="F152" s="489" t="str">
        <f t="shared" si="11"/>
        <v/>
      </c>
      <c r="G152" s="464"/>
      <c r="H152" s="462"/>
      <c r="I152" s="70" t="str">
        <f t="shared" si="9"/>
        <v>-</v>
      </c>
      <c r="J152" s="71" t="str">
        <f t="shared" si="10"/>
        <v>resource</v>
      </c>
      <c r="U152"/>
      <c r="V152"/>
      <c r="W152"/>
      <c r="X152"/>
      <c r="Y152"/>
    </row>
    <row r="153" spans="1:25">
      <c r="A153" s="487" t="str">
        <f>IFERROR(VLOOKUP($E153,RESOURCES!$C:$G,5,FALSE),"-")</f>
        <v>-</v>
      </c>
      <c r="B153" s="487" t="str">
        <f>IFERROR(VLOOKUP($E153,RESOURCES!$C:$G,4,FALSE),"-")</f>
        <v>-</v>
      </c>
      <c r="C153" s="461"/>
      <c r="D153" s="461"/>
      <c r="E153" s="461"/>
      <c r="F153" s="489" t="str">
        <f t="shared" si="11"/>
        <v/>
      </c>
      <c r="G153" s="464"/>
      <c r="H153" s="462"/>
      <c r="I153" s="70" t="str">
        <f t="shared" si="9"/>
        <v>-</v>
      </c>
      <c r="J153" s="71" t="str">
        <f t="shared" si="10"/>
        <v>resource</v>
      </c>
      <c r="U153"/>
      <c r="V153"/>
      <c r="W153"/>
      <c r="X153"/>
      <c r="Y153"/>
    </row>
    <row r="154" spans="1:25">
      <c r="A154" s="487" t="str">
        <f>IFERROR(VLOOKUP($E154,RESOURCES!$C:$G,5,FALSE),"-")</f>
        <v>-</v>
      </c>
      <c r="B154" s="487" t="str">
        <f>IFERROR(VLOOKUP($E154,RESOURCES!$C:$G,4,FALSE),"-")</f>
        <v>-</v>
      </c>
      <c r="C154" s="461"/>
      <c r="D154" s="461"/>
      <c r="E154" s="461"/>
      <c r="F154" s="489" t="str">
        <f t="shared" si="11"/>
        <v/>
      </c>
      <c r="G154" s="464"/>
      <c r="H154" s="462"/>
      <c r="I154" s="70" t="str">
        <f t="shared" si="9"/>
        <v>-</v>
      </c>
      <c r="J154" s="71" t="str">
        <f t="shared" si="10"/>
        <v>resource</v>
      </c>
      <c r="U154"/>
      <c r="V154"/>
      <c r="W154"/>
      <c r="X154"/>
      <c r="Y154"/>
    </row>
    <row r="155" spans="1:25">
      <c r="A155" s="487" t="str">
        <f>IFERROR(VLOOKUP($E155,RESOURCES!$C:$G,5,FALSE),"-")</f>
        <v>-</v>
      </c>
      <c r="B155" s="487" t="str">
        <f>IFERROR(VLOOKUP($E155,RESOURCES!$C:$G,4,FALSE),"-")</f>
        <v>-</v>
      </c>
      <c r="C155" s="461"/>
      <c r="D155" s="461"/>
      <c r="E155" s="461"/>
      <c r="F155" s="489" t="str">
        <f t="shared" si="11"/>
        <v/>
      </c>
      <c r="G155" s="464"/>
      <c r="H155" s="462"/>
      <c r="I155" s="70" t="str">
        <f t="shared" si="9"/>
        <v>-</v>
      </c>
      <c r="J155" s="71" t="str">
        <f t="shared" si="10"/>
        <v>resource</v>
      </c>
      <c r="U155"/>
      <c r="V155"/>
      <c r="W155"/>
      <c r="X155"/>
      <c r="Y155"/>
    </row>
    <row r="156" spans="1:25">
      <c r="A156" s="487" t="str">
        <f>IFERROR(VLOOKUP($E156,RESOURCES!$C:$G,5,FALSE),"-")</f>
        <v>-</v>
      </c>
      <c r="B156" s="487" t="str">
        <f>IFERROR(VLOOKUP($E156,RESOURCES!$C:$G,4,FALSE),"-")</f>
        <v>-</v>
      </c>
      <c r="C156" s="461"/>
      <c r="D156" s="461"/>
      <c r="E156" s="461"/>
      <c r="F156" s="489" t="str">
        <f t="shared" si="11"/>
        <v/>
      </c>
      <c r="G156" s="464"/>
      <c r="H156" s="462"/>
      <c r="I156" s="70" t="str">
        <f t="shared" si="9"/>
        <v>-</v>
      </c>
      <c r="J156" s="71" t="str">
        <f t="shared" si="10"/>
        <v>resource</v>
      </c>
      <c r="U156"/>
      <c r="V156"/>
      <c r="W156"/>
      <c r="X156"/>
      <c r="Y156"/>
    </row>
    <row r="157" spans="1:25">
      <c r="A157" s="487" t="str">
        <f>IFERROR(VLOOKUP($E157,RESOURCES!$C:$G,5,FALSE),"-")</f>
        <v>-</v>
      </c>
      <c r="B157" s="487" t="str">
        <f>IFERROR(VLOOKUP($E157,RESOURCES!$C:$G,4,FALSE),"-")</f>
        <v>-</v>
      </c>
      <c r="C157" s="461"/>
      <c r="D157" s="461"/>
      <c r="E157" s="461"/>
      <c r="F157" s="489" t="str">
        <f t="shared" si="11"/>
        <v/>
      </c>
      <c r="G157" s="464"/>
      <c r="H157" s="462"/>
      <c r="I157" s="70" t="str">
        <f t="shared" si="9"/>
        <v>-</v>
      </c>
      <c r="J157" s="71" t="str">
        <f t="shared" si="10"/>
        <v>resource</v>
      </c>
      <c r="U157"/>
      <c r="V157"/>
      <c r="W157"/>
      <c r="X157"/>
      <c r="Y157"/>
    </row>
    <row r="158" spans="1:25">
      <c r="A158" s="487" t="str">
        <f>IFERROR(VLOOKUP($E158,RESOURCES!$C:$G,5,FALSE),"-")</f>
        <v>-</v>
      </c>
      <c r="B158" s="487" t="str">
        <f>IFERROR(VLOOKUP($E158,RESOURCES!$C:$G,4,FALSE),"-")</f>
        <v>-</v>
      </c>
      <c r="C158" s="461"/>
      <c r="D158" s="461"/>
      <c r="E158" s="461"/>
      <c r="F158" s="489" t="str">
        <f t="shared" si="11"/>
        <v/>
      </c>
      <c r="G158" s="464"/>
      <c r="H158" s="462"/>
      <c r="I158" s="70" t="str">
        <f t="shared" si="9"/>
        <v>-</v>
      </c>
      <c r="J158" s="71" t="str">
        <f t="shared" si="10"/>
        <v>resource</v>
      </c>
      <c r="U158"/>
      <c r="V158"/>
      <c r="W158"/>
      <c r="X158"/>
      <c r="Y158"/>
    </row>
    <row r="159" spans="1:25">
      <c r="A159" s="487" t="str">
        <f>IFERROR(VLOOKUP($E159,RESOURCES!$C:$G,5,FALSE),"-")</f>
        <v>-</v>
      </c>
      <c r="B159" s="487" t="str">
        <f>IFERROR(VLOOKUP($E159,RESOURCES!$C:$G,4,FALSE),"-")</f>
        <v>-</v>
      </c>
      <c r="C159" s="461"/>
      <c r="D159" s="461"/>
      <c r="E159" s="461"/>
      <c r="F159" s="489" t="str">
        <f t="shared" si="11"/>
        <v/>
      </c>
      <c r="G159" s="464"/>
      <c r="H159" s="462"/>
      <c r="I159" s="70" t="str">
        <f t="shared" si="9"/>
        <v>-</v>
      </c>
      <c r="J159" s="71" t="str">
        <f t="shared" si="10"/>
        <v>resource</v>
      </c>
      <c r="U159"/>
      <c r="V159"/>
      <c r="W159"/>
      <c r="X159"/>
      <c r="Y159"/>
    </row>
    <row r="160" spans="1:25">
      <c r="A160" s="487" t="str">
        <f>IFERROR(VLOOKUP($E160,RESOURCES!$C:$G,5,FALSE),"-")</f>
        <v>-</v>
      </c>
      <c r="B160" s="487" t="str">
        <f>IFERROR(VLOOKUP($E160,RESOURCES!$C:$G,4,FALSE),"-")</f>
        <v>-</v>
      </c>
      <c r="C160" s="461"/>
      <c r="D160" s="461"/>
      <c r="E160" s="461"/>
      <c r="F160" s="489" t="str">
        <f t="shared" si="11"/>
        <v/>
      </c>
      <c r="G160" s="464"/>
      <c r="H160" s="462"/>
      <c r="I160" s="70" t="str">
        <f t="shared" si="9"/>
        <v>-</v>
      </c>
      <c r="J160" s="71" t="str">
        <f t="shared" si="10"/>
        <v>resource</v>
      </c>
      <c r="U160"/>
      <c r="V160"/>
      <c r="W160"/>
      <c r="X160"/>
      <c r="Y160"/>
    </row>
    <row r="161" spans="1:25">
      <c r="A161" s="487" t="str">
        <f>IFERROR(VLOOKUP($E161,RESOURCES!$C:$G,5,FALSE),"-")</f>
        <v>-</v>
      </c>
      <c r="B161" s="487" t="str">
        <f>IFERROR(VLOOKUP($E161,RESOURCES!$C:$G,4,FALSE),"-")</f>
        <v>-</v>
      </c>
      <c r="C161" s="461"/>
      <c r="D161" s="461"/>
      <c r="E161" s="461"/>
      <c r="F161" s="489" t="str">
        <f t="shared" si="11"/>
        <v/>
      </c>
      <c r="G161" s="464"/>
      <c r="H161" s="462"/>
      <c r="I161" s="70" t="str">
        <f t="shared" si="9"/>
        <v>-</v>
      </c>
      <c r="J161" s="71" t="str">
        <f t="shared" si="10"/>
        <v>resource</v>
      </c>
      <c r="U161"/>
      <c r="V161"/>
      <c r="W161"/>
      <c r="X161"/>
      <c r="Y161"/>
    </row>
    <row r="162" spans="1:25">
      <c r="A162" s="487" t="str">
        <f>IFERROR(VLOOKUP($E162,RESOURCES!$C:$G,5,FALSE),"-")</f>
        <v>-</v>
      </c>
      <c r="B162" s="487" t="str">
        <f>IFERROR(VLOOKUP($E162,RESOURCES!$C:$G,4,FALSE),"-")</f>
        <v>-</v>
      </c>
      <c r="C162" s="461"/>
      <c r="D162" s="461"/>
      <c r="E162" s="461"/>
      <c r="F162" s="489" t="str">
        <f t="shared" si="11"/>
        <v/>
      </c>
      <c r="G162" s="464"/>
      <c r="H162" s="462"/>
      <c r="I162" s="70" t="str">
        <f t="shared" si="9"/>
        <v>-</v>
      </c>
      <c r="J162" s="71" t="str">
        <f t="shared" si="10"/>
        <v>resource</v>
      </c>
      <c r="U162"/>
      <c r="V162"/>
      <c r="W162"/>
      <c r="X162"/>
      <c r="Y162"/>
    </row>
    <row r="163" spans="1:25">
      <c r="A163" s="487" t="str">
        <f>IFERROR(VLOOKUP($E163,RESOURCES!$C:$G,5,FALSE),"-")</f>
        <v>-</v>
      </c>
      <c r="B163" s="487" t="str">
        <f>IFERROR(VLOOKUP($E163,RESOURCES!$C:$G,4,FALSE),"-")</f>
        <v>-</v>
      </c>
      <c r="C163" s="461"/>
      <c r="D163" s="461"/>
      <c r="E163" s="461"/>
      <c r="F163" s="489" t="str">
        <f t="shared" si="11"/>
        <v/>
      </c>
      <c r="G163" s="464"/>
      <c r="H163" s="462"/>
      <c r="I163" s="70" t="str">
        <f t="shared" si="9"/>
        <v>-</v>
      </c>
      <c r="J163" s="71" t="str">
        <f t="shared" si="10"/>
        <v>resource</v>
      </c>
      <c r="U163"/>
      <c r="V163"/>
      <c r="W163"/>
      <c r="X163"/>
      <c r="Y163"/>
    </row>
    <row r="164" spans="1:25">
      <c r="A164" s="487" t="str">
        <f>IFERROR(VLOOKUP($E164,RESOURCES!$C:$G,5,FALSE),"-")</f>
        <v>-</v>
      </c>
      <c r="B164" s="487" t="str">
        <f>IFERROR(VLOOKUP($E164,RESOURCES!$C:$G,4,FALSE),"-")</f>
        <v>-</v>
      </c>
      <c r="C164" s="461"/>
      <c r="D164" s="461"/>
      <c r="E164" s="461"/>
      <c r="F164" s="489" t="str">
        <f t="shared" si="11"/>
        <v/>
      </c>
      <c r="G164" s="464"/>
      <c r="H164" s="462"/>
      <c r="I164" s="70" t="str">
        <f t="shared" si="9"/>
        <v>-</v>
      </c>
      <c r="J164" s="71" t="str">
        <f t="shared" si="10"/>
        <v>resource</v>
      </c>
      <c r="U164"/>
      <c r="V164"/>
      <c r="W164"/>
      <c r="X164"/>
      <c r="Y164"/>
    </row>
    <row r="165" spans="1:25">
      <c r="A165" s="487" t="str">
        <f>IFERROR(VLOOKUP($E165,RESOURCES!$C:$G,5,FALSE),"-")</f>
        <v>-</v>
      </c>
      <c r="B165" s="487" t="str">
        <f>IFERROR(VLOOKUP($E165,RESOURCES!$C:$G,4,FALSE),"-")</f>
        <v>-</v>
      </c>
      <c r="C165" s="461"/>
      <c r="D165" s="461"/>
      <c r="E165" s="461"/>
      <c r="F165" s="489" t="str">
        <f t="shared" si="11"/>
        <v/>
      </c>
      <c r="G165" s="464"/>
      <c r="H165" s="462"/>
      <c r="I165" s="70" t="str">
        <f t="shared" si="9"/>
        <v>-</v>
      </c>
      <c r="J165" s="71" t="str">
        <f t="shared" si="10"/>
        <v>resource</v>
      </c>
      <c r="U165"/>
      <c r="V165"/>
      <c r="W165"/>
      <c r="X165"/>
      <c r="Y165"/>
    </row>
    <row r="166" spans="1:25">
      <c r="A166" s="487" t="str">
        <f>IFERROR(VLOOKUP($E166,RESOURCES!$C:$G,5,FALSE),"-")</f>
        <v>-</v>
      </c>
      <c r="B166" s="487" t="str">
        <f>IFERROR(VLOOKUP($E166,RESOURCES!$C:$G,4,FALSE),"-")</f>
        <v>-</v>
      </c>
      <c r="C166" s="461"/>
      <c r="D166" s="461"/>
      <c r="E166" s="461"/>
      <c r="F166" s="489" t="str">
        <f t="shared" si="11"/>
        <v/>
      </c>
      <c r="G166" s="464"/>
      <c r="H166" s="462"/>
      <c r="I166" s="70" t="str">
        <f t="shared" si="9"/>
        <v>-</v>
      </c>
      <c r="J166" s="71" t="str">
        <f t="shared" si="10"/>
        <v>resource</v>
      </c>
      <c r="U166"/>
      <c r="V166"/>
      <c r="W166"/>
      <c r="X166"/>
      <c r="Y166"/>
    </row>
    <row r="167" spans="1:25">
      <c r="A167" s="461"/>
      <c r="B167" s="461"/>
      <c r="C167" s="461"/>
      <c r="D167" s="461"/>
      <c r="E167" s="461"/>
      <c r="F167" s="489" t="str">
        <f t="shared" si="11"/>
        <v/>
      </c>
      <c r="G167" s="464"/>
      <c r="H167" s="462"/>
      <c r="I167" s="70" t="str">
        <f t="shared" si="9"/>
        <v>-</v>
      </c>
      <c r="J167" s="71" t="str">
        <f t="shared" si="10"/>
        <v>resource</v>
      </c>
      <c r="U167"/>
      <c r="V167"/>
      <c r="W167"/>
      <c r="X167"/>
      <c r="Y167"/>
    </row>
    <row r="168" spans="1:25">
      <c r="A168" s="461"/>
      <c r="B168" s="461"/>
      <c r="C168" s="461"/>
      <c r="D168" s="461"/>
      <c r="E168" s="461"/>
      <c r="F168" s="489" t="str">
        <f t="shared" si="11"/>
        <v/>
      </c>
      <c r="G168" s="464"/>
      <c r="H168" s="462"/>
      <c r="I168" s="70" t="str">
        <f t="shared" si="9"/>
        <v>-</v>
      </c>
      <c r="J168" s="71" t="str">
        <f t="shared" si="10"/>
        <v>resource</v>
      </c>
      <c r="U168"/>
      <c r="V168"/>
      <c r="W168"/>
      <c r="X168"/>
      <c r="Y168"/>
    </row>
    <row r="169" spans="1:25">
      <c r="A169" s="461"/>
      <c r="B169" s="461"/>
      <c r="C169" s="461"/>
      <c r="D169" s="461"/>
      <c r="E169" s="461"/>
      <c r="F169" s="489" t="str">
        <f t="shared" si="11"/>
        <v/>
      </c>
      <c r="G169" s="464"/>
      <c r="H169" s="462"/>
      <c r="I169" s="70" t="str">
        <f t="shared" si="9"/>
        <v>-</v>
      </c>
      <c r="J169" s="71" t="str">
        <f t="shared" si="10"/>
        <v>resource</v>
      </c>
      <c r="U169"/>
      <c r="V169"/>
      <c r="W169"/>
      <c r="X169"/>
      <c r="Y169"/>
    </row>
    <row r="170" spans="1:25">
      <c r="A170" s="461"/>
      <c r="B170" s="461"/>
      <c r="C170" s="461"/>
      <c r="D170" s="461"/>
      <c r="E170" s="461"/>
      <c r="F170" s="489" t="str">
        <f t="shared" si="11"/>
        <v/>
      </c>
      <c r="G170" s="464"/>
      <c r="H170" s="462"/>
      <c r="I170" s="70" t="str">
        <f t="shared" si="9"/>
        <v>-</v>
      </c>
      <c r="J170" s="71" t="str">
        <f t="shared" si="10"/>
        <v>resource</v>
      </c>
      <c r="U170"/>
      <c r="V170"/>
      <c r="W170"/>
      <c r="X170"/>
      <c r="Y170"/>
    </row>
    <row r="171" spans="1:25">
      <c r="A171" s="461"/>
      <c r="B171" s="461"/>
      <c r="C171" s="461"/>
      <c r="D171" s="461"/>
      <c r="E171" s="461"/>
      <c r="F171" s="489" t="str">
        <f t="shared" si="11"/>
        <v/>
      </c>
      <c r="G171" s="464"/>
      <c r="H171" s="462"/>
      <c r="I171" s="70" t="str">
        <f t="shared" si="9"/>
        <v>-</v>
      </c>
      <c r="J171" s="71" t="str">
        <f t="shared" si="10"/>
        <v>resource</v>
      </c>
    </row>
    <row r="172" spans="1:25">
      <c r="A172" s="461"/>
      <c r="B172" s="461"/>
      <c r="C172" s="461"/>
      <c r="D172" s="461"/>
      <c r="E172" s="461"/>
      <c r="F172" s="489" t="str">
        <f t="shared" si="11"/>
        <v/>
      </c>
      <c r="G172" s="464"/>
      <c r="H172" s="462"/>
      <c r="I172" s="70" t="str">
        <f t="shared" si="9"/>
        <v>-</v>
      </c>
      <c r="J172" s="71" t="str">
        <f t="shared" si="10"/>
        <v>resource</v>
      </c>
    </row>
    <row r="173" spans="1:25">
      <c r="A173" s="461"/>
      <c r="B173" s="461"/>
      <c r="C173" s="461"/>
      <c r="D173" s="461"/>
      <c r="E173" s="461"/>
      <c r="F173" s="489" t="str">
        <f t="shared" si="11"/>
        <v/>
      </c>
      <c r="G173" s="464"/>
      <c r="H173" s="462"/>
      <c r="I173" s="70" t="str">
        <f t="shared" si="9"/>
        <v>-</v>
      </c>
      <c r="J173" s="71" t="str">
        <f t="shared" si="10"/>
        <v>resource</v>
      </c>
    </row>
    <row r="174" spans="1:25">
      <c r="A174" s="461"/>
      <c r="B174" s="461"/>
      <c r="C174" s="461"/>
      <c r="D174" s="461"/>
      <c r="E174" s="461"/>
      <c r="F174" s="489" t="str">
        <f t="shared" si="11"/>
        <v/>
      </c>
      <c r="G174" s="464"/>
      <c r="H174" s="462"/>
      <c r="I174" s="70" t="str">
        <f t="shared" si="9"/>
        <v>-</v>
      </c>
      <c r="J174" s="71" t="str">
        <f t="shared" si="10"/>
        <v>resource</v>
      </c>
    </row>
    <row r="175" spans="1:25">
      <c r="A175" s="461"/>
      <c r="B175" s="461"/>
      <c r="C175" s="461"/>
      <c r="D175" s="461"/>
      <c r="E175" s="461"/>
      <c r="F175" s="489" t="str">
        <f t="shared" si="11"/>
        <v/>
      </c>
      <c r="G175" s="464"/>
      <c r="H175" s="462"/>
      <c r="I175" s="70" t="str">
        <f t="shared" si="9"/>
        <v>-</v>
      </c>
      <c r="J175" s="71" t="str">
        <f t="shared" si="10"/>
        <v>resource</v>
      </c>
    </row>
    <row r="176" spans="1:25">
      <c r="A176" s="461"/>
      <c r="B176" s="461"/>
      <c r="C176" s="461"/>
      <c r="D176" s="461"/>
      <c r="E176" s="461"/>
      <c r="F176" s="489" t="str">
        <f t="shared" si="11"/>
        <v/>
      </c>
      <c r="G176" s="464"/>
      <c r="H176" s="462"/>
      <c r="I176" s="70" t="str">
        <f t="shared" si="9"/>
        <v>-</v>
      </c>
      <c r="J176" s="71" t="str">
        <f t="shared" si="10"/>
        <v>resource</v>
      </c>
    </row>
    <row r="177" spans="1:10">
      <c r="A177" s="461"/>
      <c r="B177" s="461"/>
      <c r="C177" s="461"/>
      <c r="D177" s="461"/>
      <c r="E177" s="461"/>
      <c r="F177" s="489" t="str">
        <f t="shared" si="11"/>
        <v/>
      </c>
      <c r="G177" s="464"/>
      <c r="H177" s="462"/>
      <c r="I177" s="70" t="str">
        <f t="shared" si="9"/>
        <v>-</v>
      </c>
      <c r="J177" s="71" t="str">
        <f t="shared" si="10"/>
        <v>resource</v>
      </c>
    </row>
    <row r="178" spans="1:10">
      <c r="A178" s="461"/>
      <c r="B178" s="461"/>
      <c r="C178" s="461"/>
      <c r="D178" s="461"/>
      <c r="E178" s="461"/>
      <c r="F178" s="489" t="str">
        <f t="shared" si="11"/>
        <v/>
      </c>
      <c r="G178" s="464"/>
      <c r="H178" s="462"/>
      <c r="I178" s="70" t="str">
        <f t="shared" si="9"/>
        <v>-</v>
      </c>
      <c r="J178" s="71" t="str">
        <f t="shared" si="10"/>
        <v>resource</v>
      </c>
    </row>
    <row r="179" spans="1:10">
      <c r="A179" s="461"/>
      <c r="B179" s="461"/>
      <c r="C179" s="461"/>
      <c r="D179" s="461"/>
      <c r="E179" s="461"/>
      <c r="F179" s="489" t="str">
        <f t="shared" si="11"/>
        <v/>
      </c>
      <c r="G179" s="464"/>
      <c r="H179" s="462"/>
      <c r="I179" s="70" t="str">
        <f t="shared" si="9"/>
        <v>-</v>
      </c>
      <c r="J179" s="71" t="str">
        <f t="shared" si="10"/>
        <v>resource</v>
      </c>
    </row>
    <row r="180" spans="1:10">
      <c r="A180" s="461"/>
      <c r="B180" s="461"/>
      <c r="C180" s="461"/>
      <c r="D180" s="461"/>
      <c r="E180" s="461"/>
      <c r="F180" s="489" t="str">
        <f t="shared" si="11"/>
        <v/>
      </c>
      <c r="G180" s="464"/>
      <c r="H180" s="462"/>
      <c r="I180" s="70" t="str">
        <f t="shared" si="9"/>
        <v>-</v>
      </c>
      <c r="J180" s="71" t="str">
        <f t="shared" si="10"/>
        <v>resource</v>
      </c>
    </row>
    <row r="181" spans="1:10">
      <c r="A181" s="461"/>
      <c r="B181" s="461"/>
      <c r="C181" s="461"/>
      <c r="D181" s="461"/>
      <c r="E181" s="461"/>
      <c r="F181" s="489" t="str">
        <f t="shared" si="11"/>
        <v/>
      </c>
      <c r="G181" s="464"/>
      <c r="H181" s="462"/>
      <c r="I181" s="70" t="str">
        <f t="shared" si="9"/>
        <v>-</v>
      </c>
      <c r="J181" s="71" t="str">
        <f t="shared" si="10"/>
        <v>resource</v>
      </c>
    </row>
    <row r="182" spans="1:10">
      <c r="A182" s="461"/>
      <c r="B182" s="461"/>
      <c r="C182" s="461"/>
      <c r="D182" s="461"/>
      <c r="E182" s="461"/>
      <c r="F182" s="489" t="str">
        <f t="shared" si="11"/>
        <v/>
      </c>
      <c r="G182" s="464"/>
      <c r="H182" s="462"/>
      <c r="I182" s="70" t="str">
        <f t="shared" si="9"/>
        <v>-</v>
      </c>
      <c r="J182" s="71" t="str">
        <f t="shared" si="10"/>
        <v>resource</v>
      </c>
    </row>
    <row r="183" spans="1:10">
      <c r="A183" s="461"/>
      <c r="B183" s="461"/>
      <c r="C183" s="461"/>
      <c r="D183" s="461"/>
      <c r="E183" s="461"/>
      <c r="F183" s="489" t="str">
        <f t="shared" si="11"/>
        <v/>
      </c>
      <c r="G183" s="464"/>
      <c r="H183" s="462"/>
      <c r="I183" s="70" t="str">
        <f t="shared" si="9"/>
        <v>-</v>
      </c>
      <c r="J183" s="71" t="str">
        <f t="shared" si="10"/>
        <v>resource</v>
      </c>
    </row>
    <row r="184" spans="1:10">
      <c r="A184" s="461"/>
      <c r="B184" s="461"/>
      <c r="C184" s="461"/>
      <c r="D184" s="461"/>
      <c r="E184" s="461"/>
      <c r="F184" s="489" t="str">
        <f t="shared" si="11"/>
        <v/>
      </c>
      <c r="G184" s="464"/>
      <c r="H184" s="462"/>
      <c r="I184" s="70" t="str">
        <f t="shared" si="9"/>
        <v>-</v>
      </c>
      <c r="J184" s="71" t="str">
        <f t="shared" si="10"/>
        <v>resource</v>
      </c>
    </row>
    <row r="185" spans="1:10">
      <c r="A185" s="461"/>
      <c r="B185" s="461"/>
      <c r="C185" s="461"/>
      <c r="D185" s="461"/>
      <c r="E185" s="461"/>
      <c r="F185" s="489" t="str">
        <f t="shared" si="11"/>
        <v/>
      </c>
      <c r="G185" s="464"/>
      <c r="H185" s="462"/>
      <c r="I185" s="70" t="str">
        <f t="shared" si="9"/>
        <v>-</v>
      </c>
      <c r="J185" s="71" t="str">
        <f t="shared" si="10"/>
        <v>resource</v>
      </c>
    </row>
    <row r="186" spans="1:10">
      <c r="A186" s="461"/>
      <c r="B186" s="461"/>
      <c r="C186" s="461"/>
      <c r="D186" s="461"/>
      <c r="E186" s="461"/>
      <c r="F186" s="489" t="str">
        <f t="shared" si="11"/>
        <v/>
      </c>
      <c r="G186" s="464"/>
      <c r="H186" s="462"/>
      <c r="I186" s="70" t="str">
        <f t="shared" si="9"/>
        <v>-</v>
      </c>
      <c r="J186" s="71" t="str">
        <f t="shared" si="10"/>
        <v>resource</v>
      </c>
    </row>
    <row r="187" spans="1:10">
      <c r="A187" s="461"/>
      <c r="B187" s="461"/>
      <c r="C187" s="461"/>
      <c r="D187" s="461"/>
      <c r="E187" s="461"/>
      <c r="F187" s="489" t="str">
        <f t="shared" si="11"/>
        <v/>
      </c>
      <c r="G187" s="464"/>
      <c r="H187" s="462"/>
      <c r="I187" s="70" t="str">
        <f t="shared" si="9"/>
        <v>-</v>
      </c>
      <c r="J187" s="71" t="str">
        <f t="shared" si="10"/>
        <v>resource</v>
      </c>
    </row>
    <row r="188" spans="1:10">
      <c r="A188" s="461"/>
      <c r="B188" s="461"/>
      <c r="C188" s="461"/>
      <c r="D188" s="461"/>
      <c r="E188" s="461"/>
      <c r="F188" s="489" t="str">
        <f t="shared" si="11"/>
        <v/>
      </c>
      <c r="G188" s="464"/>
      <c r="H188" s="462"/>
      <c r="I188" s="70" t="str">
        <f t="shared" si="9"/>
        <v>-</v>
      </c>
      <c r="J188" s="71" t="str">
        <f t="shared" si="10"/>
        <v>resource</v>
      </c>
    </row>
    <row r="189" spans="1:10">
      <c r="A189" s="461"/>
      <c r="B189" s="461"/>
      <c r="C189" s="461"/>
      <c r="D189" s="461"/>
      <c r="E189" s="461"/>
      <c r="F189" s="489" t="str">
        <f t="shared" si="11"/>
        <v/>
      </c>
      <c r="G189" s="464"/>
      <c r="H189" s="462"/>
      <c r="I189" s="70" t="str">
        <f t="shared" si="9"/>
        <v>-</v>
      </c>
      <c r="J189" s="71" t="str">
        <f t="shared" si="10"/>
        <v>resource</v>
      </c>
    </row>
    <row r="190" spans="1:10">
      <c r="A190" s="461"/>
      <c r="B190" s="461"/>
      <c r="C190" s="461"/>
      <c r="D190" s="461"/>
      <c r="E190" s="461"/>
      <c r="F190" s="489" t="str">
        <f t="shared" si="11"/>
        <v/>
      </c>
      <c r="G190" s="464"/>
      <c r="H190" s="462"/>
      <c r="I190" s="70" t="str">
        <f t="shared" si="9"/>
        <v>-</v>
      </c>
      <c r="J190" s="71" t="str">
        <f t="shared" si="10"/>
        <v>resource</v>
      </c>
    </row>
    <row r="191" spans="1:10">
      <c r="A191" s="461"/>
      <c r="B191" s="461"/>
      <c r="C191" s="461"/>
      <c r="D191" s="461"/>
      <c r="E191" s="461"/>
      <c r="F191" s="489" t="str">
        <f t="shared" si="11"/>
        <v/>
      </c>
      <c r="G191" s="464"/>
      <c r="H191" s="462"/>
      <c r="I191" s="70" t="str">
        <f t="shared" si="9"/>
        <v>-</v>
      </c>
      <c r="J191" s="71" t="str">
        <f t="shared" si="10"/>
        <v>resource</v>
      </c>
    </row>
    <row r="192" spans="1:10">
      <c r="A192" s="461"/>
      <c r="B192" s="461"/>
      <c r="C192" s="461"/>
      <c r="D192" s="461"/>
      <c r="E192" s="461"/>
      <c r="F192" s="489" t="str">
        <f t="shared" si="11"/>
        <v/>
      </c>
      <c r="G192" s="464"/>
      <c r="H192" s="462"/>
      <c r="I192" s="70" t="str">
        <f t="shared" si="9"/>
        <v>-</v>
      </c>
      <c r="J192" s="71" t="str">
        <f t="shared" si="10"/>
        <v>resource</v>
      </c>
    </row>
    <row r="193" spans="1:10">
      <c r="A193" s="461"/>
      <c r="B193" s="461"/>
      <c r="C193" s="461"/>
      <c r="D193" s="461"/>
      <c r="E193" s="461"/>
      <c r="F193" s="489" t="str">
        <f t="shared" si="11"/>
        <v/>
      </c>
      <c r="G193" s="464"/>
      <c r="H193" s="462"/>
      <c r="I193" s="70" t="str">
        <f t="shared" si="9"/>
        <v>-</v>
      </c>
      <c r="J193" s="71" t="str">
        <f t="shared" si="10"/>
        <v>resource</v>
      </c>
    </row>
    <row r="194" spans="1:10">
      <c r="A194" s="461"/>
      <c r="B194" s="461"/>
      <c r="C194" s="461"/>
      <c r="D194" s="461"/>
      <c r="E194" s="461"/>
      <c r="F194" s="489" t="str">
        <f t="shared" si="11"/>
        <v/>
      </c>
      <c r="G194" s="464"/>
      <c r="H194" s="462"/>
      <c r="I194" s="70" t="str">
        <f t="shared" ref="I194:I257" si="12">IFERROR(AVERAGEIFS($G:$G,$E:$E,$E194),"-")</f>
        <v>-</v>
      </c>
      <c r="J194" s="71" t="str">
        <f t="shared" ref="J194:J257" si="13">IF($C194="Voice QA",$C194,"resource")</f>
        <v>resource</v>
      </c>
    </row>
    <row r="195" spans="1:10">
      <c r="A195" s="461"/>
      <c r="B195" s="461"/>
      <c r="C195" s="461"/>
      <c r="D195" s="461"/>
      <c r="E195" s="461"/>
      <c r="F195" s="489" t="str">
        <f t="shared" ref="F195:F258" si="14">IF(E195="","","MID")</f>
        <v/>
      </c>
      <c r="G195" s="464"/>
      <c r="H195" s="462"/>
      <c r="I195" s="70" t="str">
        <f t="shared" si="12"/>
        <v>-</v>
      </c>
      <c r="J195" s="71" t="str">
        <f t="shared" si="13"/>
        <v>resource</v>
      </c>
    </row>
    <row r="196" spans="1:10">
      <c r="A196" s="461"/>
      <c r="B196" s="461"/>
      <c r="C196" s="461"/>
      <c r="D196" s="461"/>
      <c r="E196" s="461"/>
      <c r="F196" s="489" t="str">
        <f t="shared" si="14"/>
        <v/>
      </c>
      <c r="G196" s="464"/>
      <c r="H196" s="462"/>
      <c r="I196" s="70" t="str">
        <f t="shared" si="12"/>
        <v>-</v>
      </c>
      <c r="J196" s="71" t="str">
        <f t="shared" si="13"/>
        <v>resource</v>
      </c>
    </row>
    <row r="197" spans="1:10">
      <c r="A197" s="461"/>
      <c r="B197" s="461"/>
      <c r="C197" s="461"/>
      <c r="D197" s="461"/>
      <c r="E197" s="461"/>
      <c r="F197" s="489" t="str">
        <f t="shared" si="14"/>
        <v/>
      </c>
      <c r="G197" s="464"/>
      <c r="H197" s="462"/>
      <c r="I197" s="70" t="str">
        <f t="shared" si="12"/>
        <v>-</v>
      </c>
      <c r="J197" s="71" t="str">
        <f t="shared" si="13"/>
        <v>resource</v>
      </c>
    </row>
    <row r="198" spans="1:10">
      <c r="A198" s="461"/>
      <c r="B198" s="461"/>
      <c r="C198" s="461"/>
      <c r="D198" s="461"/>
      <c r="E198" s="461"/>
      <c r="F198" s="489" t="str">
        <f t="shared" si="14"/>
        <v/>
      </c>
      <c r="G198" s="464"/>
      <c r="H198" s="462"/>
      <c r="I198" s="70" t="str">
        <f t="shared" si="12"/>
        <v>-</v>
      </c>
      <c r="J198" s="71" t="str">
        <f t="shared" si="13"/>
        <v>resource</v>
      </c>
    </row>
    <row r="199" spans="1:10">
      <c r="A199" s="461"/>
      <c r="B199" s="461"/>
      <c r="C199" s="461"/>
      <c r="D199" s="461"/>
      <c r="E199" s="461"/>
      <c r="F199" s="489" t="str">
        <f t="shared" si="14"/>
        <v/>
      </c>
      <c r="G199" s="464"/>
      <c r="H199" s="462"/>
      <c r="I199" s="70" t="str">
        <f t="shared" si="12"/>
        <v>-</v>
      </c>
      <c r="J199" s="71" t="str">
        <f t="shared" si="13"/>
        <v>resource</v>
      </c>
    </row>
    <row r="200" spans="1:10">
      <c r="A200" s="461"/>
      <c r="B200" s="461"/>
      <c r="C200" s="461"/>
      <c r="D200" s="461"/>
      <c r="E200" s="461"/>
      <c r="F200" s="489" t="str">
        <f t="shared" si="14"/>
        <v/>
      </c>
      <c r="G200" s="464"/>
      <c r="H200" s="462"/>
      <c r="I200" s="70" t="str">
        <f t="shared" si="12"/>
        <v>-</v>
      </c>
      <c r="J200" s="71" t="str">
        <f t="shared" si="13"/>
        <v>resource</v>
      </c>
    </row>
    <row r="201" spans="1:10">
      <c r="A201" s="461"/>
      <c r="B201" s="461"/>
      <c r="C201" s="461"/>
      <c r="D201" s="461"/>
      <c r="E201" s="461"/>
      <c r="F201" s="489" t="str">
        <f t="shared" si="14"/>
        <v/>
      </c>
      <c r="G201" s="464"/>
      <c r="H201" s="462"/>
      <c r="I201" s="70" t="str">
        <f t="shared" si="12"/>
        <v>-</v>
      </c>
      <c r="J201" s="71" t="str">
        <f t="shared" si="13"/>
        <v>resource</v>
      </c>
    </row>
    <row r="202" spans="1:10">
      <c r="A202" s="461"/>
      <c r="B202" s="461"/>
      <c r="C202" s="461"/>
      <c r="D202" s="461"/>
      <c r="E202" s="461"/>
      <c r="F202" s="489" t="str">
        <f t="shared" si="14"/>
        <v/>
      </c>
      <c r="G202" s="464"/>
      <c r="H202" s="462"/>
      <c r="I202" s="70" t="str">
        <f t="shared" si="12"/>
        <v>-</v>
      </c>
      <c r="J202" s="71" t="str">
        <f t="shared" si="13"/>
        <v>resource</v>
      </c>
    </row>
    <row r="203" spans="1:10">
      <c r="A203" s="461"/>
      <c r="B203" s="461"/>
      <c r="C203" s="461"/>
      <c r="D203" s="461"/>
      <c r="E203" s="461"/>
      <c r="F203" s="489" t="str">
        <f t="shared" si="14"/>
        <v/>
      </c>
      <c r="G203" s="464"/>
      <c r="H203" s="462"/>
      <c r="I203" s="70" t="str">
        <f t="shared" si="12"/>
        <v>-</v>
      </c>
      <c r="J203" s="71" t="str">
        <f t="shared" si="13"/>
        <v>resource</v>
      </c>
    </row>
    <row r="204" spans="1:10">
      <c r="A204" s="461"/>
      <c r="B204" s="461"/>
      <c r="C204" s="461"/>
      <c r="D204" s="461"/>
      <c r="E204" s="461"/>
      <c r="F204" s="489" t="str">
        <f t="shared" si="14"/>
        <v/>
      </c>
      <c r="G204" s="464"/>
      <c r="H204" s="462"/>
      <c r="I204" s="70" t="str">
        <f t="shared" si="12"/>
        <v>-</v>
      </c>
      <c r="J204" s="71" t="str">
        <f t="shared" si="13"/>
        <v>resource</v>
      </c>
    </row>
    <row r="205" spans="1:10">
      <c r="A205" s="461"/>
      <c r="B205" s="461"/>
      <c r="C205" s="461"/>
      <c r="D205" s="461"/>
      <c r="E205" s="461"/>
      <c r="F205" s="489" t="str">
        <f t="shared" si="14"/>
        <v/>
      </c>
      <c r="G205" s="464"/>
      <c r="H205" s="462"/>
      <c r="I205" s="70" t="str">
        <f t="shared" si="12"/>
        <v>-</v>
      </c>
      <c r="J205" s="71" t="str">
        <f t="shared" si="13"/>
        <v>resource</v>
      </c>
    </row>
    <row r="206" spans="1:10">
      <c r="A206" s="461"/>
      <c r="B206" s="461"/>
      <c r="C206" s="461"/>
      <c r="D206" s="461"/>
      <c r="E206" s="461"/>
      <c r="F206" s="489" t="str">
        <f t="shared" si="14"/>
        <v/>
      </c>
      <c r="G206" s="464"/>
      <c r="H206" s="462"/>
      <c r="I206" s="70" t="str">
        <f t="shared" si="12"/>
        <v>-</v>
      </c>
      <c r="J206" s="71" t="str">
        <f t="shared" si="13"/>
        <v>resource</v>
      </c>
    </row>
    <row r="207" spans="1:10">
      <c r="A207" s="461"/>
      <c r="B207" s="461"/>
      <c r="C207" s="461"/>
      <c r="D207" s="461"/>
      <c r="E207" s="461"/>
      <c r="F207" s="489" t="str">
        <f t="shared" si="14"/>
        <v/>
      </c>
      <c r="G207" s="464"/>
      <c r="H207" s="462"/>
      <c r="I207" s="70" t="str">
        <f t="shared" si="12"/>
        <v>-</v>
      </c>
      <c r="J207" s="71" t="str">
        <f t="shared" si="13"/>
        <v>resource</v>
      </c>
    </row>
    <row r="208" spans="1:10">
      <c r="A208" s="461"/>
      <c r="B208" s="461"/>
      <c r="C208" s="461"/>
      <c r="D208" s="461"/>
      <c r="E208" s="461"/>
      <c r="F208" s="489" t="str">
        <f t="shared" si="14"/>
        <v/>
      </c>
      <c r="G208" s="464"/>
      <c r="H208" s="462"/>
      <c r="I208" s="70" t="str">
        <f t="shared" si="12"/>
        <v>-</v>
      </c>
      <c r="J208" s="71" t="str">
        <f t="shared" si="13"/>
        <v>resource</v>
      </c>
    </row>
    <row r="209" spans="1:10">
      <c r="A209" s="461"/>
      <c r="B209" s="461"/>
      <c r="C209" s="461"/>
      <c r="D209" s="461"/>
      <c r="E209" s="461"/>
      <c r="F209" s="489" t="str">
        <f t="shared" si="14"/>
        <v/>
      </c>
      <c r="G209" s="464"/>
      <c r="H209" s="462"/>
      <c r="I209" s="70" t="str">
        <f t="shared" si="12"/>
        <v>-</v>
      </c>
      <c r="J209" s="71" t="str">
        <f t="shared" si="13"/>
        <v>resource</v>
      </c>
    </row>
    <row r="210" spans="1:10">
      <c r="A210" s="461"/>
      <c r="B210" s="461"/>
      <c r="C210" s="461"/>
      <c r="D210" s="461"/>
      <c r="E210" s="461"/>
      <c r="F210" s="489" t="str">
        <f t="shared" si="14"/>
        <v/>
      </c>
      <c r="G210" s="464"/>
      <c r="H210" s="462"/>
      <c r="I210" s="70" t="str">
        <f t="shared" si="12"/>
        <v>-</v>
      </c>
      <c r="J210" s="71" t="str">
        <f t="shared" si="13"/>
        <v>resource</v>
      </c>
    </row>
    <row r="211" spans="1:10">
      <c r="A211" s="461"/>
      <c r="B211" s="461"/>
      <c r="C211" s="461"/>
      <c r="D211" s="461"/>
      <c r="E211" s="461"/>
      <c r="F211" s="489" t="str">
        <f t="shared" si="14"/>
        <v/>
      </c>
      <c r="G211" s="464"/>
      <c r="H211" s="462"/>
      <c r="I211" s="70" t="str">
        <f t="shared" si="12"/>
        <v>-</v>
      </c>
      <c r="J211" s="71" t="str">
        <f t="shared" si="13"/>
        <v>resource</v>
      </c>
    </row>
    <row r="212" spans="1:10">
      <c r="A212" s="461"/>
      <c r="B212" s="461"/>
      <c r="C212" s="461"/>
      <c r="D212" s="461"/>
      <c r="E212" s="461"/>
      <c r="F212" s="489" t="str">
        <f t="shared" si="14"/>
        <v/>
      </c>
      <c r="G212" s="464"/>
      <c r="H212" s="462"/>
      <c r="I212" s="70" t="str">
        <f t="shared" si="12"/>
        <v>-</v>
      </c>
      <c r="J212" s="71" t="str">
        <f t="shared" si="13"/>
        <v>resource</v>
      </c>
    </row>
    <row r="213" spans="1:10">
      <c r="A213" s="461"/>
      <c r="B213" s="461"/>
      <c r="C213" s="461"/>
      <c r="D213" s="461"/>
      <c r="E213" s="461"/>
      <c r="F213" s="489" t="str">
        <f t="shared" si="14"/>
        <v/>
      </c>
      <c r="G213" s="464"/>
      <c r="H213" s="462"/>
      <c r="I213" s="70" t="str">
        <f t="shared" si="12"/>
        <v>-</v>
      </c>
      <c r="J213" s="71" t="str">
        <f t="shared" si="13"/>
        <v>resource</v>
      </c>
    </row>
    <row r="214" spans="1:10">
      <c r="A214" s="461"/>
      <c r="B214" s="461"/>
      <c r="C214" s="461"/>
      <c r="D214" s="461"/>
      <c r="E214" s="461"/>
      <c r="F214" s="489" t="str">
        <f t="shared" si="14"/>
        <v/>
      </c>
      <c r="G214" s="464"/>
      <c r="H214" s="462"/>
      <c r="I214" s="70" t="str">
        <f t="shared" si="12"/>
        <v>-</v>
      </c>
      <c r="J214" s="71" t="str">
        <f t="shared" si="13"/>
        <v>resource</v>
      </c>
    </row>
    <row r="215" spans="1:10">
      <c r="A215" s="461"/>
      <c r="B215" s="461"/>
      <c r="C215" s="461"/>
      <c r="D215" s="461"/>
      <c r="E215" s="461"/>
      <c r="F215" s="489" t="str">
        <f t="shared" si="14"/>
        <v/>
      </c>
      <c r="G215" s="464"/>
      <c r="H215" s="462"/>
      <c r="I215" s="70" t="str">
        <f t="shared" si="12"/>
        <v>-</v>
      </c>
      <c r="J215" s="71" t="str">
        <f t="shared" si="13"/>
        <v>resource</v>
      </c>
    </row>
    <row r="216" spans="1:10">
      <c r="A216" s="461"/>
      <c r="B216" s="461"/>
      <c r="C216" s="461"/>
      <c r="D216" s="461"/>
      <c r="E216" s="461"/>
      <c r="F216" s="489" t="str">
        <f t="shared" si="14"/>
        <v/>
      </c>
      <c r="G216" s="464"/>
      <c r="H216" s="462"/>
      <c r="I216" s="70" t="str">
        <f t="shared" si="12"/>
        <v>-</v>
      </c>
      <c r="J216" s="71" t="str">
        <f t="shared" si="13"/>
        <v>resource</v>
      </c>
    </row>
    <row r="217" spans="1:10">
      <c r="A217" s="461"/>
      <c r="B217" s="461"/>
      <c r="C217" s="461"/>
      <c r="D217" s="461"/>
      <c r="E217" s="461"/>
      <c r="F217" s="489" t="str">
        <f t="shared" si="14"/>
        <v/>
      </c>
      <c r="G217" s="464"/>
      <c r="H217" s="462"/>
      <c r="I217" s="70" t="str">
        <f t="shared" si="12"/>
        <v>-</v>
      </c>
      <c r="J217" s="71" t="str">
        <f t="shared" si="13"/>
        <v>resource</v>
      </c>
    </row>
    <row r="218" spans="1:10">
      <c r="A218" s="461"/>
      <c r="B218" s="461"/>
      <c r="C218" s="461"/>
      <c r="D218" s="461"/>
      <c r="E218" s="461"/>
      <c r="F218" s="489" t="str">
        <f t="shared" si="14"/>
        <v/>
      </c>
      <c r="G218" s="464"/>
      <c r="H218" s="462"/>
      <c r="I218" s="70" t="str">
        <f t="shared" si="12"/>
        <v>-</v>
      </c>
      <c r="J218" s="71" t="str">
        <f t="shared" si="13"/>
        <v>resource</v>
      </c>
    </row>
    <row r="219" spans="1:10">
      <c r="A219" s="461"/>
      <c r="B219" s="461"/>
      <c r="C219" s="461"/>
      <c r="D219" s="461"/>
      <c r="E219" s="461"/>
      <c r="F219" s="489" t="str">
        <f t="shared" si="14"/>
        <v/>
      </c>
      <c r="G219" s="464"/>
      <c r="H219" s="462"/>
      <c r="I219" s="70" t="str">
        <f t="shared" si="12"/>
        <v>-</v>
      </c>
      <c r="J219" s="71" t="str">
        <f t="shared" si="13"/>
        <v>resource</v>
      </c>
    </row>
    <row r="220" spans="1:10">
      <c r="A220" s="461"/>
      <c r="B220" s="461"/>
      <c r="C220" s="461"/>
      <c r="D220" s="461"/>
      <c r="E220" s="461"/>
      <c r="F220" s="489" t="str">
        <f t="shared" si="14"/>
        <v/>
      </c>
      <c r="G220" s="464"/>
      <c r="H220" s="462"/>
      <c r="I220" s="70" t="str">
        <f t="shared" si="12"/>
        <v>-</v>
      </c>
      <c r="J220" s="71" t="str">
        <f t="shared" si="13"/>
        <v>resource</v>
      </c>
    </row>
    <row r="221" spans="1:10">
      <c r="A221" s="461"/>
      <c r="B221" s="461"/>
      <c r="C221" s="461"/>
      <c r="D221" s="461"/>
      <c r="E221" s="461"/>
      <c r="F221" s="489" t="str">
        <f t="shared" si="14"/>
        <v/>
      </c>
      <c r="G221" s="464"/>
      <c r="H221" s="462"/>
      <c r="I221" s="70" t="str">
        <f t="shared" si="12"/>
        <v>-</v>
      </c>
      <c r="J221" s="71" t="str">
        <f t="shared" si="13"/>
        <v>resource</v>
      </c>
    </row>
    <row r="222" spans="1:10">
      <c r="A222" s="461"/>
      <c r="B222" s="461"/>
      <c r="C222" s="461"/>
      <c r="D222" s="461"/>
      <c r="E222" s="461"/>
      <c r="F222" s="489" t="str">
        <f t="shared" si="14"/>
        <v/>
      </c>
      <c r="G222" s="464"/>
      <c r="H222" s="462"/>
      <c r="I222" s="70" t="str">
        <f t="shared" si="12"/>
        <v>-</v>
      </c>
      <c r="J222" s="71" t="str">
        <f t="shared" si="13"/>
        <v>resource</v>
      </c>
    </row>
    <row r="223" spans="1:10">
      <c r="A223" s="461"/>
      <c r="B223" s="461"/>
      <c r="C223" s="461"/>
      <c r="D223" s="461"/>
      <c r="E223" s="461"/>
      <c r="F223" s="489" t="str">
        <f t="shared" si="14"/>
        <v/>
      </c>
      <c r="G223" s="464"/>
      <c r="H223" s="462"/>
      <c r="I223" s="70" t="str">
        <f t="shared" si="12"/>
        <v>-</v>
      </c>
      <c r="J223" s="71" t="str">
        <f t="shared" si="13"/>
        <v>resource</v>
      </c>
    </row>
    <row r="224" spans="1:10">
      <c r="A224" s="461"/>
      <c r="B224" s="461"/>
      <c r="C224" s="461"/>
      <c r="D224" s="461"/>
      <c r="E224" s="461"/>
      <c r="F224" s="489" t="str">
        <f t="shared" si="14"/>
        <v/>
      </c>
      <c r="G224" s="464"/>
      <c r="H224" s="462"/>
      <c r="I224" s="70" t="str">
        <f t="shared" si="12"/>
        <v>-</v>
      </c>
      <c r="J224" s="71" t="str">
        <f t="shared" si="13"/>
        <v>resource</v>
      </c>
    </row>
    <row r="225" spans="1:10">
      <c r="A225" s="461"/>
      <c r="B225" s="461"/>
      <c r="C225" s="461"/>
      <c r="D225" s="461"/>
      <c r="E225" s="461"/>
      <c r="F225" s="489" t="str">
        <f t="shared" si="14"/>
        <v/>
      </c>
      <c r="G225" s="464"/>
      <c r="H225" s="462"/>
      <c r="I225" s="70" t="str">
        <f t="shared" si="12"/>
        <v>-</v>
      </c>
      <c r="J225" s="71" t="str">
        <f t="shared" si="13"/>
        <v>resource</v>
      </c>
    </row>
    <row r="226" spans="1:10">
      <c r="A226" s="461"/>
      <c r="B226" s="461"/>
      <c r="C226" s="461"/>
      <c r="D226" s="461"/>
      <c r="E226" s="461"/>
      <c r="F226" s="489" t="str">
        <f t="shared" si="14"/>
        <v/>
      </c>
      <c r="G226" s="464"/>
      <c r="H226" s="462"/>
      <c r="I226" s="70" t="str">
        <f t="shared" si="12"/>
        <v>-</v>
      </c>
      <c r="J226" s="71" t="str">
        <f t="shared" si="13"/>
        <v>resource</v>
      </c>
    </row>
    <row r="227" spans="1:10">
      <c r="A227" s="461"/>
      <c r="B227" s="461"/>
      <c r="C227" s="461"/>
      <c r="D227" s="461"/>
      <c r="E227" s="461"/>
      <c r="F227" s="489" t="str">
        <f t="shared" si="14"/>
        <v/>
      </c>
      <c r="G227" s="464"/>
      <c r="H227" s="462"/>
      <c r="I227" s="70" t="str">
        <f t="shared" si="12"/>
        <v>-</v>
      </c>
      <c r="J227" s="71" t="str">
        <f t="shared" si="13"/>
        <v>resource</v>
      </c>
    </row>
    <row r="228" spans="1:10">
      <c r="A228" s="461"/>
      <c r="B228" s="461"/>
      <c r="C228" s="461"/>
      <c r="D228" s="461"/>
      <c r="E228" s="461"/>
      <c r="F228" s="489" t="str">
        <f t="shared" si="14"/>
        <v/>
      </c>
      <c r="G228" s="464"/>
      <c r="H228" s="462"/>
      <c r="I228" s="70" t="str">
        <f t="shared" si="12"/>
        <v>-</v>
      </c>
      <c r="J228" s="71" t="str">
        <f t="shared" si="13"/>
        <v>resource</v>
      </c>
    </row>
    <row r="229" spans="1:10">
      <c r="A229" s="461"/>
      <c r="B229" s="461"/>
      <c r="C229" s="461"/>
      <c r="D229" s="461"/>
      <c r="E229" s="461"/>
      <c r="F229" s="489" t="str">
        <f t="shared" si="14"/>
        <v/>
      </c>
      <c r="G229" s="464"/>
      <c r="H229" s="462"/>
      <c r="I229" s="70" t="str">
        <f t="shared" si="12"/>
        <v>-</v>
      </c>
      <c r="J229" s="71" t="str">
        <f t="shared" si="13"/>
        <v>resource</v>
      </c>
    </row>
    <row r="230" spans="1:10">
      <c r="A230" s="461"/>
      <c r="B230" s="461"/>
      <c r="C230" s="461"/>
      <c r="D230" s="461"/>
      <c r="E230" s="461"/>
      <c r="F230" s="489" t="str">
        <f t="shared" si="14"/>
        <v/>
      </c>
      <c r="G230" s="464"/>
      <c r="H230" s="462"/>
      <c r="I230" s="70" t="str">
        <f t="shared" si="12"/>
        <v>-</v>
      </c>
      <c r="J230" s="71" t="str">
        <f t="shared" si="13"/>
        <v>resource</v>
      </c>
    </row>
    <row r="231" spans="1:10">
      <c r="A231" s="461"/>
      <c r="B231" s="461"/>
      <c r="C231" s="461"/>
      <c r="D231" s="461"/>
      <c r="E231" s="461"/>
      <c r="F231" s="489" t="str">
        <f t="shared" si="14"/>
        <v/>
      </c>
      <c r="G231" s="464"/>
      <c r="H231" s="462"/>
      <c r="I231" s="70" t="str">
        <f t="shared" si="12"/>
        <v>-</v>
      </c>
      <c r="J231" s="71" t="str">
        <f t="shared" si="13"/>
        <v>resource</v>
      </c>
    </row>
    <row r="232" spans="1:10">
      <c r="A232" s="461"/>
      <c r="B232" s="461"/>
      <c r="C232" s="461"/>
      <c r="D232" s="461"/>
      <c r="E232" s="461"/>
      <c r="F232" s="489" t="str">
        <f t="shared" si="14"/>
        <v/>
      </c>
      <c r="G232" s="464"/>
      <c r="H232" s="462"/>
      <c r="I232" s="70" t="str">
        <f t="shared" si="12"/>
        <v>-</v>
      </c>
      <c r="J232" s="71" t="str">
        <f t="shared" si="13"/>
        <v>resource</v>
      </c>
    </row>
    <row r="233" spans="1:10">
      <c r="A233" s="461"/>
      <c r="B233" s="461"/>
      <c r="C233" s="461"/>
      <c r="D233" s="461"/>
      <c r="E233" s="461"/>
      <c r="F233" s="489" t="str">
        <f t="shared" si="14"/>
        <v/>
      </c>
      <c r="G233" s="464"/>
      <c r="H233" s="462"/>
      <c r="I233" s="70" t="str">
        <f t="shared" si="12"/>
        <v>-</v>
      </c>
      <c r="J233" s="71" t="str">
        <f t="shared" si="13"/>
        <v>resource</v>
      </c>
    </row>
    <row r="234" spans="1:10">
      <c r="A234" s="461"/>
      <c r="B234" s="461"/>
      <c r="C234" s="461"/>
      <c r="D234" s="461"/>
      <c r="E234" s="461"/>
      <c r="F234" s="489" t="str">
        <f t="shared" si="14"/>
        <v/>
      </c>
      <c r="G234" s="464"/>
      <c r="H234" s="462"/>
      <c r="I234" s="70" t="str">
        <f t="shared" si="12"/>
        <v>-</v>
      </c>
      <c r="J234" s="71" t="str">
        <f t="shared" si="13"/>
        <v>resource</v>
      </c>
    </row>
    <row r="235" spans="1:10">
      <c r="A235" s="461"/>
      <c r="B235" s="461"/>
      <c r="C235" s="461"/>
      <c r="D235" s="461"/>
      <c r="E235" s="461"/>
      <c r="F235" s="489" t="str">
        <f t="shared" si="14"/>
        <v/>
      </c>
      <c r="G235" s="464"/>
      <c r="H235" s="462"/>
      <c r="I235" s="70" t="str">
        <f t="shared" si="12"/>
        <v>-</v>
      </c>
      <c r="J235" s="71" t="str">
        <f t="shared" si="13"/>
        <v>resource</v>
      </c>
    </row>
    <row r="236" spans="1:10">
      <c r="A236" s="461"/>
      <c r="B236" s="461"/>
      <c r="C236" s="461"/>
      <c r="D236" s="461"/>
      <c r="E236" s="461"/>
      <c r="F236" s="489" t="str">
        <f t="shared" si="14"/>
        <v/>
      </c>
      <c r="G236" s="464"/>
      <c r="H236" s="462"/>
      <c r="I236" s="70" t="str">
        <f t="shared" si="12"/>
        <v>-</v>
      </c>
      <c r="J236" s="71" t="str">
        <f t="shared" si="13"/>
        <v>resource</v>
      </c>
    </row>
    <row r="237" spans="1:10">
      <c r="A237" s="461"/>
      <c r="B237" s="461"/>
      <c r="C237" s="461"/>
      <c r="D237" s="461"/>
      <c r="E237" s="461"/>
      <c r="F237" s="489" t="str">
        <f t="shared" si="14"/>
        <v/>
      </c>
      <c r="G237" s="464"/>
      <c r="H237" s="462"/>
      <c r="I237" s="70" t="str">
        <f t="shared" si="12"/>
        <v>-</v>
      </c>
      <c r="J237" s="71" t="str">
        <f t="shared" si="13"/>
        <v>resource</v>
      </c>
    </row>
    <row r="238" spans="1:10">
      <c r="A238" s="461"/>
      <c r="B238" s="461"/>
      <c r="C238" s="461"/>
      <c r="D238" s="461"/>
      <c r="E238" s="461"/>
      <c r="F238" s="489" t="str">
        <f t="shared" si="14"/>
        <v/>
      </c>
      <c r="G238" s="464"/>
      <c r="H238" s="462"/>
      <c r="I238" s="70" t="str">
        <f t="shared" si="12"/>
        <v>-</v>
      </c>
      <c r="J238" s="71" t="str">
        <f t="shared" si="13"/>
        <v>resource</v>
      </c>
    </row>
    <row r="239" spans="1:10">
      <c r="A239" s="461"/>
      <c r="B239" s="461"/>
      <c r="C239" s="461"/>
      <c r="D239" s="461"/>
      <c r="E239" s="461"/>
      <c r="F239" s="489" t="str">
        <f t="shared" si="14"/>
        <v/>
      </c>
      <c r="G239" s="464"/>
      <c r="H239" s="462"/>
      <c r="I239" s="70" t="str">
        <f t="shared" si="12"/>
        <v>-</v>
      </c>
      <c r="J239" s="71" t="str">
        <f t="shared" si="13"/>
        <v>resource</v>
      </c>
    </row>
    <row r="240" spans="1:10">
      <c r="A240" s="461"/>
      <c r="B240" s="461"/>
      <c r="C240" s="461"/>
      <c r="D240" s="461"/>
      <c r="E240" s="461"/>
      <c r="F240" s="489" t="str">
        <f t="shared" si="14"/>
        <v/>
      </c>
      <c r="G240" s="464"/>
      <c r="H240" s="462"/>
      <c r="I240" s="70" t="str">
        <f t="shared" si="12"/>
        <v>-</v>
      </c>
      <c r="J240" s="71" t="str">
        <f t="shared" si="13"/>
        <v>resource</v>
      </c>
    </row>
    <row r="241" spans="1:10">
      <c r="A241" s="461"/>
      <c r="B241" s="461"/>
      <c r="C241" s="461"/>
      <c r="D241" s="461"/>
      <c r="E241" s="461"/>
      <c r="F241" s="489" t="str">
        <f t="shared" si="14"/>
        <v/>
      </c>
      <c r="G241" s="464"/>
      <c r="H241" s="462"/>
      <c r="I241" s="70" t="str">
        <f t="shared" si="12"/>
        <v>-</v>
      </c>
      <c r="J241" s="71" t="str">
        <f t="shared" si="13"/>
        <v>resource</v>
      </c>
    </row>
    <row r="242" spans="1:10">
      <c r="A242" s="461"/>
      <c r="B242" s="461"/>
      <c r="C242" s="461"/>
      <c r="D242" s="461"/>
      <c r="E242" s="461"/>
      <c r="F242" s="489" t="str">
        <f t="shared" si="14"/>
        <v/>
      </c>
      <c r="G242" s="464"/>
      <c r="H242" s="462"/>
      <c r="I242" s="70" t="str">
        <f t="shared" si="12"/>
        <v>-</v>
      </c>
      <c r="J242" s="71" t="str">
        <f t="shared" si="13"/>
        <v>resource</v>
      </c>
    </row>
    <row r="243" spans="1:10">
      <c r="A243" s="461"/>
      <c r="B243" s="461"/>
      <c r="C243" s="461"/>
      <c r="D243" s="461"/>
      <c r="E243" s="461"/>
      <c r="F243" s="489" t="str">
        <f t="shared" si="14"/>
        <v/>
      </c>
      <c r="G243" s="464"/>
      <c r="H243" s="462"/>
      <c r="I243" s="70" t="str">
        <f t="shared" si="12"/>
        <v>-</v>
      </c>
      <c r="J243" s="71" t="str">
        <f t="shared" si="13"/>
        <v>resource</v>
      </c>
    </row>
    <row r="244" spans="1:10">
      <c r="A244" s="461"/>
      <c r="B244" s="461"/>
      <c r="C244" s="461"/>
      <c r="D244" s="461"/>
      <c r="E244" s="461"/>
      <c r="F244" s="489" t="str">
        <f t="shared" si="14"/>
        <v/>
      </c>
      <c r="G244" s="464"/>
      <c r="H244" s="462"/>
      <c r="I244" s="70" t="str">
        <f t="shared" si="12"/>
        <v>-</v>
      </c>
      <c r="J244" s="71" t="str">
        <f t="shared" si="13"/>
        <v>resource</v>
      </c>
    </row>
    <row r="245" spans="1:10">
      <c r="A245" s="461"/>
      <c r="B245" s="461"/>
      <c r="C245" s="461"/>
      <c r="D245" s="461"/>
      <c r="E245" s="461"/>
      <c r="F245" s="489" t="str">
        <f t="shared" si="14"/>
        <v/>
      </c>
      <c r="G245" s="464"/>
      <c r="H245" s="462"/>
      <c r="I245" s="70" t="str">
        <f t="shared" si="12"/>
        <v>-</v>
      </c>
      <c r="J245" s="71" t="str">
        <f t="shared" si="13"/>
        <v>resource</v>
      </c>
    </row>
    <row r="246" spans="1:10">
      <c r="A246" s="461"/>
      <c r="B246" s="461"/>
      <c r="C246" s="461"/>
      <c r="D246" s="461"/>
      <c r="E246" s="461"/>
      <c r="F246" s="489" t="str">
        <f t="shared" si="14"/>
        <v/>
      </c>
      <c r="G246" s="464"/>
      <c r="H246" s="462"/>
      <c r="I246" s="70" t="str">
        <f t="shared" si="12"/>
        <v>-</v>
      </c>
      <c r="J246" s="71" t="str">
        <f t="shared" si="13"/>
        <v>resource</v>
      </c>
    </row>
    <row r="247" spans="1:10">
      <c r="A247" s="461"/>
      <c r="B247" s="461"/>
      <c r="C247" s="461"/>
      <c r="D247" s="461"/>
      <c r="E247" s="461"/>
      <c r="F247" s="489" t="str">
        <f t="shared" si="14"/>
        <v/>
      </c>
      <c r="G247" s="464"/>
      <c r="H247" s="462"/>
      <c r="I247" s="70" t="str">
        <f t="shared" si="12"/>
        <v>-</v>
      </c>
      <c r="J247" s="71" t="str">
        <f t="shared" si="13"/>
        <v>resource</v>
      </c>
    </row>
    <row r="248" spans="1:10">
      <c r="A248" s="461"/>
      <c r="B248" s="461"/>
      <c r="C248" s="461"/>
      <c r="D248" s="461"/>
      <c r="E248" s="461"/>
      <c r="F248" s="489" t="str">
        <f t="shared" si="14"/>
        <v/>
      </c>
      <c r="G248" s="464"/>
      <c r="H248" s="462"/>
      <c r="I248" s="70" t="str">
        <f t="shared" si="12"/>
        <v>-</v>
      </c>
      <c r="J248" s="71" t="str">
        <f t="shared" si="13"/>
        <v>resource</v>
      </c>
    </row>
    <row r="249" spans="1:10">
      <c r="A249" s="461"/>
      <c r="B249" s="461"/>
      <c r="C249" s="461"/>
      <c r="D249" s="461"/>
      <c r="E249" s="461"/>
      <c r="F249" s="489" t="str">
        <f t="shared" si="14"/>
        <v/>
      </c>
      <c r="G249" s="464"/>
      <c r="H249" s="462"/>
      <c r="I249" s="70" t="str">
        <f t="shared" si="12"/>
        <v>-</v>
      </c>
      <c r="J249" s="71" t="str">
        <f t="shared" si="13"/>
        <v>resource</v>
      </c>
    </row>
    <row r="250" spans="1:10">
      <c r="A250" s="461"/>
      <c r="B250" s="461"/>
      <c r="C250" s="461"/>
      <c r="D250" s="461"/>
      <c r="E250" s="461"/>
      <c r="F250" s="489" t="str">
        <f t="shared" si="14"/>
        <v/>
      </c>
      <c r="G250" s="464"/>
      <c r="H250" s="462"/>
      <c r="I250" s="70" t="str">
        <f t="shared" si="12"/>
        <v>-</v>
      </c>
      <c r="J250" s="71" t="str">
        <f t="shared" si="13"/>
        <v>resource</v>
      </c>
    </row>
    <row r="251" spans="1:10">
      <c r="A251" s="461"/>
      <c r="B251" s="461"/>
      <c r="C251" s="461"/>
      <c r="D251" s="461"/>
      <c r="E251" s="461"/>
      <c r="F251" s="489" t="str">
        <f t="shared" si="14"/>
        <v/>
      </c>
      <c r="G251" s="464"/>
      <c r="H251" s="462"/>
      <c r="I251" s="70" t="str">
        <f t="shared" si="12"/>
        <v>-</v>
      </c>
      <c r="J251" s="71" t="str">
        <f t="shared" si="13"/>
        <v>resource</v>
      </c>
    </row>
    <row r="252" spans="1:10">
      <c r="A252" s="461"/>
      <c r="B252" s="461"/>
      <c r="C252" s="461"/>
      <c r="D252" s="461"/>
      <c r="E252" s="461"/>
      <c r="F252" s="489" t="str">
        <f t="shared" si="14"/>
        <v/>
      </c>
      <c r="G252" s="464"/>
      <c r="H252" s="462"/>
      <c r="I252" s="70" t="str">
        <f t="shared" si="12"/>
        <v>-</v>
      </c>
      <c r="J252" s="71" t="str">
        <f t="shared" si="13"/>
        <v>resource</v>
      </c>
    </row>
    <row r="253" spans="1:10">
      <c r="A253" s="461"/>
      <c r="B253" s="461"/>
      <c r="C253" s="461"/>
      <c r="D253" s="461"/>
      <c r="E253" s="461"/>
      <c r="F253" s="489" t="str">
        <f t="shared" si="14"/>
        <v/>
      </c>
      <c r="G253" s="464"/>
      <c r="H253" s="462"/>
      <c r="I253" s="70" t="str">
        <f t="shared" si="12"/>
        <v>-</v>
      </c>
      <c r="J253" s="71" t="str">
        <f t="shared" si="13"/>
        <v>resource</v>
      </c>
    </row>
    <row r="254" spans="1:10">
      <c r="A254" s="461"/>
      <c r="B254" s="461"/>
      <c r="C254" s="461"/>
      <c r="D254" s="461"/>
      <c r="E254" s="461"/>
      <c r="F254" s="489" t="str">
        <f t="shared" si="14"/>
        <v/>
      </c>
      <c r="G254" s="464"/>
      <c r="H254" s="462"/>
      <c r="I254" s="70" t="str">
        <f t="shared" si="12"/>
        <v>-</v>
      </c>
      <c r="J254" s="71" t="str">
        <f t="shared" si="13"/>
        <v>resource</v>
      </c>
    </row>
    <row r="255" spans="1:10">
      <c r="A255" s="461"/>
      <c r="B255" s="461"/>
      <c r="C255" s="461"/>
      <c r="D255" s="461"/>
      <c r="E255" s="461"/>
      <c r="F255" s="489" t="str">
        <f t="shared" si="14"/>
        <v/>
      </c>
      <c r="G255" s="464"/>
      <c r="H255" s="462"/>
      <c r="I255" s="70" t="str">
        <f t="shared" si="12"/>
        <v>-</v>
      </c>
      <c r="J255" s="71" t="str">
        <f t="shared" si="13"/>
        <v>resource</v>
      </c>
    </row>
    <row r="256" spans="1:10">
      <c r="A256" s="461"/>
      <c r="B256" s="461"/>
      <c r="C256" s="461"/>
      <c r="D256" s="461"/>
      <c r="E256" s="461"/>
      <c r="F256" s="489" t="str">
        <f t="shared" si="14"/>
        <v/>
      </c>
      <c r="G256" s="464"/>
      <c r="H256" s="462"/>
      <c r="I256" s="70" t="str">
        <f t="shared" si="12"/>
        <v>-</v>
      </c>
      <c r="J256" s="71" t="str">
        <f t="shared" si="13"/>
        <v>resource</v>
      </c>
    </row>
    <row r="257" spans="1:10">
      <c r="A257" s="461"/>
      <c r="B257" s="461"/>
      <c r="C257" s="461"/>
      <c r="D257" s="461"/>
      <c r="E257" s="461"/>
      <c r="F257" s="489" t="str">
        <f t="shared" si="14"/>
        <v/>
      </c>
      <c r="G257" s="464"/>
      <c r="H257" s="462"/>
      <c r="I257" s="70" t="str">
        <f t="shared" si="12"/>
        <v>-</v>
      </c>
      <c r="J257" s="71" t="str">
        <f t="shared" si="13"/>
        <v>resource</v>
      </c>
    </row>
    <row r="258" spans="1:10">
      <c r="A258" s="461"/>
      <c r="B258" s="461"/>
      <c r="C258" s="461"/>
      <c r="D258" s="461"/>
      <c r="E258" s="461"/>
      <c r="F258" s="489" t="str">
        <f t="shared" si="14"/>
        <v/>
      </c>
      <c r="G258" s="464"/>
      <c r="H258" s="462"/>
      <c r="I258" s="70" t="str">
        <f t="shared" ref="I258:I321" si="15">IFERROR(AVERAGEIFS($G:$G,$E:$E,$E258),"-")</f>
        <v>-</v>
      </c>
      <c r="J258" s="71" t="str">
        <f t="shared" ref="J258:J321" si="16">IF($C258="Voice QA",$C258,"resource")</f>
        <v>resource</v>
      </c>
    </row>
    <row r="259" spans="1:10">
      <c r="A259" s="461"/>
      <c r="B259" s="461"/>
      <c r="C259" s="461"/>
      <c r="D259" s="461"/>
      <c r="E259" s="461"/>
      <c r="F259" s="489" t="str">
        <f t="shared" ref="F259:F322" si="17">IF(E259="","","MID")</f>
        <v/>
      </c>
      <c r="G259" s="464"/>
      <c r="H259" s="462"/>
      <c r="I259" s="70" t="str">
        <f t="shared" si="15"/>
        <v>-</v>
      </c>
      <c r="J259" s="71" t="str">
        <f t="shared" si="16"/>
        <v>resource</v>
      </c>
    </row>
    <row r="260" spans="1:10">
      <c r="A260" s="461"/>
      <c r="B260" s="461"/>
      <c r="C260" s="461"/>
      <c r="D260" s="461"/>
      <c r="E260" s="461"/>
      <c r="F260" s="489" t="str">
        <f t="shared" si="17"/>
        <v/>
      </c>
      <c r="G260" s="464"/>
      <c r="H260" s="462"/>
      <c r="I260" s="70" t="str">
        <f t="shared" si="15"/>
        <v>-</v>
      </c>
      <c r="J260" s="71" t="str">
        <f t="shared" si="16"/>
        <v>resource</v>
      </c>
    </row>
    <row r="261" spans="1:10">
      <c r="A261" s="461"/>
      <c r="B261" s="461"/>
      <c r="C261" s="461"/>
      <c r="D261" s="461"/>
      <c r="E261" s="461"/>
      <c r="F261" s="489" t="str">
        <f t="shared" si="17"/>
        <v/>
      </c>
      <c r="G261" s="464"/>
      <c r="H261" s="462"/>
      <c r="I261" s="70" t="str">
        <f t="shared" si="15"/>
        <v>-</v>
      </c>
      <c r="J261" s="71" t="str">
        <f t="shared" si="16"/>
        <v>resource</v>
      </c>
    </row>
    <row r="262" spans="1:10">
      <c r="A262" s="461"/>
      <c r="B262" s="461"/>
      <c r="C262" s="461"/>
      <c r="D262" s="461"/>
      <c r="E262" s="461"/>
      <c r="F262" s="489" t="str">
        <f t="shared" si="17"/>
        <v/>
      </c>
      <c r="G262" s="464"/>
      <c r="H262" s="462"/>
      <c r="I262" s="70" t="str">
        <f t="shared" si="15"/>
        <v>-</v>
      </c>
      <c r="J262" s="71" t="str">
        <f t="shared" si="16"/>
        <v>resource</v>
      </c>
    </row>
    <row r="263" spans="1:10">
      <c r="A263" s="461"/>
      <c r="B263" s="461"/>
      <c r="C263" s="461"/>
      <c r="D263" s="461"/>
      <c r="E263" s="461"/>
      <c r="F263" s="489" t="str">
        <f t="shared" si="17"/>
        <v/>
      </c>
      <c r="G263" s="464"/>
      <c r="H263" s="462"/>
      <c r="I263" s="70" t="str">
        <f t="shared" si="15"/>
        <v>-</v>
      </c>
      <c r="J263" s="71" t="str">
        <f t="shared" si="16"/>
        <v>resource</v>
      </c>
    </row>
    <row r="264" spans="1:10">
      <c r="A264" s="461"/>
      <c r="B264" s="461"/>
      <c r="C264" s="461"/>
      <c r="D264" s="461"/>
      <c r="E264" s="461"/>
      <c r="F264" s="489" t="str">
        <f t="shared" si="17"/>
        <v/>
      </c>
      <c r="G264" s="464"/>
      <c r="H264" s="462"/>
      <c r="I264" s="70" t="str">
        <f t="shared" si="15"/>
        <v>-</v>
      </c>
      <c r="J264" s="71" t="str">
        <f t="shared" si="16"/>
        <v>resource</v>
      </c>
    </row>
    <row r="265" spans="1:10">
      <c r="A265" s="461"/>
      <c r="B265" s="461"/>
      <c r="C265" s="461"/>
      <c r="D265" s="461"/>
      <c r="E265" s="461"/>
      <c r="F265" s="489" t="str">
        <f t="shared" si="17"/>
        <v/>
      </c>
      <c r="G265" s="464"/>
      <c r="H265" s="462"/>
      <c r="I265" s="70" t="str">
        <f t="shared" si="15"/>
        <v>-</v>
      </c>
      <c r="J265" s="71" t="str">
        <f t="shared" si="16"/>
        <v>resource</v>
      </c>
    </row>
    <row r="266" spans="1:10">
      <c r="A266" s="461"/>
      <c r="B266" s="461"/>
      <c r="C266" s="461"/>
      <c r="D266" s="461"/>
      <c r="E266" s="461"/>
      <c r="F266" s="489" t="str">
        <f t="shared" si="17"/>
        <v/>
      </c>
      <c r="G266" s="464"/>
      <c r="H266" s="462"/>
      <c r="I266" s="70" t="str">
        <f t="shared" si="15"/>
        <v>-</v>
      </c>
      <c r="J266" s="71" t="str">
        <f t="shared" si="16"/>
        <v>resource</v>
      </c>
    </row>
    <row r="267" spans="1:10">
      <c r="A267" s="461"/>
      <c r="B267" s="461"/>
      <c r="C267" s="461"/>
      <c r="D267" s="461"/>
      <c r="E267" s="461"/>
      <c r="F267" s="489" t="str">
        <f t="shared" si="17"/>
        <v/>
      </c>
      <c r="G267" s="464"/>
      <c r="H267" s="462"/>
      <c r="I267" s="70" t="str">
        <f t="shared" si="15"/>
        <v>-</v>
      </c>
      <c r="J267" s="71" t="str">
        <f t="shared" si="16"/>
        <v>resource</v>
      </c>
    </row>
    <row r="268" spans="1:10">
      <c r="A268" s="461"/>
      <c r="B268" s="461"/>
      <c r="C268" s="461"/>
      <c r="D268" s="461"/>
      <c r="E268" s="461"/>
      <c r="F268" s="489" t="str">
        <f t="shared" si="17"/>
        <v/>
      </c>
      <c r="G268" s="464"/>
      <c r="H268" s="462"/>
      <c r="I268" s="70" t="str">
        <f t="shared" si="15"/>
        <v>-</v>
      </c>
      <c r="J268" s="71" t="str">
        <f t="shared" si="16"/>
        <v>resource</v>
      </c>
    </row>
    <row r="269" spans="1:10">
      <c r="A269" s="461"/>
      <c r="B269" s="461"/>
      <c r="C269" s="461"/>
      <c r="D269" s="461"/>
      <c r="E269" s="461"/>
      <c r="F269" s="489" t="str">
        <f t="shared" si="17"/>
        <v/>
      </c>
      <c r="G269" s="464"/>
      <c r="H269" s="462"/>
      <c r="I269" s="70" t="str">
        <f t="shared" si="15"/>
        <v>-</v>
      </c>
      <c r="J269" s="71" t="str">
        <f t="shared" si="16"/>
        <v>resource</v>
      </c>
    </row>
    <row r="270" spans="1:10">
      <c r="A270" s="461"/>
      <c r="B270" s="461"/>
      <c r="C270" s="461"/>
      <c r="D270" s="461"/>
      <c r="E270" s="461"/>
      <c r="F270" s="489" t="str">
        <f t="shared" si="17"/>
        <v/>
      </c>
      <c r="G270" s="464"/>
      <c r="H270" s="462"/>
      <c r="I270" s="70" t="str">
        <f t="shared" si="15"/>
        <v>-</v>
      </c>
      <c r="J270" s="71" t="str">
        <f t="shared" si="16"/>
        <v>resource</v>
      </c>
    </row>
    <row r="271" spans="1:10">
      <c r="A271" s="461"/>
      <c r="B271" s="461"/>
      <c r="C271" s="461"/>
      <c r="D271" s="461"/>
      <c r="E271" s="461"/>
      <c r="F271" s="489" t="str">
        <f t="shared" si="17"/>
        <v/>
      </c>
      <c r="G271" s="464"/>
      <c r="H271" s="462"/>
      <c r="I271" s="70" t="str">
        <f t="shared" si="15"/>
        <v>-</v>
      </c>
      <c r="J271" s="71" t="str">
        <f t="shared" si="16"/>
        <v>resource</v>
      </c>
    </row>
    <row r="272" spans="1:10">
      <c r="A272" s="461"/>
      <c r="B272" s="461"/>
      <c r="C272" s="461"/>
      <c r="D272" s="461"/>
      <c r="E272" s="461"/>
      <c r="F272" s="489" t="str">
        <f t="shared" si="17"/>
        <v/>
      </c>
      <c r="G272" s="464"/>
      <c r="H272" s="462"/>
      <c r="I272" s="70" t="str">
        <f t="shared" si="15"/>
        <v>-</v>
      </c>
      <c r="J272" s="71" t="str">
        <f t="shared" si="16"/>
        <v>resource</v>
      </c>
    </row>
    <row r="273" spans="1:10">
      <c r="A273" s="461"/>
      <c r="B273" s="461"/>
      <c r="C273" s="461"/>
      <c r="D273" s="461"/>
      <c r="E273" s="461"/>
      <c r="F273" s="489" t="str">
        <f t="shared" si="17"/>
        <v/>
      </c>
      <c r="G273" s="464"/>
      <c r="H273" s="462"/>
      <c r="I273" s="70" t="str">
        <f t="shared" si="15"/>
        <v>-</v>
      </c>
      <c r="J273" s="71" t="str">
        <f t="shared" si="16"/>
        <v>resource</v>
      </c>
    </row>
    <row r="274" spans="1:10">
      <c r="A274" s="461"/>
      <c r="B274" s="461"/>
      <c r="C274" s="461"/>
      <c r="D274" s="461"/>
      <c r="E274" s="461"/>
      <c r="F274" s="489" t="str">
        <f t="shared" si="17"/>
        <v/>
      </c>
      <c r="G274" s="464"/>
      <c r="H274" s="462"/>
      <c r="I274" s="70" t="str">
        <f t="shared" si="15"/>
        <v>-</v>
      </c>
      <c r="J274" s="71" t="str">
        <f t="shared" si="16"/>
        <v>resource</v>
      </c>
    </row>
    <row r="275" spans="1:10">
      <c r="A275" s="461"/>
      <c r="B275" s="461"/>
      <c r="C275" s="461"/>
      <c r="D275" s="461"/>
      <c r="E275" s="461"/>
      <c r="F275" s="489" t="str">
        <f t="shared" si="17"/>
        <v/>
      </c>
      <c r="G275" s="464"/>
      <c r="H275" s="462"/>
      <c r="I275" s="70" t="str">
        <f t="shared" si="15"/>
        <v>-</v>
      </c>
      <c r="J275" s="71" t="str">
        <f t="shared" si="16"/>
        <v>resource</v>
      </c>
    </row>
    <row r="276" spans="1:10">
      <c r="A276" s="461"/>
      <c r="B276" s="461"/>
      <c r="C276" s="461"/>
      <c r="D276" s="461"/>
      <c r="E276" s="461"/>
      <c r="F276" s="489" t="str">
        <f t="shared" si="17"/>
        <v/>
      </c>
      <c r="G276" s="464"/>
      <c r="H276" s="462"/>
      <c r="I276" s="70" t="str">
        <f t="shared" si="15"/>
        <v>-</v>
      </c>
      <c r="J276" s="71" t="str">
        <f t="shared" si="16"/>
        <v>resource</v>
      </c>
    </row>
    <row r="277" spans="1:10">
      <c r="A277" s="461"/>
      <c r="B277" s="461"/>
      <c r="C277" s="461"/>
      <c r="D277" s="461"/>
      <c r="E277" s="461"/>
      <c r="F277" s="489" t="str">
        <f t="shared" si="17"/>
        <v/>
      </c>
      <c r="G277" s="464"/>
      <c r="H277" s="462"/>
      <c r="I277" s="70" t="str">
        <f t="shared" si="15"/>
        <v>-</v>
      </c>
      <c r="J277" s="71" t="str">
        <f t="shared" si="16"/>
        <v>resource</v>
      </c>
    </row>
    <row r="278" spans="1:10">
      <c r="A278" s="461"/>
      <c r="B278" s="461"/>
      <c r="C278" s="461"/>
      <c r="D278" s="461"/>
      <c r="E278" s="461"/>
      <c r="F278" s="489" t="str">
        <f t="shared" si="17"/>
        <v/>
      </c>
      <c r="G278" s="464"/>
      <c r="H278" s="462"/>
      <c r="I278" s="70" t="str">
        <f t="shared" si="15"/>
        <v>-</v>
      </c>
      <c r="J278" s="71" t="str">
        <f t="shared" si="16"/>
        <v>resource</v>
      </c>
    </row>
    <row r="279" spans="1:10">
      <c r="A279" s="461"/>
      <c r="B279" s="461"/>
      <c r="C279" s="461"/>
      <c r="D279" s="461"/>
      <c r="E279" s="461"/>
      <c r="F279" s="489" t="str">
        <f t="shared" si="17"/>
        <v/>
      </c>
      <c r="G279" s="464"/>
      <c r="H279" s="462"/>
      <c r="I279" s="70" t="str">
        <f t="shared" si="15"/>
        <v>-</v>
      </c>
      <c r="J279" s="71" t="str">
        <f t="shared" si="16"/>
        <v>resource</v>
      </c>
    </row>
    <row r="280" spans="1:10">
      <c r="A280" s="461"/>
      <c r="B280" s="461"/>
      <c r="C280" s="461"/>
      <c r="D280" s="461"/>
      <c r="E280" s="461"/>
      <c r="F280" s="489" t="str">
        <f t="shared" si="17"/>
        <v/>
      </c>
      <c r="G280" s="464"/>
      <c r="H280" s="462"/>
      <c r="I280" s="70" t="str">
        <f t="shared" si="15"/>
        <v>-</v>
      </c>
      <c r="J280" s="71" t="str">
        <f t="shared" si="16"/>
        <v>resource</v>
      </c>
    </row>
    <row r="281" spans="1:10">
      <c r="A281" s="461"/>
      <c r="B281" s="461"/>
      <c r="C281" s="461"/>
      <c r="D281" s="461"/>
      <c r="E281" s="461"/>
      <c r="F281" s="489" t="str">
        <f t="shared" si="17"/>
        <v/>
      </c>
      <c r="G281" s="464"/>
      <c r="H281" s="462"/>
      <c r="I281" s="70" t="str">
        <f t="shared" si="15"/>
        <v>-</v>
      </c>
      <c r="J281" s="71" t="str">
        <f t="shared" si="16"/>
        <v>resource</v>
      </c>
    </row>
    <row r="282" spans="1:10">
      <c r="A282" s="461"/>
      <c r="B282" s="461"/>
      <c r="C282" s="461"/>
      <c r="D282" s="461"/>
      <c r="E282" s="461"/>
      <c r="F282" s="489" t="str">
        <f t="shared" si="17"/>
        <v/>
      </c>
      <c r="G282" s="464"/>
      <c r="H282" s="462"/>
      <c r="I282" s="70" t="str">
        <f t="shared" si="15"/>
        <v>-</v>
      </c>
      <c r="J282" s="71" t="str">
        <f t="shared" si="16"/>
        <v>resource</v>
      </c>
    </row>
    <row r="283" spans="1:10">
      <c r="A283" s="461"/>
      <c r="B283" s="461"/>
      <c r="C283" s="461"/>
      <c r="D283" s="461"/>
      <c r="E283" s="461"/>
      <c r="F283" s="489" t="str">
        <f t="shared" si="17"/>
        <v/>
      </c>
      <c r="G283" s="464"/>
      <c r="H283" s="462"/>
      <c r="I283" s="70" t="str">
        <f t="shared" si="15"/>
        <v>-</v>
      </c>
      <c r="J283" s="71" t="str">
        <f t="shared" si="16"/>
        <v>resource</v>
      </c>
    </row>
    <row r="284" spans="1:10">
      <c r="A284" s="461"/>
      <c r="B284" s="461"/>
      <c r="C284" s="461"/>
      <c r="D284" s="461"/>
      <c r="E284" s="461"/>
      <c r="F284" s="489" t="str">
        <f t="shared" si="17"/>
        <v/>
      </c>
      <c r="G284" s="464"/>
      <c r="H284" s="462"/>
      <c r="I284" s="70" t="str">
        <f t="shared" si="15"/>
        <v>-</v>
      </c>
      <c r="J284" s="71" t="str">
        <f t="shared" si="16"/>
        <v>resource</v>
      </c>
    </row>
    <row r="285" spans="1:10">
      <c r="A285" s="461"/>
      <c r="B285" s="461"/>
      <c r="C285" s="461"/>
      <c r="D285" s="461"/>
      <c r="E285" s="461"/>
      <c r="F285" s="489" t="str">
        <f t="shared" si="17"/>
        <v/>
      </c>
      <c r="G285" s="464"/>
      <c r="H285" s="462"/>
      <c r="I285" s="70" t="str">
        <f t="shared" si="15"/>
        <v>-</v>
      </c>
      <c r="J285" s="71" t="str">
        <f t="shared" si="16"/>
        <v>resource</v>
      </c>
    </row>
    <row r="286" spans="1:10">
      <c r="A286" s="461"/>
      <c r="B286" s="461"/>
      <c r="C286" s="461"/>
      <c r="D286" s="461"/>
      <c r="E286" s="461"/>
      <c r="F286" s="489" t="str">
        <f t="shared" si="17"/>
        <v/>
      </c>
      <c r="G286" s="464"/>
      <c r="H286" s="462"/>
      <c r="I286" s="70" t="str">
        <f t="shared" si="15"/>
        <v>-</v>
      </c>
      <c r="J286" s="71" t="str">
        <f t="shared" si="16"/>
        <v>resource</v>
      </c>
    </row>
    <row r="287" spans="1:10">
      <c r="A287" s="461"/>
      <c r="B287" s="461"/>
      <c r="C287" s="461"/>
      <c r="D287" s="461"/>
      <c r="E287" s="461"/>
      <c r="F287" s="489" t="str">
        <f t="shared" si="17"/>
        <v/>
      </c>
      <c r="G287" s="464"/>
      <c r="H287" s="462"/>
      <c r="I287" s="70" t="str">
        <f t="shared" si="15"/>
        <v>-</v>
      </c>
      <c r="J287" s="71" t="str">
        <f t="shared" si="16"/>
        <v>resource</v>
      </c>
    </row>
    <row r="288" spans="1:10">
      <c r="A288" s="461"/>
      <c r="B288" s="461"/>
      <c r="C288" s="461"/>
      <c r="D288" s="461"/>
      <c r="E288" s="461"/>
      <c r="F288" s="489" t="str">
        <f t="shared" si="17"/>
        <v/>
      </c>
      <c r="G288" s="464"/>
      <c r="H288" s="462"/>
      <c r="I288" s="70" t="str">
        <f t="shared" si="15"/>
        <v>-</v>
      </c>
      <c r="J288" s="71" t="str">
        <f t="shared" si="16"/>
        <v>resource</v>
      </c>
    </row>
    <row r="289" spans="1:10">
      <c r="A289" s="461"/>
      <c r="B289" s="461"/>
      <c r="C289" s="461"/>
      <c r="D289" s="461"/>
      <c r="E289" s="461"/>
      <c r="F289" s="489" t="str">
        <f t="shared" si="17"/>
        <v/>
      </c>
      <c r="G289" s="464"/>
      <c r="H289" s="462"/>
      <c r="I289" s="70" t="str">
        <f t="shared" si="15"/>
        <v>-</v>
      </c>
      <c r="J289" s="71" t="str">
        <f t="shared" si="16"/>
        <v>resource</v>
      </c>
    </row>
    <row r="290" spans="1:10">
      <c r="A290" s="461"/>
      <c r="B290" s="461"/>
      <c r="C290" s="461"/>
      <c r="D290" s="461"/>
      <c r="E290" s="461"/>
      <c r="F290" s="489" t="str">
        <f t="shared" si="17"/>
        <v/>
      </c>
      <c r="G290" s="464"/>
      <c r="H290" s="462"/>
      <c r="I290" s="70" t="str">
        <f t="shared" si="15"/>
        <v>-</v>
      </c>
      <c r="J290" s="71" t="str">
        <f t="shared" si="16"/>
        <v>resource</v>
      </c>
    </row>
    <row r="291" spans="1:10">
      <c r="A291" s="461"/>
      <c r="B291" s="461"/>
      <c r="C291" s="461"/>
      <c r="D291" s="461"/>
      <c r="E291" s="461"/>
      <c r="F291" s="489" t="str">
        <f t="shared" si="17"/>
        <v/>
      </c>
      <c r="G291" s="464"/>
      <c r="H291" s="462"/>
      <c r="I291" s="70" t="str">
        <f t="shared" si="15"/>
        <v>-</v>
      </c>
      <c r="J291" s="71" t="str">
        <f t="shared" si="16"/>
        <v>resource</v>
      </c>
    </row>
    <row r="292" spans="1:10">
      <c r="A292" s="461"/>
      <c r="B292" s="461"/>
      <c r="C292" s="461"/>
      <c r="D292" s="461"/>
      <c r="E292" s="461"/>
      <c r="F292" s="489" t="str">
        <f t="shared" si="17"/>
        <v/>
      </c>
      <c r="G292" s="464"/>
      <c r="H292" s="462"/>
      <c r="I292" s="70" t="str">
        <f t="shared" si="15"/>
        <v>-</v>
      </c>
      <c r="J292" s="71" t="str">
        <f t="shared" si="16"/>
        <v>resource</v>
      </c>
    </row>
    <row r="293" spans="1:10">
      <c r="A293" s="461"/>
      <c r="B293" s="461"/>
      <c r="C293" s="461"/>
      <c r="D293" s="461"/>
      <c r="E293" s="461"/>
      <c r="F293" s="489" t="str">
        <f t="shared" si="17"/>
        <v/>
      </c>
      <c r="G293" s="464"/>
      <c r="H293" s="462"/>
      <c r="I293" s="70" t="str">
        <f t="shared" si="15"/>
        <v>-</v>
      </c>
      <c r="J293" s="71" t="str">
        <f t="shared" si="16"/>
        <v>resource</v>
      </c>
    </row>
    <row r="294" spans="1:10">
      <c r="A294" s="461"/>
      <c r="B294" s="461"/>
      <c r="C294" s="461"/>
      <c r="D294" s="461"/>
      <c r="E294" s="461"/>
      <c r="F294" s="489" t="str">
        <f t="shared" si="17"/>
        <v/>
      </c>
      <c r="G294" s="464"/>
      <c r="H294" s="462"/>
      <c r="I294" s="70" t="str">
        <f t="shared" si="15"/>
        <v>-</v>
      </c>
      <c r="J294" s="71" t="str">
        <f t="shared" si="16"/>
        <v>resource</v>
      </c>
    </row>
    <row r="295" spans="1:10">
      <c r="A295" s="461"/>
      <c r="B295" s="461"/>
      <c r="C295" s="461"/>
      <c r="D295" s="461"/>
      <c r="E295" s="461"/>
      <c r="F295" s="489" t="str">
        <f t="shared" si="17"/>
        <v/>
      </c>
      <c r="G295" s="464"/>
      <c r="H295" s="462"/>
      <c r="I295" s="70" t="str">
        <f t="shared" si="15"/>
        <v>-</v>
      </c>
      <c r="J295" s="71" t="str">
        <f t="shared" si="16"/>
        <v>resource</v>
      </c>
    </row>
    <row r="296" spans="1:10">
      <c r="A296" s="461"/>
      <c r="B296" s="461"/>
      <c r="C296" s="461"/>
      <c r="D296" s="461"/>
      <c r="E296" s="461"/>
      <c r="F296" s="489" t="str">
        <f t="shared" si="17"/>
        <v/>
      </c>
      <c r="G296" s="464"/>
      <c r="H296" s="462"/>
      <c r="I296" s="70" t="str">
        <f t="shared" si="15"/>
        <v>-</v>
      </c>
      <c r="J296" s="71" t="str">
        <f t="shared" si="16"/>
        <v>resource</v>
      </c>
    </row>
    <row r="297" spans="1:10">
      <c r="A297" s="461"/>
      <c r="B297" s="461"/>
      <c r="C297" s="461"/>
      <c r="D297" s="461"/>
      <c r="E297" s="461"/>
      <c r="F297" s="489" t="str">
        <f t="shared" si="17"/>
        <v/>
      </c>
      <c r="G297" s="464"/>
      <c r="H297" s="462"/>
      <c r="I297" s="70" t="str">
        <f t="shared" si="15"/>
        <v>-</v>
      </c>
      <c r="J297" s="71" t="str">
        <f t="shared" si="16"/>
        <v>resource</v>
      </c>
    </row>
    <row r="298" spans="1:10">
      <c r="A298" s="461"/>
      <c r="B298" s="461"/>
      <c r="C298" s="461"/>
      <c r="D298" s="461"/>
      <c r="E298" s="461"/>
      <c r="F298" s="489" t="str">
        <f t="shared" si="17"/>
        <v/>
      </c>
      <c r="G298" s="464"/>
      <c r="H298" s="462"/>
      <c r="I298" s="70" t="str">
        <f t="shared" si="15"/>
        <v>-</v>
      </c>
      <c r="J298" s="71" t="str">
        <f t="shared" si="16"/>
        <v>resource</v>
      </c>
    </row>
    <row r="299" spans="1:10">
      <c r="A299" s="461"/>
      <c r="B299" s="461"/>
      <c r="C299" s="461"/>
      <c r="D299" s="461"/>
      <c r="E299" s="461"/>
      <c r="F299" s="489" t="str">
        <f t="shared" si="17"/>
        <v/>
      </c>
      <c r="G299" s="464"/>
      <c r="H299" s="462"/>
      <c r="I299" s="70" t="str">
        <f t="shared" si="15"/>
        <v>-</v>
      </c>
      <c r="J299" s="71" t="str">
        <f t="shared" si="16"/>
        <v>resource</v>
      </c>
    </row>
    <row r="300" spans="1:10">
      <c r="A300" s="461"/>
      <c r="B300" s="461"/>
      <c r="C300" s="461"/>
      <c r="D300" s="461"/>
      <c r="E300" s="461"/>
      <c r="F300" s="489" t="str">
        <f t="shared" si="17"/>
        <v/>
      </c>
      <c r="G300" s="464"/>
      <c r="H300" s="462"/>
      <c r="I300" s="70" t="str">
        <f t="shared" si="15"/>
        <v>-</v>
      </c>
      <c r="J300" s="71" t="str">
        <f t="shared" si="16"/>
        <v>resource</v>
      </c>
    </row>
    <row r="301" spans="1:10">
      <c r="A301" s="461"/>
      <c r="B301" s="461"/>
      <c r="C301" s="461"/>
      <c r="D301" s="461"/>
      <c r="E301" s="461"/>
      <c r="F301" s="489" t="str">
        <f t="shared" si="17"/>
        <v/>
      </c>
      <c r="G301" s="464"/>
      <c r="H301" s="462"/>
      <c r="I301" s="70" t="str">
        <f t="shared" si="15"/>
        <v>-</v>
      </c>
      <c r="J301" s="71" t="str">
        <f t="shared" si="16"/>
        <v>resource</v>
      </c>
    </row>
    <row r="302" spans="1:10">
      <c r="A302" s="461"/>
      <c r="B302" s="461"/>
      <c r="C302" s="461"/>
      <c r="D302" s="461"/>
      <c r="E302" s="461"/>
      <c r="F302" s="489" t="str">
        <f t="shared" si="17"/>
        <v/>
      </c>
      <c r="G302" s="464"/>
      <c r="H302" s="462"/>
      <c r="I302" s="70" t="str">
        <f t="shared" si="15"/>
        <v>-</v>
      </c>
      <c r="J302" s="71" t="str">
        <f t="shared" si="16"/>
        <v>resource</v>
      </c>
    </row>
    <row r="303" spans="1:10">
      <c r="A303" s="461"/>
      <c r="B303" s="461"/>
      <c r="C303" s="461"/>
      <c r="D303" s="461"/>
      <c r="E303" s="461"/>
      <c r="F303" s="489" t="str">
        <f t="shared" si="17"/>
        <v/>
      </c>
      <c r="G303" s="464"/>
      <c r="H303" s="462"/>
      <c r="I303" s="70" t="str">
        <f t="shared" si="15"/>
        <v>-</v>
      </c>
      <c r="J303" s="71" t="str">
        <f t="shared" si="16"/>
        <v>resource</v>
      </c>
    </row>
    <row r="304" spans="1:10">
      <c r="A304" s="461"/>
      <c r="B304" s="461"/>
      <c r="C304" s="461"/>
      <c r="D304" s="461"/>
      <c r="E304" s="461"/>
      <c r="F304" s="489" t="str">
        <f t="shared" si="17"/>
        <v/>
      </c>
      <c r="G304" s="464"/>
      <c r="H304" s="462"/>
      <c r="I304" s="70" t="str">
        <f t="shared" si="15"/>
        <v>-</v>
      </c>
      <c r="J304" s="71" t="str">
        <f t="shared" si="16"/>
        <v>resource</v>
      </c>
    </row>
    <row r="305" spans="1:10">
      <c r="A305" s="461"/>
      <c r="B305" s="461"/>
      <c r="C305" s="461"/>
      <c r="D305" s="461"/>
      <c r="E305" s="461"/>
      <c r="F305" s="489" t="str">
        <f t="shared" si="17"/>
        <v/>
      </c>
      <c r="G305" s="464"/>
      <c r="H305" s="462"/>
      <c r="I305" s="70" t="str">
        <f t="shared" si="15"/>
        <v>-</v>
      </c>
      <c r="J305" s="71" t="str">
        <f t="shared" si="16"/>
        <v>resource</v>
      </c>
    </row>
    <row r="306" spans="1:10">
      <c r="A306" s="461"/>
      <c r="B306" s="461"/>
      <c r="C306" s="461"/>
      <c r="D306" s="461"/>
      <c r="E306" s="461"/>
      <c r="F306" s="489" t="str">
        <f t="shared" si="17"/>
        <v/>
      </c>
      <c r="G306" s="464"/>
      <c r="H306" s="462"/>
      <c r="I306" s="70" t="str">
        <f t="shared" si="15"/>
        <v>-</v>
      </c>
      <c r="J306" s="71" t="str">
        <f t="shared" si="16"/>
        <v>resource</v>
      </c>
    </row>
    <row r="307" spans="1:10">
      <c r="A307" s="461"/>
      <c r="B307" s="461"/>
      <c r="C307" s="461"/>
      <c r="D307" s="461"/>
      <c r="E307" s="461"/>
      <c r="F307" s="489" t="str">
        <f t="shared" si="17"/>
        <v/>
      </c>
      <c r="G307" s="464"/>
      <c r="H307" s="462"/>
      <c r="I307" s="70" t="str">
        <f t="shared" si="15"/>
        <v>-</v>
      </c>
      <c r="J307" s="71" t="str">
        <f t="shared" si="16"/>
        <v>resource</v>
      </c>
    </row>
    <row r="308" spans="1:10">
      <c r="A308" s="461"/>
      <c r="B308" s="461"/>
      <c r="C308" s="461"/>
      <c r="D308" s="461"/>
      <c r="E308" s="461"/>
      <c r="F308" s="489" t="str">
        <f t="shared" si="17"/>
        <v/>
      </c>
      <c r="G308" s="464"/>
      <c r="H308" s="462"/>
      <c r="I308" s="70" t="str">
        <f t="shared" si="15"/>
        <v>-</v>
      </c>
      <c r="J308" s="71" t="str">
        <f t="shared" si="16"/>
        <v>resource</v>
      </c>
    </row>
    <row r="309" spans="1:10">
      <c r="A309" s="461"/>
      <c r="B309" s="461"/>
      <c r="C309" s="461"/>
      <c r="D309" s="461"/>
      <c r="E309" s="461"/>
      <c r="F309" s="489" t="str">
        <f t="shared" si="17"/>
        <v/>
      </c>
      <c r="G309" s="464"/>
      <c r="H309" s="462"/>
      <c r="I309" s="70" t="str">
        <f t="shared" si="15"/>
        <v>-</v>
      </c>
      <c r="J309" s="71" t="str">
        <f t="shared" si="16"/>
        <v>resource</v>
      </c>
    </row>
    <row r="310" spans="1:10">
      <c r="A310" s="461"/>
      <c r="B310" s="461"/>
      <c r="C310" s="461"/>
      <c r="D310" s="461"/>
      <c r="E310" s="461"/>
      <c r="F310" s="489" t="str">
        <f t="shared" si="17"/>
        <v/>
      </c>
      <c r="G310" s="464"/>
      <c r="H310" s="462"/>
      <c r="I310" s="70" t="str">
        <f t="shared" si="15"/>
        <v>-</v>
      </c>
      <c r="J310" s="71" t="str">
        <f t="shared" si="16"/>
        <v>resource</v>
      </c>
    </row>
    <row r="311" spans="1:10">
      <c r="A311" s="461"/>
      <c r="B311" s="461"/>
      <c r="C311" s="461"/>
      <c r="D311" s="461"/>
      <c r="E311" s="461"/>
      <c r="F311" s="489" t="str">
        <f t="shared" si="17"/>
        <v/>
      </c>
      <c r="G311" s="464"/>
      <c r="H311" s="462"/>
      <c r="I311" s="70" t="str">
        <f t="shared" si="15"/>
        <v>-</v>
      </c>
      <c r="J311" s="71" t="str">
        <f t="shared" si="16"/>
        <v>resource</v>
      </c>
    </row>
    <row r="312" spans="1:10">
      <c r="A312" s="461"/>
      <c r="B312" s="461"/>
      <c r="C312" s="461"/>
      <c r="D312" s="461"/>
      <c r="E312" s="461"/>
      <c r="F312" s="489" t="str">
        <f t="shared" si="17"/>
        <v/>
      </c>
      <c r="G312" s="464"/>
      <c r="H312" s="462"/>
      <c r="I312" s="70" t="str">
        <f t="shared" si="15"/>
        <v>-</v>
      </c>
      <c r="J312" s="71" t="str">
        <f t="shared" si="16"/>
        <v>resource</v>
      </c>
    </row>
    <row r="313" spans="1:10">
      <c r="A313" s="461"/>
      <c r="B313" s="461"/>
      <c r="C313" s="461"/>
      <c r="D313" s="461"/>
      <c r="E313" s="461"/>
      <c r="F313" s="489" t="str">
        <f t="shared" si="17"/>
        <v/>
      </c>
      <c r="G313" s="464"/>
      <c r="H313" s="462"/>
      <c r="I313" s="70" t="str">
        <f t="shared" si="15"/>
        <v>-</v>
      </c>
      <c r="J313" s="71" t="str">
        <f t="shared" si="16"/>
        <v>resource</v>
      </c>
    </row>
    <row r="314" spans="1:10">
      <c r="A314" s="461"/>
      <c r="B314" s="461"/>
      <c r="C314" s="461"/>
      <c r="D314" s="461"/>
      <c r="E314" s="461"/>
      <c r="F314" s="489" t="str">
        <f t="shared" si="17"/>
        <v/>
      </c>
      <c r="G314" s="464"/>
      <c r="H314" s="462"/>
      <c r="I314" s="70" t="str">
        <f t="shared" si="15"/>
        <v>-</v>
      </c>
      <c r="J314" s="71" t="str">
        <f t="shared" si="16"/>
        <v>resource</v>
      </c>
    </row>
    <row r="315" spans="1:10">
      <c r="A315" s="461"/>
      <c r="B315" s="461"/>
      <c r="C315" s="461"/>
      <c r="D315" s="461"/>
      <c r="E315" s="461"/>
      <c r="F315" s="489" t="str">
        <f t="shared" si="17"/>
        <v/>
      </c>
      <c r="G315" s="464"/>
      <c r="H315" s="462"/>
      <c r="I315" s="70" t="str">
        <f t="shared" si="15"/>
        <v>-</v>
      </c>
      <c r="J315" s="71" t="str">
        <f t="shared" si="16"/>
        <v>resource</v>
      </c>
    </row>
    <row r="316" spans="1:10">
      <c r="A316" s="461"/>
      <c r="B316" s="461"/>
      <c r="C316" s="461"/>
      <c r="D316" s="461"/>
      <c r="E316" s="461"/>
      <c r="F316" s="489" t="str">
        <f t="shared" si="17"/>
        <v/>
      </c>
      <c r="G316" s="464"/>
      <c r="H316" s="462"/>
      <c r="I316" s="70" t="str">
        <f t="shared" si="15"/>
        <v>-</v>
      </c>
      <c r="J316" s="71" t="str">
        <f t="shared" si="16"/>
        <v>resource</v>
      </c>
    </row>
    <row r="317" spans="1:10">
      <c r="A317" s="461"/>
      <c r="B317" s="461"/>
      <c r="C317" s="461"/>
      <c r="D317" s="461"/>
      <c r="E317" s="461"/>
      <c r="F317" s="489" t="str">
        <f t="shared" si="17"/>
        <v/>
      </c>
      <c r="G317" s="464"/>
      <c r="H317" s="462"/>
      <c r="I317" s="70" t="str">
        <f t="shared" si="15"/>
        <v>-</v>
      </c>
      <c r="J317" s="71" t="str">
        <f t="shared" si="16"/>
        <v>resource</v>
      </c>
    </row>
    <row r="318" spans="1:10">
      <c r="A318" s="461"/>
      <c r="B318" s="461"/>
      <c r="C318" s="461"/>
      <c r="D318" s="461"/>
      <c r="E318" s="461"/>
      <c r="F318" s="489" t="str">
        <f t="shared" si="17"/>
        <v/>
      </c>
      <c r="G318" s="464"/>
      <c r="H318" s="462"/>
      <c r="I318" s="70" t="str">
        <f t="shared" si="15"/>
        <v>-</v>
      </c>
      <c r="J318" s="71" t="str">
        <f t="shared" si="16"/>
        <v>resource</v>
      </c>
    </row>
    <row r="319" spans="1:10">
      <c r="A319" s="461"/>
      <c r="B319" s="461"/>
      <c r="C319" s="461"/>
      <c r="D319" s="461"/>
      <c r="E319" s="461"/>
      <c r="F319" s="489" t="str">
        <f t="shared" si="17"/>
        <v/>
      </c>
      <c r="G319" s="464"/>
      <c r="H319" s="462"/>
      <c r="I319" s="70" t="str">
        <f t="shared" si="15"/>
        <v>-</v>
      </c>
      <c r="J319" s="71" t="str">
        <f t="shared" si="16"/>
        <v>resource</v>
      </c>
    </row>
    <row r="320" spans="1:10">
      <c r="A320" s="461"/>
      <c r="B320" s="461"/>
      <c r="C320" s="461"/>
      <c r="D320" s="461"/>
      <c r="E320" s="461"/>
      <c r="F320" s="489" t="str">
        <f t="shared" si="17"/>
        <v/>
      </c>
      <c r="G320" s="464"/>
      <c r="H320" s="462"/>
      <c r="I320" s="70" t="str">
        <f t="shared" si="15"/>
        <v>-</v>
      </c>
      <c r="J320" s="71" t="str">
        <f t="shared" si="16"/>
        <v>resource</v>
      </c>
    </row>
    <row r="321" spans="1:10">
      <c r="A321" s="461"/>
      <c r="B321" s="461"/>
      <c r="C321" s="461"/>
      <c r="D321" s="461"/>
      <c r="E321" s="461"/>
      <c r="F321" s="489" t="str">
        <f t="shared" si="17"/>
        <v/>
      </c>
      <c r="G321" s="464"/>
      <c r="H321" s="462"/>
      <c r="I321" s="70" t="str">
        <f t="shared" si="15"/>
        <v>-</v>
      </c>
      <c r="J321" s="71" t="str">
        <f t="shared" si="16"/>
        <v>resource</v>
      </c>
    </row>
    <row r="322" spans="1:10">
      <c r="A322" s="461"/>
      <c r="B322" s="461"/>
      <c r="C322" s="461"/>
      <c r="D322" s="461"/>
      <c r="E322" s="461"/>
      <c r="F322" s="489" t="str">
        <f t="shared" si="17"/>
        <v/>
      </c>
      <c r="G322" s="464"/>
      <c r="H322" s="462"/>
      <c r="I322" s="70" t="str">
        <f t="shared" ref="I322:I385" si="18">IFERROR(AVERAGEIFS($G:$G,$E:$E,$E322),"-")</f>
        <v>-</v>
      </c>
      <c r="J322" s="71" t="str">
        <f t="shared" ref="J322:J385" si="19">IF($C322="Voice QA",$C322,"resource")</f>
        <v>resource</v>
      </c>
    </row>
    <row r="323" spans="1:10">
      <c r="A323" s="461"/>
      <c r="B323" s="461"/>
      <c r="C323" s="461"/>
      <c r="D323" s="461"/>
      <c r="E323" s="461"/>
      <c r="F323" s="489" t="str">
        <f t="shared" ref="F323:F386" si="20">IF(E323="","","MID")</f>
        <v/>
      </c>
      <c r="G323" s="464"/>
      <c r="H323" s="462"/>
      <c r="I323" s="70" t="str">
        <f t="shared" si="18"/>
        <v>-</v>
      </c>
      <c r="J323" s="71" t="str">
        <f t="shared" si="19"/>
        <v>resource</v>
      </c>
    </row>
    <row r="324" spans="1:10">
      <c r="A324" s="461"/>
      <c r="B324" s="461"/>
      <c r="C324" s="461"/>
      <c r="D324" s="461"/>
      <c r="E324" s="461"/>
      <c r="F324" s="489" t="str">
        <f t="shared" si="20"/>
        <v/>
      </c>
      <c r="G324" s="464"/>
      <c r="H324" s="462"/>
      <c r="I324" s="70" t="str">
        <f t="shared" si="18"/>
        <v>-</v>
      </c>
      <c r="J324" s="71" t="str">
        <f t="shared" si="19"/>
        <v>resource</v>
      </c>
    </row>
    <row r="325" spans="1:10">
      <c r="A325" s="461"/>
      <c r="B325" s="461"/>
      <c r="C325" s="461"/>
      <c r="D325" s="461"/>
      <c r="E325" s="461"/>
      <c r="F325" s="489" t="str">
        <f t="shared" si="20"/>
        <v/>
      </c>
      <c r="G325" s="464"/>
      <c r="H325" s="462"/>
      <c r="I325" s="70" t="str">
        <f t="shared" si="18"/>
        <v>-</v>
      </c>
      <c r="J325" s="71" t="str">
        <f t="shared" si="19"/>
        <v>resource</v>
      </c>
    </row>
    <row r="326" spans="1:10">
      <c r="A326" s="461"/>
      <c r="B326" s="461"/>
      <c r="C326" s="461"/>
      <c r="D326" s="461"/>
      <c r="E326" s="461"/>
      <c r="F326" s="489" t="str">
        <f t="shared" si="20"/>
        <v/>
      </c>
      <c r="G326" s="464"/>
      <c r="H326" s="462"/>
      <c r="I326" s="70" t="str">
        <f t="shared" si="18"/>
        <v>-</v>
      </c>
      <c r="J326" s="71" t="str">
        <f t="shared" si="19"/>
        <v>resource</v>
      </c>
    </row>
    <row r="327" spans="1:10">
      <c r="A327" s="461"/>
      <c r="B327" s="461"/>
      <c r="C327" s="461"/>
      <c r="D327" s="461"/>
      <c r="E327" s="461"/>
      <c r="F327" s="489" t="str">
        <f t="shared" si="20"/>
        <v/>
      </c>
      <c r="G327" s="464"/>
      <c r="H327" s="462"/>
      <c r="I327" s="70" t="str">
        <f t="shared" si="18"/>
        <v>-</v>
      </c>
      <c r="J327" s="71" t="str">
        <f t="shared" si="19"/>
        <v>resource</v>
      </c>
    </row>
    <row r="328" spans="1:10">
      <c r="A328" s="461"/>
      <c r="B328" s="461"/>
      <c r="C328" s="461"/>
      <c r="D328" s="461"/>
      <c r="E328" s="461"/>
      <c r="F328" s="489" t="str">
        <f t="shared" si="20"/>
        <v/>
      </c>
      <c r="G328" s="464"/>
      <c r="H328" s="462"/>
      <c r="I328" s="70" t="str">
        <f t="shared" si="18"/>
        <v>-</v>
      </c>
      <c r="J328" s="71" t="str">
        <f t="shared" si="19"/>
        <v>resource</v>
      </c>
    </row>
    <row r="329" spans="1:10">
      <c r="A329" s="461"/>
      <c r="B329" s="461"/>
      <c r="C329" s="461"/>
      <c r="D329" s="461"/>
      <c r="E329" s="461"/>
      <c r="F329" s="489" t="str">
        <f t="shared" si="20"/>
        <v/>
      </c>
      <c r="G329" s="464"/>
      <c r="H329" s="462"/>
      <c r="I329" s="70" t="str">
        <f t="shared" si="18"/>
        <v>-</v>
      </c>
      <c r="J329" s="71" t="str">
        <f t="shared" si="19"/>
        <v>resource</v>
      </c>
    </row>
    <row r="330" spans="1:10">
      <c r="A330" s="461"/>
      <c r="B330" s="461"/>
      <c r="C330" s="461"/>
      <c r="D330" s="461"/>
      <c r="E330" s="461"/>
      <c r="F330" s="489" t="str">
        <f t="shared" si="20"/>
        <v/>
      </c>
      <c r="G330" s="464"/>
      <c r="H330" s="462"/>
      <c r="I330" s="70" t="str">
        <f t="shared" si="18"/>
        <v>-</v>
      </c>
      <c r="J330" s="71" t="str">
        <f t="shared" si="19"/>
        <v>resource</v>
      </c>
    </row>
    <row r="331" spans="1:10">
      <c r="A331" s="461"/>
      <c r="B331" s="461"/>
      <c r="C331" s="461"/>
      <c r="D331" s="461"/>
      <c r="E331" s="461"/>
      <c r="F331" s="489" t="str">
        <f t="shared" si="20"/>
        <v/>
      </c>
      <c r="G331" s="464"/>
      <c r="H331" s="462"/>
      <c r="I331" s="70" t="str">
        <f t="shared" si="18"/>
        <v>-</v>
      </c>
      <c r="J331" s="71" t="str">
        <f t="shared" si="19"/>
        <v>resource</v>
      </c>
    </row>
    <row r="332" spans="1:10">
      <c r="A332" s="461"/>
      <c r="B332" s="461"/>
      <c r="C332" s="461"/>
      <c r="D332" s="461"/>
      <c r="E332" s="461"/>
      <c r="F332" s="489" t="str">
        <f t="shared" si="20"/>
        <v/>
      </c>
      <c r="G332" s="464"/>
      <c r="H332" s="462"/>
      <c r="I332" s="70" t="str">
        <f t="shared" si="18"/>
        <v>-</v>
      </c>
      <c r="J332" s="71" t="str">
        <f t="shared" si="19"/>
        <v>resource</v>
      </c>
    </row>
    <row r="333" spans="1:10">
      <c r="A333" s="461"/>
      <c r="B333" s="461"/>
      <c r="C333" s="461"/>
      <c r="D333" s="461"/>
      <c r="E333" s="461"/>
      <c r="F333" s="489" t="str">
        <f t="shared" si="20"/>
        <v/>
      </c>
      <c r="G333" s="464"/>
      <c r="H333" s="462"/>
      <c r="I333" s="70" t="str">
        <f t="shared" si="18"/>
        <v>-</v>
      </c>
      <c r="J333" s="71" t="str">
        <f t="shared" si="19"/>
        <v>resource</v>
      </c>
    </row>
    <row r="334" spans="1:10">
      <c r="A334" s="461"/>
      <c r="B334" s="461"/>
      <c r="C334" s="461"/>
      <c r="D334" s="461"/>
      <c r="E334" s="461"/>
      <c r="F334" s="489" t="str">
        <f t="shared" si="20"/>
        <v/>
      </c>
      <c r="G334" s="464"/>
      <c r="H334" s="462"/>
      <c r="I334" s="70" t="str">
        <f t="shared" si="18"/>
        <v>-</v>
      </c>
      <c r="J334" s="71" t="str">
        <f t="shared" si="19"/>
        <v>resource</v>
      </c>
    </row>
    <row r="335" spans="1:10">
      <c r="A335" s="461"/>
      <c r="B335" s="461"/>
      <c r="C335" s="461"/>
      <c r="D335" s="461"/>
      <c r="E335" s="461"/>
      <c r="F335" s="489" t="str">
        <f t="shared" si="20"/>
        <v/>
      </c>
      <c r="G335" s="464"/>
      <c r="H335" s="462"/>
      <c r="I335" s="70" t="str">
        <f t="shared" si="18"/>
        <v>-</v>
      </c>
      <c r="J335" s="71" t="str">
        <f t="shared" si="19"/>
        <v>resource</v>
      </c>
    </row>
    <row r="336" spans="1:10">
      <c r="A336" s="461"/>
      <c r="B336" s="461"/>
      <c r="C336" s="461"/>
      <c r="D336" s="461"/>
      <c r="E336" s="461"/>
      <c r="F336" s="489" t="str">
        <f t="shared" si="20"/>
        <v/>
      </c>
      <c r="G336" s="464"/>
      <c r="H336" s="462"/>
      <c r="I336" s="70" t="str">
        <f t="shared" si="18"/>
        <v>-</v>
      </c>
      <c r="J336" s="71" t="str">
        <f t="shared" si="19"/>
        <v>resource</v>
      </c>
    </row>
    <row r="337" spans="1:10">
      <c r="A337" s="461"/>
      <c r="B337" s="461"/>
      <c r="C337" s="461"/>
      <c r="D337" s="461"/>
      <c r="E337" s="461"/>
      <c r="F337" s="489" t="str">
        <f t="shared" si="20"/>
        <v/>
      </c>
      <c r="G337" s="464"/>
      <c r="H337" s="462"/>
      <c r="I337" s="70" t="str">
        <f t="shared" si="18"/>
        <v>-</v>
      </c>
      <c r="J337" s="71" t="str">
        <f t="shared" si="19"/>
        <v>resource</v>
      </c>
    </row>
    <row r="338" spans="1:10">
      <c r="A338" s="461"/>
      <c r="B338" s="461"/>
      <c r="C338" s="461"/>
      <c r="D338" s="461"/>
      <c r="E338" s="461"/>
      <c r="F338" s="489" t="str">
        <f t="shared" si="20"/>
        <v/>
      </c>
      <c r="G338" s="464"/>
      <c r="H338" s="462"/>
      <c r="I338" s="70" t="str">
        <f t="shared" si="18"/>
        <v>-</v>
      </c>
      <c r="J338" s="71" t="str">
        <f t="shared" si="19"/>
        <v>resource</v>
      </c>
    </row>
    <row r="339" spans="1:10">
      <c r="A339" s="461"/>
      <c r="B339" s="461"/>
      <c r="C339" s="461"/>
      <c r="D339" s="461"/>
      <c r="E339" s="461"/>
      <c r="F339" s="489" t="str">
        <f t="shared" si="20"/>
        <v/>
      </c>
      <c r="G339" s="464"/>
      <c r="H339" s="462"/>
      <c r="I339" s="70" t="str">
        <f t="shared" si="18"/>
        <v>-</v>
      </c>
      <c r="J339" s="71" t="str">
        <f t="shared" si="19"/>
        <v>resource</v>
      </c>
    </row>
    <row r="340" spans="1:10">
      <c r="A340" s="461"/>
      <c r="B340" s="461"/>
      <c r="C340" s="461"/>
      <c r="D340" s="461"/>
      <c r="E340" s="461"/>
      <c r="F340" s="489" t="str">
        <f t="shared" si="20"/>
        <v/>
      </c>
      <c r="G340" s="464"/>
      <c r="H340" s="462"/>
      <c r="I340" s="70" t="str">
        <f t="shared" si="18"/>
        <v>-</v>
      </c>
      <c r="J340" s="71" t="str">
        <f t="shared" si="19"/>
        <v>resource</v>
      </c>
    </row>
    <row r="341" spans="1:10">
      <c r="A341" s="461"/>
      <c r="B341" s="461"/>
      <c r="C341" s="461"/>
      <c r="D341" s="461"/>
      <c r="E341" s="461"/>
      <c r="F341" s="489" t="str">
        <f t="shared" si="20"/>
        <v/>
      </c>
      <c r="G341" s="464"/>
      <c r="H341" s="462"/>
      <c r="I341" s="70" t="str">
        <f t="shared" si="18"/>
        <v>-</v>
      </c>
      <c r="J341" s="71" t="str">
        <f t="shared" si="19"/>
        <v>resource</v>
      </c>
    </row>
    <row r="342" spans="1:10">
      <c r="A342" s="461"/>
      <c r="B342" s="461"/>
      <c r="C342" s="461"/>
      <c r="D342" s="461"/>
      <c r="E342" s="461"/>
      <c r="F342" s="489" t="str">
        <f t="shared" si="20"/>
        <v/>
      </c>
      <c r="G342" s="464"/>
      <c r="H342" s="462"/>
      <c r="I342" s="70" t="str">
        <f t="shared" si="18"/>
        <v>-</v>
      </c>
      <c r="J342" s="71" t="str">
        <f t="shared" si="19"/>
        <v>resource</v>
      </c>
    </row>
    <row r="343" spans="1:10">
      <c r="A343" s="461"/>
      <c r="B343" s="461"/>
      <c r="C343" s="461"/>
      <c r="D343" s="461"/>
      <c r="E343" s="461"/>
      <c r="F343" s="489" t="str">
        <f t="shared" si="20"/>
        <v/>
      </c>
      <c r="G343" s="464"/>
      <c r="H343" s="462"/>
      <c r="I343" s="70" t="str">
        <f t="shared" si="18"/>
        <v>-</v>
      </c>
      <c r="J343" s="71" t="str">
        <f t="shared" si="19"/>
        <v>resource</v>
      </c>
    </row>
    <row r="344" spans="1:10">
      <c r="A344" s="461"/>
      <c r="B344" s="461"/>
      <c r="C344" s="461"/>
      <c r="D344" s="461"/>
      <c r="E344" s="461"/>
      <c r="F344" s="489" t="str">
        <f t="shared" si="20"/>
        <v/>
      </c>
      <c r="G344" s="464"/>
      <c r="H344" s="462"/>
      <c r="I344" s="70" t="str">
        <f t="shared" si="18"/>
        <v>-</v>
      </c>
      <c r="J344" s="71" t="str">
        <f t="shared" si="19"/>
        <v>resource</v>
      </c>
    </row>
    <row r="345" spans="1:10">
      <c r="A345" s="461"/>
      <c r="B345" s="461"/>
      <c r="C345" s="461"/>
      <c r="D345" s="461"/>
      <c r="E345" s="461"/>
      <c r="F345" s="489" t="str">
        <f t="shared" si="20"/>
        <v/>
      </c>
      <c r="G345" s="464"/>
      <c r="H345" s="462"/>
      <c r="I345" s="70" t="str">
        <f t="shared" si="18"/>
        <v>-</v>
      </c>
      <c r="J345" s="71" t="str">
        <f t="shared" si="19"/>
        <v>resource</v>
      </c>
    </row>
    <row r="346" spans="1:10">
      <c r="A346" s="461"/>
      <c r="B346" s="461"/>
      <c r="C346" s="461"/>
      <c r="D346" s="461"/>
      <c r="E346" s="461"/>
      <c r="F346" s="489" t="str">
        <f t="shared" si="20"/>
        <v/>
      </c>
      <c r="G346" s="464"/>
      <c r="H346" s="462"/>
      <c r="I346" s="70" t="str">
        <f t="shared" si="18"/>
        <v>-</v>
      </c>
      <c r="J346" s="71" t="str">
        <f t="shared" si="19"/>
        <v>resource</v>
      </c>
    </row>
    <row r="347" spans="1:10">
      <c r="A347" s="461"/>
      <c r="B347" s="461"/>
      <c r="C347" s="461"/>
      <c r="D347" s="461"/>
      <c r="E347" s="461"/>
      <c r="F347" s="489" t="str">
        <f t="shared" si="20"/>
        <v/>
      </c>
      <c r="G347" s="464"/>
      <c r="H347" s="462"/>
      <c r="I347" s="70" t="str">
        <f t="shared" si="18"/>
        <v>-</v>
      </c>
      <c r="J347" s="71" t="str">
        <f t="shared" si="19"/>
        <v>resource</v>
      </c>
    </row>
    <row r="348" spans="1:10">
      <c r="A348" s="461"/>
      <c r="B348" s="461"/>
      <c r="C348" s="461"/>
      <c r="D348" s="461"/>
      <c r="E348" s="461"/>
      <c r="F348" s="489" t="str">
        <f t="shared" si="20"/>
        <v/>
      </c>
      <c r="G348" s="464"/>
      <c r="H348" s="462"/>
      <c r="I348" s="70" t="str">
        <f t="shared" si="18"/>
        <v>-</v>
      </c>
      <c r="J348" s="71" t="str">
        <f t="shared" si="19"/>
        <v>resource</v>
      </c>
    </row>
    <row r="349" spans="1:10">
      <c r="A349" s="461"/>
      <c r="B349" s="461"/>
      <c r="C349" s="461"/>
      <c r="D349" s="461"/>
      <c r="E349" s="461"/>
      <c r="F349" s="489" t="str">
        <f t="shared" si="20"/>
        <v/>
      </c>
      <c r="G349" s="464"/>
      <c r="H349" s="462"/>
      <c r="I349" s="70" t="str">
        <f t="shared" si="18"/>
        <v>-</v>
      </c>
      <c r="J349" s="71" t="str">
        <f t="shared" si="19"/>
        <v>resource</v>
      </c>
    </row>
    <row r="350" spans="1:10">
      <c r="A350" s="461"/>
      <c r="B350" s="461"/>
      <c r="C350" s="461"/>
      <c r="D350" s="461"/>
      <c r="E350" s="461"/>
      <c r="F350" s="489" t="str">
        <f t="shared" si="20"/>
        <v/>
      </c>
      <c r="G350" s="464"/>
      <c r="H350" s="462"/>
      <c r="I350" s="70" t="str">
        <f t="shared" si="18"/>
        <v>-</v>
      </c>
      <c r="J350" s="71" t="str">
        <f t="shared" si="19"/>
        <v>resource</v>
      </c>
    </row>
    <row r="351" spans="1:10">
      <c r="A351" s="461"/>
      <c r="B351" s="461"/>
      <c r="C351" s="461"/>
      <c r="D351" s="461"/>
      <c r="E351" s="461"/>
      <c r="F351" s="489" t="str">
        <f t="shared" si="20"/>
        <v/>
      </c>
      <c r="G351" s="464"/>
      <c r="H351" s="462"/>
      <c r="I351" s="70" t="str">
        <f t="shared" si="18"/>
        <v>-</v>
      </c>
      <c r="J351" s="71" t="str">
        <f t="shared" si="19"/>
        <v>resource</v>
      </c>
    </row>
    <row r="352" spans="1:10">
      <c r="A352" s="461"/>
      <c r="B352" s="461"/>
      <c r="C352" s="461"/>
      <c r="D352" s="461"/>
      <c r="E352" s="461"/>
      <c r="F352" s="489" t="str">
        <f t="shared" si="20"/>
        <v/>
      </c>
      <c r="G352" s="464"/>
      <c r="H352" s="462"/>
      <c r="I352" s="70" t="str">
        <f t="shared" si="18"/>
        <v>-</v>
      </c>
      <c r="J352" s="71" t="str">
        <f t="shared" si="19"/>
        <v>resource</v>
      </c>
    </row>
    <row r="353" spans="1:10">
      <c r="A353" s="461"/>
      <c r="B353" s="461"/>
      <c r="C353" s="461"/>
      <c r="D353" s="461"/>
      <c r="E353" s="461"/>
      <c r="F353" s="489" t="str">
        <f t="shared" si="20"/>
        <v/>
      </c>
      <c r="G353" s="464"/>
      <c r="H353" s="462"/>
      <c r="I353" s="70" t="str">
        <f t="shared" si="18"/>
        <v>-</v>
      </c>
      <c r="J353" s="71" t="str">
        <f t="shared" si="19"/>
        <v>resource</v>
      </c>
    </row>
    <row r="354" spans="1:10">
      <c r="A354" s="461"/>
      <c r="B354" s="461"/>
      <c r="C354" s="461"/>
      <c r="D354" s="461"/>
      <c r="E354" s="461"/>
      <c r="F354" s="489" t="str">
        <f t="shared" si="20"/>
        <v/>
      </c>
      <c r="G354" s="464"/>
      <c r="H354" s="462"/>
      <c r="I354" s="70" t="str">
        <f t="shared" si="18"/>
        <v>-</v>
      </c>
      <c r="J354" s="71" t="str">
        <f t="shared" si="19"/>
        <v>resource</v>
      </c>
    </row>
    <row r="355" spans="1:10">
      <c r="A355" s="461"/>
      <c r="B355" s="461"/>
      <c r="C355" s="461"/>
      <c r="D355" s="461"/>
      <c r="E355" s="461"/>
      <c r="F355" s="489" t="str">
        <f t="shared" si="20"/>
        <v/>
      </c>
      <c r="G355" s="464"/>
      <c r="H355" s="462"/>
      <c r="I355" s="70" t="str">
        <f t="shared" si="18"/>
        <v>-</v>
      </c>
      <c r="J355" s="71" t="str">
        <f t="shared" si="19"/>
        <v>resource</v>
      </c>
    </row>
    <row r="356" spans="1:10">
      <c r="A356" s="461"/>
      <c r="B356" s="461"/>
      <c r="C356" s="461"/>
      <c r="D356" s="461"/>
      <c r="E356" s="461"/>
      <c r="F356" s="489" t="str">
        <f t="shared" si="20"/>
        <v/>
      </c>
      <c r="G356" s="464"/>
      <c r="H356" s="462"/>
      <c r="I356" s="70" t="str">
        <f t="shared" si="18"/>
        <v>-</v>
      </c>
      <c r="J356" s="71" t="str">
        <f t="shared" si="19"/>
        <v>resource</v>
      </c>
    </row>
    <row r="357" spans="1:10">
      <c r="A357" s="461"/>
      <c r="B357" s="461"/>
      <c r="C357" s="461"/>
      <c r="D357" s="461"/>
      <c r="E357" s="461"/>
      <c r="F357" s="489" t="str">
        <f t="shared" si="20"/>
        <v/>
      </c>
      <c r="G357" s="464"/>
      <c r="H357" s="462"/>
      <c r="I357" s="70" t="str">
        <f t="shared" si="18"/>
        <v>-</v>
      </c>
      <c r="J357" s="71" t="str">
        <f t="shared" si="19"/>
        <v>resource</v>
      </c>
    </row>
    <row r="358" spans="1:10">
      <c r="A358" s="461"/>
      <c r="B358" s="461"/>
      <c r="C358" s="461"/>
      <c r="D358" s="461"/>
      <c r="E358" s="461"/>
      <c r="F358" s="489" t="str">
        <f t="shared" si="20"/>
        <v/>
      </c>
      <c r="G358" s="464"/>
      <c r="H358" s="462"/>
      <c r="I358" s="70" t="str">
        <f t="shared" si="18"/>
        <v>-</v>
      </c>
      <c r="J358" s="71" t="str">
        <f t="shared" si="19"/>
        <v>resource</v>
      </c>
    </row>
    <row r="359" spans="1:10">
      <c r="A359" s="461"/>
      <c r="B359" s="461"/>
      <c r="C359" s="461"/>
      <c r="D359" s="461"/>
      <c r="E359" s="461"/>
      <c r="F359" s="489" t="str">
        <f t="shared" si="20"/>
        <v/>
      </c>
      <c r="G359" s="464"/>
      <c r="H359" s="462"/>
      <c r="I359" s="70" t="str">
        <f t="shared" si="18"/>
        <v>-</v>
      </c>
      <c r="J359" s="71" t="str">
        <f t="shared" si="19"/>
        <v>resource</v>
      </c>
    </row>
    <row r="360" spans="1:10">
      <c r="A360" s="461"/>
      <c r="B360" s="461"/>
      <c r="C360" s="461"/>
      <c r="D360" s="461"/>
      <c r="E360" s="461"/>
      <c r="F360" s="489" t="str">
        <f t="shared" si="20"/>
        <v/>
      </c>
      <c r="G360" s="464"/>
      <c r="H360" s="462"/>
      <c r="I360" s="70" t="str">
        <f t="shared" si="18"/>
        <v>-</v>
      </c>
      <c r="J360" s="71" t="str">
        <f t="shared" si="19"/>
        <v>resource</v>
      </c>
    </row>
    <row r="361" spans="1:10">
      <c r="A361" s="461"/>
      <c r="B361" s="461"/>
      <c r="C361" s="461"/>
      <c r="D361" s="461"/>
      <c r="E361" s="461"/>
      <c r="F361" s="489" t="str">
        <f t="shared" si="20"/>
        <v/>
      </c>
      <c r="G361" s="464"/>
      <c r="H361" s="462"/>
      <c r="I361" s="70" t="str">
        <f t="shared" si="18"/>
        <v>-</v>
      </c>
      <c r="J361" s="71" t="str">
        <f t="shared" si="19"/>
        <v>resource</v>
      </c>
    </row>
    <row r="362" spans="1:10">
      <c r="A362" s="461"/>
      <c r="B362" s="461"/>
      <c r="C362" s="461"/>
      <c r="D362" s="461"/>
      <c r="E362" s="461"/>
      <c r="F362" s="489" t="str">
        <f t="shared" si="20"/>
        <v/>
      </c>
      <c r="G362" s="464"/>
      <c r="H362" s="462"/>
      <c r="I362" s="70" t="str">
        <f t="shared" si="18"/>
        <v>-</v>
      </c>
      <c r="J362" s="71" t="str">
        <f t="shared" si="19"/>
        <v>resource</v>
      </c>
    </row>
    <row r="363" spans="1:10">
      <c r="A363" s="461"/>
      <c r="B363" s="461"/>
      <c r="C363" s="461"/>
      <c r="D363" s="461"/>
      <c r="E363" s="461"/>
      <c r="F363" s="489" t="str">
        <f t="shared" si="20"/>
        <v/>
      </c>
      <c r="G363" s="464"/>
      <c r="H363" s="462"/>
      <c r="I363" s="70" t="str">
        <f t="shared" si="18"/>
        <v>-</v>
      </c>
      <c r="J363" s="71" t="str">
        <f t="shared" si="19"/>
        <v>resource</v>
      </c>
    </row>
    <row r="364" spans="1:10">
      <c r="A364" s="461"/>
      <c r="B364" s="461"/>
      <c r="C364" s="461"/>
      <c r="D364" s="461"/>
      <c r="E364" s="461"/>
      <c r="F364" s="489" t="str">
        <f t="shared" si="20"/>
        <v/>
      </c>
      <c r="G364" s="464"/>
      <c r="H364" s="462"/>
      <c r="I364" s="70" t="str">
        <f t="shared" si="18"/>
        <v>-</v>
      </c>
      <c r="J364" s="71" t="str">
        <f t="shared" si="19"/>
        <v>resource</v>
      </c>
    </row>
    <row r="365" spans="1:10">
      <c r="A365" s="461"/>
      <c r="B365" s="461"/>
      <c r="C365" s="461"/>
      <c r="D365" s="461"/>
      <c r="E365" s="461"/>
      <c r="F365" s="489" t="str">
        <f t="shared" si="20"/>
        <v/>
      </c>
      <c r="G365" s="464"/>
      <c r="H365" s="462"/>
      <c r="I365" s="70" t="str">
        <f t="shared" si="18"/>
        <v>-</v>
      </c>
      <c r="J365" s="71" t="str">
        <f t="shared" si="19"/>
        <v>resource</v>
      </c>
    </row>
    <row r="366" spans="1:10">
      <c r="A366" s="461"/>
      <c r="B366" s="461"/>
      <c r="C366" s="461"/>
      <c r="D366" s="461"/>
      <c r="E366" s="461"/>
      <c r="F366" s="489" t="str">
        <f t="shared" si="20"/>
        <v/>
      </c>
      <c r="G366" s="464"/>
      <c r="H366" s="462"/>
      <c r="I366" s="70" t="str">
        <f t="shared" si="18"/>
        <v>-</v>
      </c>
      <c r="J366" s="71" t="str">
        <f t="shared" si="19"/>
        <v>resource</v>
      </c>
    </row>
    <row r="367" spans="1:10">
      <c r="A367" s="461"/>
      <c r="B367" s="461"/>
      <c r="C367" s="461"/>
      <c r="D367" s="461"/>
      <c r="E367" s="461"/>
      <c r="F367" s="489" t="str">
        <f t="shared" si="20"/>
        <v/>
      </c>
      <c r="G367" s="464"/>
      <c r="H367" s="462"/>
      <c r="I367" s="70" t="str">
        <f t="shared" si="18"/>
        <v>-</v>
      </c>
      <c r="J367" s="71" t="str">
        <f t="shared" si="19"/>
        <v>resource</v>
      </c>
    </row>
    <row r="368" spans="1:10">
      <c r="A368" s="461"/>
      <c r="B368" s="461"/>
      <c r="C368" s="461"/>
      <c r="D368" s="461"/>
      <c r="E368" s="461"/>
      <c r="F368" s="489" t="str">
        <f t="shared" si="20"/>
        <v/>
      </c>
      <c r="G368" s="464"/>
      <c r="H368" s="462"/>
      <c r="I368" s="70" t="str">
        <f t="shared" si="18"/>
        <v>-</v>
      </c>
      <c r="J368" s="71" t="str">
        <f t="shared" si="19"/>
        <v>resource</v>
      </c>
    </row>
    <row r="369" spans="1:10">
      <c r="A369" s="461"/>
      <c r="B369" s="461"/>
      <c r="C369" s="461"/>
      <c r="D369" s="461"/>
      <c r="E369" s="461"/>
      <c r="F369" s="489" t="str">
        <f t="shared" si="20"/>
        <v/>
      </c>
      <c r="G369" s="464"/>
      <c r="H369" s="462"/>
      <c r="I369" s="70" t="str">
        <f t="shared" si="18"/>
        <v>-</v>
      </c>
      <c r="J369" s="71" t="str">
        <f t="shared" si="19"/>
        <v>resource</v>
      </c>
    </row>
    <row r="370" spans="1:10">
      <c r="A370" s="461"/>
      <c r="B370" s="461"/>
      <c r="C370" s="461"/>
      <c r="D370" s="461"/>
      <c r="E370" s="461"/>
      <c r="F370" s="489" t="str">
        <f t="shared" si="20"/>
        <v/>
      </c>
      <c r="G370" s="464"/>
      <c r="H370" s="462"/>
      <c r="I370" s="70" t="str">
        <f t="shared" si="18"/>
        <v>-</v>
      </c>
      <c r="J370" s="71" t="str">
        <f t="shared" si="19"/>
        <v>resource</v>
      </c>
    </row>
    <row r="371" spans="1:10">
      <c r="A371" s="461"/>
      <c r="B371" s="461"/>
      <c r="C371" s="461"/>
      <c r="D371" s="461"/>
      <c r="E371" s="461"/>
      <c r="F371" s="489" t="str">
        <f t="shared" si="20"/>
        <v/>
      </c>
      <c r="G371" s="464"/>
      <c r="H371" s="462"/>
      <c r="I371" s="70" t="str">
        <f t="shared" si="18"/>
        <v>-</v>
      </c>
      <c r="J371" s="71" t="str">
        <f t="shared" si="19"/>
        <v>resource</v>
      </c>
    </row>
    <row r="372" spans="1:10">
      <c r="A372" s="461"/>
      <c r="B372" s="461"/>
      <c r="C372" s="461"/>
      <c r="D372" s="461"/>
      <c r="E372" s="461"/>
      <c r="F372" s="489" t="str">
        <f t="shared" si="20"/>
        <v/>
      </c>
      <c r="G372" s="464"/>
      <c r="H372" s="462"/>
      <c r="I372" s="70" t="str">
        <f t="shared" si="18"/>
        <v>-</v>
      </c>
      <c r="J372" s="71" t="str">
        <f t="shared" si="19"/>
        <v>resource</v>
      </c>
    </row>
    <row r="373" spans="1:10">
      <c r="A373" s="461"/>
      <c r="B373" s="461"/>
      <c r="C373" s="461"/>
      <c r="D373" s="461"/>
      <c r="E373" s="461"/>
      <c r="F373" s="489" t="str">
        <f t="shared" si="20"/>
        <v/>
      </c>
      <c r="G373" s="464"/>
      <c r="H373" s="462"/>
      <c r="I373" s="70" t="str">
        <f t="shared" si="18"/>
        <v>-</v>
      </c>
      <c r="J373" s="71" t="str">
        <f t="shared" si="19"/>
        <v>resource</v>
      </c>
    </row>
    <row r="374" spans="1:10">
      <c r="A374" s="461"/>
      <c r="B374" s="461"/>
      <c r="C374" s="461"/>
      <c r="D374" s="461"/>
      <c r="E374" s="461"/>
      <c r="F374" s="489" t="str">
        <f t="shared" si="20"/>
        <v/>
      </c>
      <c r="G374" s="464"/>
      <c r="H374" s="462"/>
      <c r="I374" s="70" t="str">
        <f t="shared" si="18"/>
        <v>-</v>
      </c>
      <c r="J374" s="71" t="str">
        <f t="shared" si="19"/>
        <v>resource</v>
      </c>
    </row>
    <row r="375" spans="1:10">
      <c r="A375" s="461"/>
      <c r="B375" s="461"/>
      <c r="C375" s="461"/>
      <c r="D375" s="461"/>
      <c r="E375" s="461"/>
      <c r="F375" s="489" t="str">
        <f t="shared" si="20"/>
        <v/>
      </c>
      <c r="G375" s="464"/>
      <c r="H375" s="462"/>
      <c r="I375" s="70" t="str">
        <f t="shared" si="18"/>
        <v>-</v>
      </c>
      <c r="J375" s="71" t="str">
        <f t="shared" si="19"/>
        <v>resource</v>
      </c>
    </row>
    <row r="376" spans="1:10">
      <c r="A376" s="461"/>
      <c r="B376" s="461"/>
      <c r="C376" s="461"/>
      <c r="D376" s="461"/>
      <c r="E376" s="461"/>
      <c r="F376" s="489" t="str">
        <f t="shared" si="20"/>
        <v/>
      </c>
      <c r="G376" s="464"/>
      <c r="H376" s="462"/>
      <c r="I376" s="70" t="str">
        <f t="shared" si="18"/>
        <v>-</v>
      </c>
      <c r="J376" s="71" t="str">
        <f t="shared" si="19"/>
        <v>resource</v>
      </c>
    </row>
    <row r="377" spans="1:10">
      <c r="A377" s="461"/>
      <c r="B377" s="461"/>
      <c r="C377" s="461"/>
      <c r="D377" s="461"/>
      <c r="E377" s="461"/>
      <c r="F377" s="489" t="str">
        <f t="shared" si="20"/>
        <v/>
      </c>
      <c r="G377" s="464"/>
      <c r="H377" s="462"/>
      <c r="I377" s="70" t="str">
        <f t="shared" si="18"/>
        <v>-</v>
      </c>
      <c r="J377" s="71" t="str">
        <f t="shared" si="19"/>
        <v>resource</v>
      </c>
    </row>
    <row r="378" spans="1:10">
      <c r="A378" s="461"/>
      <c r="B378" s="461"/>
      <c r="C378" s="461"/>
      <c r="D378" s="461"/>
      <c r="E378" s="461"/>
      <c r="F378" s="489" t="str">
        <f t="shared" si="20"/>
        <v/>
      </c>
      <c r="G378" s="464"/>
      <c r="H378" s="462"/>
      <c r="I378" s="70" t="str">
        <f t="shared" si="18"/>
        <v>-</v>
      </c>
      <c r="J378" s="71" t="str">
        <f t="shared" si="19"/>
        <v>resource</v>
      </c>
    </row>
    <row r="379" spans="1:10">
      <c r="A379" s="461"/>
      <c r="B379" s="461"/>
      <c r="C379" s="461"/>
      <c r="D379" s="461"/>
      <c r="E379" s="461"/>
      <c r="F379" s="489" t="str">
        <f t="shared" si="20"/>
        <v/>
      </c>
      <c r="G379" s="464"/>
      <c r="H379" s="462"/>
      <c r="I379" s="70" t="str">
        <f t="shared" si="18"/>
        <v>-</v>
      </c>
      <c r="J379" s="71" t="str">
        <f t="shared" si="19"/>
        <v>resource</v>
      </c>
    </row>
    <row r="380" spans="1:10">
      <c r="A380" s="461"/>
      <c r="B380" s="461"/>
      <c r="C380" s="461"/>
      <c r="D380" s="461"/>
      <c r="E380" s="461"/>
      <c r="F380" s="489" t="str">
        <f t="shared" si="20"/>
        <v/>
      </c>
      <c r="G380" s="464"/>
      <c r="H380" s="462"/>
      <c r="I380" s="70" t="str">
        <f t="shared" si="18"/>
        <v>-</v>
      </c>
      <c r="J380" s="71" t="str">
        <f t="shared" si="19"/>
        <v>resource</v>
      </c>
    </row>
    <row r="381" spans="1:10">
      <c r="A381" s="461"/>
      <c r="B381" s="461"/>
      <c r="C381" s="461"/>
      <c r="D381" s="461"/>
      <c r="E381" s="461"/>
      <c r="F381" s="489" t="str">
        <f t="shared" si="20"/>
        <v/>
      </c>
      <c r="G381" s="464"/>
      <c r="H381" s="462"/>
      <c r="I381" s="70" t="str">
        <f t="shared" si="18"/>
        <v>-</v>
      </c>
      <c r="J381" s="71" t="str">
        <f t="shared" si="19"/>
        <v>resource</v>
      </c>
    </row>
    <row r="382" spans="1:10">
      <c r="A382" s="461"/>
      <c r="B382" s="461"/>
      <c r="C382" s="461"/>
      <c r="D382" s="461"/>
      <c r="E382" s="461"/>
      <c r="F382" s="489" t="str">
        <f t="shared" si="20"/>
        <v/>
      </c>
      <c r="G382" s="464"/>
      <c r="H382" s="462"/>
      <c r="I382" s="70" t="str">
        <f t="shared" si="18"/>
        <v>-</v>
      </c>
      <c r="J382" s="71" t="str">
        <f t="shared" si="19"/>
        <v>resource</v>
      </c>
    </row>
    <row r="383" spans="1:10">
      <c r="A383" s="461"/>
      <c r="B383" s="461"/>
      <c r="C383" s="461"/>
      <c r="D383" s="461"/>
      <c r="E383" s="461"/>
      <c r="F383" s="489" t="str">
        <f t="shared" si="20"/>
        <v/>
      </c>
      <c r="G383" s="464"/>
      <c r="H383" s="462"/>
      <c r="I383" s="70" t="str">
        <f t="shared" si="18"/>
        <v>-</v>
      </c>
      <c r="J383" s="71" t="str">
        <f t="shared" si="19"/>
        <v>resource</v>
      </c>
    </row>
    <row r="384" spans="1:10">
      <c r="A384" s="461"/>
      <c r="B384" s="461"/>
      <c r="C384" s="461"/>
      <c r="D384" s="461"/>
      <c r="E384" s="461"/>
      <c r="F384" s="489" t="str">
        <f t="shared" si="20"/>
        <v/>
      </c>
      <c r="G384" s="464"/>
      <c r="H384" s="462"/>
      <c r="I384" s="70" t="str">
        <f t="shared" si="18"/>
        <v>-</v>
      </c>
      <c r="J384" s="71" t="str">
        <f t="shared" si="19"/>
        <v>resource</v>
      </c>
    </row>
    <row r="385" spans="1:10">
      <c r="A385" s="461"/>
      <c r="B385" s="461"/>
      <c r="C385" s="461"/>
      <c r="D385" s="461"/>
      <c r="E385" s="461"/>
      <c r="F385" s="489" t="str">
        <f t="shared" si="20"/>
        <v/>
      </c>
      <c r="G385" s="464"/>
      <c r="H385" s="462"/>
      <c r="I385" s="70" t="str">
        <f t="shared" si="18"/>
        <v>-</v>
      </c>
      <c r="J385" s="71" t="str">
        <f t="shared" si="19"/>
        <v>resource</v>
      </c>
    </row>
    <row r="386" spans="1:10">
      <c r="A386" s="461"/>
      <c r="B386" s="461"/>
      <c r="C386" s="461"/>
      <c r="D386" s="461"/>
      <c r="E386" s="461"/>
      <c r="F386" s="489" t="str">
        <f t="shared" si="20"/>
        <v/>
      </c>
      <c r="G386" s="464"/>
      <c r="H386" s="462"/>
      <c r="I386" s="70" t="str">
        <f t="shared" ref="I386:I449" si="21">IFERROR(AVERAGEIFS($G:$G,$E:$E,$E386),"-")</f>
        <v>-</v>
      </c>
      <c r="J386" s="71" t="str">
        <f t="shared" ref="J386:J449" si="22">IF($C386="Voice QA",$C386,"resource")</f>
        <v>resource</v>
      </c>
    </row>
    <row r="387" spans="1:10">
      <c r="A387" s="461"/>
      <c r="B387" s="461"/>
      <c r="C387" s="461"/>
      <c r="D387" s="461"/>
      <c r="E387" s="461"/>
      <c r="F387" s="489" t="str">
        <f t="shared" ref="F387:F450" si="23">IF(E387="","","MID")</f>
        <v/>
      </c>
      <c r="G387" s="464"/>
      <c r="H387" s="462"/>
      <c r="I387" s="70" t="str">
        <f t="shared" si="21"/>
        <v>-</v>
      </c>
      <c r="J387" s="71" t="str">
        <f t="shared" si="22"/>
        <v>resource</v>
      </c>
    </row>
    <row r="388" spans="1:10">
      <c r="A388" s="461"/>
      <c r="B388" s="461"/>
      <c r="C388" s="461"/>
      <c r="D388" s="461"/>
      <c r="E388" s="461"/>
      <c r="F388" s="489" t="str">
        <f t="shared" si="23"/>
        <v/>
      </c>
      <c r="G388" s="464"/>
      <c r="H388" s="462"/>
      <c r="I388" s="70" t="str">
        <f t="shared" si="21"/>
        <v>-</v>
      </c>
      <c r="J388" s="71" t="str">
        <f t="shared" si="22"/>
        <v>resource</v>
      </c>
    </row>
    <row r="389" spans="1:10">
      <c r="A389" s="461"/>
      <c r="B389" s="461"/>
      <c r="C389" s="461"/>
      <c r="D389" s="461"/>
      <c r="E389" s="461"/>
      <c r="F389" s="489" t="str">
        <f t="shared" si="23"/>
        <v/>
      </c>
      <c r="G389" s="464"/>
      <c r="H389" s="462"/>
      <c r="I389" s="70" t="str">
        <f t="shared" si="21"/>
        <v>-</v>
      </c>
      <c r="J389" s="71" t="str">
        <f t="shared" si="22"/>
        <v>resource</v>
      </c>
    </row>
    <row r="390" spans="1:10">
      <c r="A390" s="461"/>
      <c r="B390" s="461"/>
      <c r="C390" s="461"/>
      <c r="D390" s="461"/>
      <c r="E390" s="461"/>
      <c r="F390" s="489" t="str">
        <f t="shared" si="23"/>
        <v/>
      </c>
      <c r="G390" s="464"/>
      <c r="H390" s="462"/>
      <c r="I390" s="70" t="str">
        <f t="shared" si="21"/>
        <v>-</v>
      </c>
      <c r="J390" s="71" t="str">
        <f t="shared" si="22"/>
        <v>resource</v>
      </c>
    </row>
    <row r="391" spans="1:10">
      <c r="A391" s="461"/>
      <c r="B391" s="461"/>
      <c r="C391" s="461"/>
      <c r="D391" s="461"/>
      <c r="E391" s="461"/>
      <c r="F391" s="489" t="str">
        <f t="shared" si="23"/>
        <v/>
      </c>
      <c r="G391" s="464"/>
      <c r="H391" s="462"/>
      <c r="I391" s="70" t="str">
        <f t="shared" si="21"/>
        <v>-</v>
      </c>
      <c r="J391" s="71" t="str">
        <f t="shared" si="22"/>
        <v>resource</v>
      </c>
    </row>
    <row r="392" spans="1:10">
      <c r="A392" s="461"/>
      <c r="B392" s="461"/>
      <c r="C392" s="461"/>
      <c r="D392" s="461"/>
      <c r="E392" s="461"/>
      <c r="F392" s="489" t="str">
        <f t="shared" si="23"/>
        <v/>
      </c>
      <c r="G392" s="464"/>
      <c r="H392" s="462"/>
      <c r="I392" s="70" t="str">
        <f t="shared" si="21"/>
        <v>-</v>
      </c>
      <c r="J392" s="71" t="str">
        <f t="shared" si="22"/>
        <v>resource</v>
      </c>
    </row>
    <row r="393" spans="1:10">
      <c r="A393" s="461"/>
      <c r="B393" s="461"/>
      <c r="C393" s="461"/>
      <c r="D393" s="461"/>
      <c r="E393" s="461"/>
      <c r="F393" s="489" t="str">
        <f t="shared" si="23"/>
        <v/>
      </c>
      <c r="G393" s="464"/>
      <c r="H393" s="462"/>
      <c r="I393" s="70" t="str">
        <f t="shared" si="21"/>
        <v>-</v>
      </c>
      <c r="J393" s="71" t="str">
        <f t="shared" si="22"/>
        <v>resource</v>
      </c>
    </row>
    <row r="394" spans="1:10">
      <c r="A394" s="461"/>
      <c r="B394" s="461"/>
      <c r="C394" s="461"/>
      <c r="D394" s="461"/>
      <c r="E394" s="461"/>
      <c r="F394" s="489" t="str">
        <f t="shared" si="23"/>
        <v/>
      </c>
      <c r="G394" s="464"/>
      <c r="H394" s="462"/>
      <c r="I394" s="70" t="str">
        <f t="shared" si="21"/>
        <v>-</v>
      </c>
      <c r="J394" s="71" t="str">
        <f t="shared" si="22"/>
        <v>resource</v>
      </c>
    </row>
    <row r="395" spans="1:10">
      <c r="A395" s="461"/>
      <c r="B395" s="461"/>
      <c r="C395" s="461"/>
      <c r="D395" s="461"/>
      <c r="E395" s="461"/>
      <c r="F395" s="489" t="str">
        <f t="shared" si="23"/>
        <v/>
      </c>
      <c r="G395" s="464"/>
      <c r="H395" s="462"/>
      <c r="I395" s="70" t="str">
        <f t="shared" si="21"/>
        <v>-</v>
      </c>
      <c r="J395" s="71" t="str">
        <f t="shared" si="22"/>
        <v>resource</v>
      </c>
    </row>
    <row r="396" spans="1:10">
      <c r="A396" s="461"/>
      <c r="B396" s="461"/>
      <c r="C396" s="461"/>
      <c r="D396" s="461"/>
      <c r="E396" s="461"/>
      <c r="F396" s="489" t="str">
        <f t="shared" si="23"/>
        <v/>
      </c>
      <c r="G396" s="464"/>
      <c r="H396" s="462"/>
      <c r="I396" s="70" t="str">
        <f t="shared" si="21"/>
        <v>-</v>
      </c>
      <c r="J396" s="71" t="str">
        <f t="shared" si="22"/>
        <v>resource</v>
      </c>
    </row>
    <row r="397" spans="1:10">
      <c r="A397" s="461"/>
      <c r="B397" s="461"/>
      <c r="C397" s="461"/>
      <c r="D397" s="461"/>
      <c r="E397" s="461"/>
      <c r="F397" s="489" t="str">
        <f t="shared" si="23"/>
        <v/>
      </c>
      <c r="G397" s="464"/>
      <c r="H397" s="462"/>
      <c r="I397" s="70" t="str">
        <f t="shared" si="21"/>
        <v>-</v>
      </c>
      <c r="J397" s="71" t="str">
        <f t="shared" si="22"/>
        <v>resource</v>
      </c>
    </row>
    <row r="398" spans="1:10">
      <c r="A398" s="461"/>
      <c r="B398" s="461"/>
      <c r="C398" s="461"/>
      <c r="D398" s="461"/>
      <c r="E398" s="461"/>
      <c r="F398" s="489" t="str">
        <f t="shared" si="23"/>
        <v/>
      </c>
      <c r="G398" s="464"/>
      <c r="H398" s="462"/>
      <c r="I398" s="70" t="str">
        <f t="shared" si="21"/>
        <v>-</v>
      </c>
      <c r="J398" s="71" t="str">
        <f t="shared" si="22"/>
        <v>resource</v>
      </c>
    </row>
    <row r="399" spans="1:10">
      <c r="A399" s="461"/>
      <c r="B399" s="461"/>
      <c r="C399" s="461"/>
      <c r="D399" s="461"/>
      <c r="E399" s="461"/>
      <c r="F399" s="489" t="str">
        <f t="shared" si="23"/>
        <v/>
      </c>
      <c r="G399" s="464"/>
      <c r="H399" s="462"/>
      <c r="I399" s="70" t="str">
        <f t="shared" si="21"/>
        <v>-</v>
      </c>
      <c r="J399" s="71" t="str">
        <f t="shared" si="22"/>
        <v>resource</v>
      </c>
    </row>
    <row r="400" spans="1:10">
      <c r="A400" s="461"/>
      <c r="B400" s="461"/>
      <c r="C400" s="461"/>
      <c r="D400" s="461"/>
      <c r="E400" s="461"/>
      <c r="F400" s="489" t="str">
        <f t="shared" si="23"/>
        <v/>
      </c>
      <c r="G400" s="464"/>
      <c r="H400" s="462"/>
      <c r="I400" s="70" t="str">
        <f t="shared" si="21"/>
        <v>-</v>
      </c>
      <c r="J400" s="71" t="str">
        <f t="shared" si="22"/>
        <v>resource</v>
      </c>
    </row>
    <row r="401" spans="1:10">
      <c r="A401" s="461"/>
      <c r="B401" s="461"/>
      <c r="C401" s="461"/>
      <c r="D401" s="461"/>
      <c r="E401" s="461"/>
      <c r="F401" s="489" t="str">
        <f t="shared" si="23"/>
        <v/>
      </c>
      <c r="G401" s="464"/>
      <c r="H401" s="462"/>
      <c r="I401" s="70" t="str">
        <f t="shared" si="21"/>
        <v>-</v>
      </c>
      <c r="J401" s="71" t="str">
        <f t="shared" si="22"/>
        <v>resource</v>
      </c>
    </row>
    <row r="402" spans="1:10">
      <c r="A402" s="461"/>
      <c r="B402" s="461"/>
      <c r="C402" s="461"/>
      <c r="D402" s="461"/>
      <c r="E402" s="461"/>
      <c r="F402" s="489" t="str">
        <f t="shared" si="23"/>
        <v/>
      </c>
      <c r="G402" s="464"/>
      <c r="H402" s="462"/>
      <c r="I402" s="70" t="str">
        <f t="shared" si="21"/>
        <v>-</v>
      </c>
      <c r="J402" s="71" t="str">
        <f t="shared" si="22"/>
        <v>resource</v>
      </c>
    </row>
    <row r="403" spans="1:10">
      <c r="A403" s="461"/>
      <c r="B403" s="461"/>
      <c r="C403" s="461"/>
      <c r="D403" s="461"/>
      <c r="E403" s="461"/>
      <c r="F403" s="489" t="str">
        <f t="shared" si="23"/>
        <v/>
      </c>
      <c r="G403" s="464"/>
      <c r="H403" s="462"/>
      <c r="I403" s="70" t="str">
        <f t="shared" si="21"/>
        <v>-</v>
      </c>
      <c r="J403" s="71" t="str">
        <f t="shared" si="22"/>
        <v>resource</v>
      </c>
    </row>
    <row r="404" spans="1:10">
      <c r="A404" s="461"/>
      <c r="B404" s="461"/>
      <c r="C404" s="461"/>
      <c r="D404" s="461"/>
      <c r="E404" s="461"/>
      <c r="F404" s="489" t="str">
        <f t="shared" si="23"/>
        <v/>
      </c>
      <c r="G404" s="464"/>
      <c r="H404" s="462"/>
      <c r="I404" s="70" t="str">
        <f t="shared" si="21"/>
        <v>-</v>
      </c>
      <c r="J404" s="71" t="str">
        <f t="shared" si="22"/>
        <v>resource</v>
      </c>
    </row>
    <row r="405" spans="1:10">
      <c r="A405" s="461"/>
      <c r="B405" s="461"/>
      <c r="C405" s="461"/>
      <c r="D405" s="461"/>
      <c r="E405" s="461"/>
      <c r="F405" s="489" t="str">
        <f t="shared" si="23"/>
        <v/>
      </c>
      <c r="G405" s="464"/>
      <c r="H405" s="462"/>
      <c r="I405" s="70" t="str">
        <f t="shared" si="21"/>
        <v>-</v>
      </c>
      <c r="J405" s="71" t="str">
        <f t="shared" si="22"/>
        <v>resource</v>
      </c>
    </row>
    <row r="406" spans="1:10">
      <c r="A406" s="461"/>
      <c r="B406" s="461"/>
      <c r="C406" s="461"/>
      <c r="D406" s="461"/>
      <c r="E406" s="461"/>
      <c r="F406" s="489" t="str">
        <f t="shared" si="23"/>
        <v/>
      </c>
      <c r="G406" s="464"/>
      <c r="H406" s="462"/>
      <c r="I406" s="70" t="str">
        <f t="shared" si="21"/>
        <v>-</v>
      </c>
      <c r="J406" s="71" t="str">
        <f t="shared" si="22"/>
        <v>resource</v>
      </c>
    </row>
    <row r="407" spans="1:10">
      <c r="A407" s="461"/>
      <c r="B407" s="461"/>
      <c r="C407" s="461"/>
      <c r="D407" s="461"/>
      <c r="E407" s="461"/>
      <c r="F407" s="489" t="str">
        <f t="shared" si="23"/>
        <v/>
      </c>
      <c r="G407" s="464"/>
      <c r="H407" s="462"/>
      <c r="I407" s="70" t="str">
        <f t="shared" si="21"/>
        <v>-</v>
      </c>
      <c r="J407" s="71" t="str">
        <f t="shared" si="22"/>
        <v>resource</v>
      </c>
    </row>
    <row r="408" spans="1:10">
      <c r="A408" s="461"/>
      <c r="B408" s="461"/>
      <c r="C408" s="461"/>
      <c r="D408" s="461"/>
      <c r="E408" s="461"/>
      <c r="F408" s="489" t="str">
        <f t="shared" si="23"/>
        <v/>
      </c>
      <c r="G408" s="464"/>
      <c r="H408" s="462"/>
      <c r="I408" s="70" t="str">
        <f t="shared" si="21"/>
        <v>-</v>
      </c>
      <c r="J408" s="71" t="str">
        <f t="shared" si="22"/>
        <v>resource</v>
      </c>
    </row>
    <row r="409" spans="1:10">
      <c r="A409" s="461"/>
      <c r="B409" s="461"/>
      <c r="C409" s="461"/>
      <c r="D409" s="461"/>
      <c r="E409" s="461"/>
      <c r="F409" s="489" t="str">
        <f t="shared" si="23"/>
        <v/>
      </c>
      <c r="G409" s="464"/>
      <c r="H409" s="462"/>
      <c r="I409" s="70" t="str">
        <f t="shared" si="21"/>
        <v>-</v>
      </c>
      <c r="J409" s="71" t="str">
        <f t="shared" si="22"/>
        <v>resource</v>
      </c>
    </row>
    <row r="410" spans="1:10">
      <c r="A410" s="461"/>
      <c r="B410" s="461"/>
      <c r="C410" s="461"/>
      <c r="D410" s="461"/>
      <c r="E410" s="461"/>
      <c r="F410" s="489" t="str">
        <f t="shared" si="23"/>
        <v/>
      </c>
      <c r="G410" s="464"/>
      <c r="H410" s="462"/>
      <c r="I410" s="70" t="str">
        <f t="shared" si="21"/>
        <v>-</v>
      </c>
      <c r="J410" s="71" t="str">
        <f t="shared" si="22"/>
        <v>resource</v>
      </c>
    </row>
    <row r="411" spans="1:10">
      <c r="A411" s="461"/>
      <c r="B411" s="461"/>
      <c r="C411" s="461"/>
      <c r="D411" s="461"/>
      <c r="E411" s="461"/>
      <c r="F411" s="489" t="str">
        <f t="shared" si="23"/>
        <v/>
      </c>
      <c r="G411" s="464"/>
      <c r="H411" s="462"/>
      <c r="I411" s="70" t="str">
        <f t="shared" si="21"/>
        <v>-</v>
      </c>
      <c r="J411" s="71" t="str">
        <f t="shared" si="22"/>
        <v>resource</v>
      </c>
    </row>
    <row r="412" spans="1:10">
      <c r="A412" s="461"/>
      <c r="B412" s="461"/>
      <c r="C412" s="461"/>
      <c r="D412" s="461"/>
      <c r="E412" s="461"/>
      <c r="F412" s="489" t="str">
        <f t="shared" si="23"/>
        <v/>
      </c>
      <c r="G412" s="464"/>
      <c r="H412" s="462"/>
      <c r="I412" s="70" t="str">
        <f t="shared" si="21"/>
        <v>-</v>
      </c>
      <c r="J412" s="71" t="str">
        <f t="shared" si="22"/>
        <v>resource</v>
      </c>
    </row>
    <row r="413" spans="1:10">
      <c r="A413" s="461"/>
      <c r="B413" s="461"/>
      <c r="C413" s="461"/>
      <c r="D413" s="461"/>
      <c r="E413" s="461"/>
      <c r="F413" s="489" t="str">
        <f t="shared" si="23"/>
        <v/>
      </c>
      <c r="G413" s="464"/>
      <c r="H413" s="462"/>
      <c r="I413" s="70" t="str">
        <f t="shared" si="21"/>
        <v>-</v>
      </c>
      <c r="J413" s="71" t="str">
        <f t="shared" si="22"/>
        <v>resource</v>
      </c>
    </row>
    <row r="414" spans="1:10">
      <c r="A414" s="461"/>
      <c r="B414" s="461"/>
      <c r="C414" s="461"/>
      <c r="D414" s="461"/>
      <c r="E414" s="461"/>
      <c r="F414" s="489" t="str">
        <f t="shared" si="23"/>
        <v/>
      </c>
      <c r="G414" s="464"/>
      <c r="H414" s="462"/>
      <c r="I414" s="70" t="str">
        <f t="shared" si="21"/>
        <v>-</v>
      </c>
      <c r="J414" s="71" t="str">
        <f t="shared" si="22"/>
        <v>resource</v>
      </c>
    </row>
    <row r="415" spans="1:10">
      <c r="A415" s="461"/>
      <c r="B415" s="461"/>
      <c r="C415" s="461"/>
      <c r="D415" s="461"/>
      <c r="E415" s="461"/>
      <c r="F415" s="489" t="str">
        <f t="shared" si="23"/>
        <v/>
      </c>
      <c r="G415" s="464"/>
      <c r="H415" s="462"/>
      <c r="I415" s="70" t="str">
        <f t="shared" si="21"/>
        <v>-</v>
      </c>
      <c r="J415" s="71" t="str">
        <f t="shared" si="22"/>
        <v>resource</v>
      </c>
    </row>
    <row r="416" spans="1:10">
      <c r="A416" s="461"/>
      <c r="B416" s="461"/>
      <c r="C416" s="461"/>
      <c r="D416" s="461"/>
      <c r="E416" s="461"/>
      <c r="F416" s="489" t="str">
        <f t="shared" si="23"/>
        <v/>
      </c>
      <c r="G416" s="464"/>
      <c r="H416" s="462"/>
      <c r="I416" s="70" t="str">
        <f t="shared" si="21"/>
        <v>-</v>
      </c>
      <c r="J416" s="71" t="str">
        <f t="shared" si="22"/>
        <v>resource</v>
      </c>
    </row>
    <row r="417" spans="1:10">
      <c r="A417" s="461"/>
      <c r="B417" s="461"/>
      <c r="C417" s="461"/>
      <c r="D417" s="461"/>
      <c r="E417" s="461"/>
      <c r="F417" s="489" t="str">
        <f t="shared" si="23"/>
        <v/>
      </c>
      <c r="G417" s="464"/>
      <c r="H417" s="462"/>
      <c r="I417" s="70" t="str">
        <f t="shared" si="21"/>
        <v>-</v>
      </c>
      <c r="J417" s="71" t="str">
        <f t="shared" si="22"/>
        <v>resource</v>
      </c>
    </row>
    <row r="418" spans="1:10">
      <c r="A418" s="461"/>
      <c r="B418" s="461"/>
      <c r="C418" s="461"/>
      <c r="D418" s="461"/>
      <c r="E418" s="461"/>
      <c r="F418" s="489" t="str">
        <f t="shared" si="23"/>
        <v/>
      </c>
      <c r="G418" s="464"/>
      <c r="H418" s="462"/>
      <c r="I418" s="70" t="str">
        <f t="shared" si="21"/>
        <v>-</v>
      </c>
      <c r="J418" s="71" t="str">
        <f t="shared" si="22"/>
        <v>resource</v>
      </c>
    </row>
    <row r="419" spans="1:10">
      <c r="A419" s="461"/>
      <c r="B419" s="461"/>
      <c r="C419" s="461"/>
      <c r="D419" s="461"/>
      <c r="E419" s="461"/>
      <c r="F419" s="489" t="str">
        <f t="shared" si="23"/>
        <v/>
      </c>
      <c r="G419" s="464"/>
      <c r="H419" s="462"/>
      <c r="I419" s="70" t="str">
        <f t="shared" si="21"/>
        <v>-</v>
      </c>
      <c r="J419" s="71" t="str">
        <f t="shared" si="22"/>
        <v>resource</v>
      </c>
    </row>
    <row r="420" spans="1:10">
      <c r="A420" s="461"/>
      <c r="B420" s="461"/>
      <c r="C420" s="461"/>
      <c r="D420" s="461"/>
      <c r="E420" s="461"/>
      <c r="F420" s="489" t="str">
        <f t="shared" si="23"/>
        <v/>
      </c>
      <c r="G420" s="464"/>
      <c r="H420" s="462"/>
      <c r="I420" s="70" t="str">
        <f t="shared" si="21"/>
        <v>-</v>
      </c>
      <c r="J420" s="71" t="str">
        <f t="shared" si="22"/>
        <v>resource</v>
      </c>
    </row>
    <row r="421" spans="1:10">
      <c r="A421" s="461"/>
      <c r="B421" s="461"/>
      <c r="C421" s="461"/>
      <c r="D421" s="461"/>
      <c r="E421" s="461"/>
      <c r="F421" s="489" t="str">
        <f t="shared" si="23"/>
        <v/>
      </c>
      <c r="G421" s="464"/>
      <c r="H421" s="462"/>
      <c r="I421" s="70" t="str">
        <f t="shared" si="21"/>
        <v>-</v>
      </c>
      <c r="J421" s="71" t="str">
        <f t="shared" si="22"/>
        <v>resource</v>
      </c>
    </row>
    <row r="422" spans="1:10">
      <c r="A422" s="461"/>
      <c r="B422" s="461"/>
      <c r="C422" s="461"/>
      <c r="D422" s="461"/>
      <c r="E422" s="461"/>
      <c r="F422" s="489" t="str">
        <f t="shared" si="23"/>
        <v/>
      </c>
      <c r="G422" s="464"/>
      <c r="H422" s="462"/>
      <c r="I422" s="70" t="str">
        <f t="shared" si="21"/>
        <v>-</v>
      </c>
      <c r="J422" s="71" t="str">
        <f t="shared" si="22"/>
        <v>resource</v>
      </c>
    </row>
    <row r="423" spans="1:10">
      <c r="A423" s="461"/>
      <c r="B423" s="461"/>
      <c r="C423" s="461"/>
      <c r="D423" s="461"/>
      <c r="E423" s="461"/>
      <c r="F423" s="489" t="str">
        <f t="shared" si="23"/>
        <v/>
      </c>
      <c r="G423" s="464"/>
      <c r="H423" s="462"/>
      <c r="I423" s="70" t="str">
        <f t="shared" si="21"/>
        <v>-</v>
      </c>
      <c r="J423" s="71" t="str">
        <f t="shared" si="22"/>
        <v>resource</v>
      </c>
    </row>
    <row r="424" spans="1:10">
      <c r="A424" s="461"/>
      <c r="B424" s="461"/>
      <c r="C424" s="461"/>
      <c r="D424" s="461"/>
      <c r="E424" s="461"/>
      <c r="F424" s="489" t="str">
        <f t="shared" si="23"/>
        <v/>
      </c>
      <c r="G424" s="464"/>
      <c r="H424" s="462"/>
      <c r="I424" s="70" t="str">
        <f t="shared" si="21"/>
        <v>-</v>
      </c>
      <c r="J424" s="71" t="str">
        <f t="shared" si="22"/>
        <v>resource</v>
      </c>
    </row>
    <row r="425" spans="1:10">
      <c r="A425" s="461"/>
      <c r="B425" s="461"/>
      <c r="C425" s="461"/>
      <c r="D425" s="461"/>
      <c r="E425" s="461"/>
      <c r="F425" s="489" t="str">
        <f t="shared" si="23"/>
        <v/>
      </c>
      <c r="G425" s="464"/>
      <c r="H425" s="462"/>
      <c r="I425" s="70" t="str">
        <f t="shared" si="21"/>
        <v>-</v>
      </c>
      <c r="J425" s="71" t="str">
        <f t="shared" si="22"/>
        <v>resource</v>
      </c>
    </row>
    <row r="426" spans="1:10">
      <c r="A426" s="461"/>
      <c r="B426" s="461"/>
      <c r="C426" s="461"/>
      <c r="D426" s="461"/>
      <c r="E426" s="461"/>
      <c r="F426" s="489" t="str">
        <f t="shared" si="23"/>
        <v/>
      </c>
      <c r="G426" s="464"/>
      <c r="H426" s="462"/>
      <c r="I426" s="70" t="str">
        <f t="shared" si="21"/>
        <v>-</v>
      </c>
      <c r="J426" s="71" t="str">
        <f t="shared" si="22"/>
        <v>resource</v>
      </c>
    </row>
    <row r="427" spans="1:10">
      <c r="A427" s="461"/>
      <c r="B427" s="461"/>
      <c r="C427" s="461"/>
      <c r="D427" s="461"/>
      <c r="E427" s="461"/>
      <c r="F427" s="489" t="str">
        <f t="shared" si="23"/>
        <v/>
      </c>
      <c r="G427" s="464"/>
      <c r="H427" s="462"/>
      <c r="I427" s="70" t="str">
        <f t="shared" si="21"/>
        <v>-</v>
      </c>
      <c r="J427" s="71" t="str">
        <f t="shared" si="22"/>
        <v>resource</v>
      </c>
    </row>
    <row r="428" spans="1:10">
      <c r="A428" s="461"/>
      <c r="B428" s="461"/>
      <c r="C428" s="461"/>
      <c r="D428" s="461"/>
      <c r="E428" s="461"/>
      <c r="F428" s="489" t="str">
        <f t="shared" si="23"/>
        <v/>
      </c>
      <c r="G428" s="464"/>
      <c r="H428" s="462"/>
      <c r="I428" s="70" t="str">
        <f t="shared" si="21"/>
        <v>-</v>
      </c>
      <c r="J428" s="71" t="str">
        <f t="shared" si="22"/>
        <v>resource</v>
      </c>
    </row>
    <row r="429" spans="1:10">
      <c r="A429" s="461"/>
      <c r="B429" s="461"/>
      <c r="C429" s="461"/>
      <c r="D429" s="461"/>
      <c r="E429" s="461"/>
      <c r="F429" s="489" t="str">
        <f t="shared" si="23"/>
        <v/>
      </c>
      <c r="G429" s="464"/>
      <c r="H429" s="462"/>
      <c r="I429" s="70" t="str">
        <f t="shared" si="21"/>
        <v>-</v>
      </c>
      <c r="J429" s="71" t="str">
        <f t="shared" si="22"/>
        <v>resource</v>
      </c>
    </row>
    <row r="430" spans="1:10">
      <c r="A430" s="461"/>
      <c r="B430" s="461"/>
      <c r="C430" s="461"/>
      <c r="D430" s="461"/>
      <c r="E430" s="461"/>
      <c r="F430" s="489" t="str">
        <f t="shared" si="23"/>
        <v/>
      </c>
      <c r="G430" s="464"/>
      <c r="H430" s="462"/>
      <c r="I430" s="70" t="str">
        <f t="shared" si="21"/>
        <v>-</v>
      </c>
      <c r="J430" s="71" t="str">
        <f t="shared" si="22"/>
        <v>resource</v>
      </c>
    </row>
    <row r="431" spans="1:10">
      <c r="A431" s="461"/>
      <c r="B431" s="461"/>
      <c r="C431" s="461"/>
      <c r="D431" s="461"/>
      <c r="E431" s="461"/>
      <c r="F431" s="489" t="str">
        <f t="shared" si="23"/>
        <v/>
      </c>
      <c r="G431" s="464"/>
      <c r="H431" s="462"/>
      <c r="I431" s="70" t="str">
        <f t="shared" si="21"/>
        <v>-</v>
      </c>
      <c r="J431" s="71" t="str">
        <f t="shared" si="22"/>
        <v>resource</v>
      </c>
    </row>
    <row r="432" spans="1:10">
      <c r="A432" s="461"/>
      <c r="B432" s="461"/>
      <c r="C432" s="461"/>
      <c r="D432" s="461"/>
      <c r="E432" s="461"/>
      <c r="F432" s="489" t="str">
        <f t="shared" si="23"/>
        <v/>
      </c>
      <c r="G432" s="464"/>
      <c r="H432" s="462"/>
      <c r="I432" s="70" t="str">
        <f t="shared" si="21"/>
        <v>-</v>
      </c>
      <c r="J432" s="71" t="str">
        <f t="shared" si="22"/>
        <v>resource</v>
      </c>
    </row>
    <row r="433" spans="1:10">
      <c r="A433" s="461"/>
      <c r="B433" s="461"/>
      <c r="C433" s="461"/>
      <c r="D433" s="461"/>
      <c r="E433" s="461"/>
      <c r="F433" s="489" t="str">
        <f t="shared" si="23"/>
        <v/>
      </c>
      <c r="G433" s="464"/>
      <c r="H433" s="462"/>
      <c r="I433" s="70" t="str">
        <f t="shared" si="21"/>
        <v>-</v>
      </c>
      <c r="J433" s="71" t="str">
        <f t="shared" si="22"/>
        <v>resource</v>
      </c>
    </row>
    <row r="434" spans="1:10">
      <c r="A434" s="461"/>
      <c r="B434" s="461"/>
      <c r="C434" s="461"/>
      <c r="D434" s="461"/>
      <c r="E434" s="461"/>
      <c r="F434" s="489" t="str">
        <f t="shared" si="23"/>
        <v/>
      </c>
      <c r="G434" s="464"/>
      <c r="H434" s="462"/>
      <c r="I434" s="70" t="str">
        <f t="shared" si="21"/>
        <v>-</v>
      </c>
      <c r="J434" s="71" t="str">
        <f t="shared" si="22"/>
        <v>resource</v>
      </c>
    </row>
    <row r="435" spans="1:10">
      <c r="A435" s="461"/>
      <c r="B435" s="461"/>
      <c r="C435" s="461"/>
      <c r="D435" s="461"/>
      <c r="E435" s="461"/>
      <c r="F435" s="489" t="str">
        <f t="shared" si="23"/>
        <v/>
      </c>
      <c r="G435" s="464"/>
      <c r="H435" s="462"/>
      <c r="I435" s="70" t="str">
        <f t="shared" si="21"/>
        <v>-</v>
      </c>
      <c r="J435" s="71" t="str">
        <f t="shared" si="22"/>
        <v>resource</v>
      </c>
    </row>
    <row r="436" spans="1:10">
      <c r="A436" s="461"/>
      <c r="B436" s="461"/>
      <c r="C436" s="461"/>
      <c r="D436" s="461"/>
      <c r="E436" s="461"/>
      <c r="F436" s="489" t="str">
        <f t="shared" si="23"/>
        <v/>
      </c>
      <c r="G436" s="464"/>
      <c r="H436" s="462"/>
      <c r="I436" s="70" t="str">
        <f t="shared" si="21"/>
        <v>-</v>
      </c>
      <c r="J436" s="71" t="str">
        <f t="shared" si="22"/>
        <v>resource</v>
      </c>
    </row>
    <row r="437" spans="1:10">
      <c r="A437" s="461"/>
      <c r="B437" s="461"/>
      <c r="C437" s="461"/>
      <c r="D437" s="461"/>
      <c r="E437" s="461"/>
      <c r="F437" s="489" t="str">
        <f t="shared" si="23"/>
        <v/>
      </c>
      <c r="G437" s="464"/>
      <c r="H437" s="462"/>
      <c r="I437" s="70" t="str">
        <f t="shared" si="21"/>
        <v>-</v>
      </c>
      <c r="J437" s="71" t="str">
        <f t="shared" si="22"/>
        <v>resource</v>
      </c>
    </row>
    <row r="438" spans="1:10">
      <c r="A438" s="461"/>
      <c r="B438" s="461"/>
      <c r="C438" s="461"/>
      <c r="D438" s="461"/>
      <c r="E438" s="461"/>
      <c r="F438" s="489" t="str">
        <f t="shared" si="23"/>
        <v/>
      </c>
      <c r="G438" s="464"/>
      <c r="H438" s="462"/>
      <c r="I438" s="70" t="str">
        <f t="shared" si="21"/>
        <v>-</v>
      </c>
      <c r="J438" s="71" t="str">
        <f t="shared" si="22"/>
        <v>resource</v>
      </c>
    </row>
    <row r="439" spans="1:10">
      <c r="A439" s="461"/>
      <c r="B439" s="461"/>
      <c r="C439" s="461"/>
      <c r="D439" s="461"/>
      <c r="E439" s="461"/>
      <c r="F439" s="489" t="str">
        <f t="shared" si="23"/>
        <v/>
      </c>
      <c r="G439" s="464"/>
      <c r="H439" s="462"/>
      <c r="I439" s="70" t="str">
        <f t="shared" si="21"/>
        <v>-</v>
      </c>
      <c r="J439" s="71" t="str">
        <f t="shared" si="22"/>
        <v>resource</v>
      </c>
    </row>
    <row r="440" spans="1:10">
      <c r="A440" s="461"/>
      <c r="B440" s="461"/>
      <c r="C440" s="461"/>
      <c r="D440" s="461"/>
      <c r="E440" s="461"/>
      <c r="F440" s="489" t="str">
        <f t="shared" si="23"/>
        <v/>
      </c>
      <c r="G440" s="464"/>
      <c r="H440" s="462"/>
      <c r="I440" s="70" t="str">
        <f t="shared" si="21"/>
        <v>-</v>
      </c>
      <c r="J440" s="71" t="str">
        <f t="shared" si="22"/>
        <v>resource</v>
      </c>
    </row>
    <row r="441" spans="1:10">
      <c r="A441" s="461"/>
      <c r="B441" s="461"/>
      <c r="C441" s="461"/>
      <c r="D441" s="461"/>
      <c r="E441" s="461"/>
      <c r="F441" s="489" t="str">
        <f t="shared" si="23"/>
        <v/>
      </c>
      <c r="G441" s="464"/>
      <c r="H441" s="462"/>
      <c r="I441" s="70" t="str">
        <f t="shared" si="21"/>
        <v>-</v>
      </c>
      <c r="J441" s="71" t="str">
        <f t="shared" si="22"/>
        <v>resource</v>
      </c>
    </row>
    <row r="442" spans="1:10">
      <c r="A442" s="461"/>
      <c r="B442" s="461"/>
      <c r="C442" s="461"/>
      <c r="D442" s="461"/>
      <c r="E442" s="461"/>
      <c r="F442" s="489" t="str">
        <f t="shared" si="23"/>
        <v/>
      </c>
      <c r="G442" s="464"/>
      <c r="H442" s="462"/>
      <c r="I442" s="70" t="str">
        <f t="shared" si="21"/>
        <v>-</v>
      </c>
      <c r="J442" s="71" t="str">
        <f t="shared" si="22"/>
        <v>resource</v>
      </c>
    </row>
    <row r="443" spans="1:10">
      <c r="A443" s="461"/>
      <c r="B443" s="461"/>
      <c r="C443" s="461"/>
      <c r="D443" s="461"/>
      <c r="E443" s="461"/>
      <c r="F443" s="489" t="str">
        <f t="shared" si="23"/>
        <v/>
      </c>
      <c r="G443" s="464"/>
      <c r="H443" s="462"/>
      <c r="I443" s="70" t="str">
        <f t="shared" si="21"/>
        <v>-</v>
      </c>
      <c r="J443" s="71" t="str">
        <f t="shared" si="22"/>
        <v>resource</v>
      </c>
    </row>
    <row r="444" spans="1:10">
      <c r="A444" s="461"/>
      <c r="B444" s="461"/>
      <c r="C444" s="461"/>
      <c r="D444" s="461"/>
      <c r="E444" s="461"/>
      <c r="F444" s="489" t="str">
        <f t="shared" si="23"/>
        <v/>
      </c>
      <c r="G444" s="464"/>
      <c r="H444" s="462"/>
      <c r="I444" s="70" t="str">
        <f t="shared" si="21"/>
        <v>-</v>
      </c>
      <c r="J444" s="71" t="str">
        <f t="shared" si="22"/>
        <v>resource</v>
      </c>
    </row>
    <row r="445" spans="1:10">
      <c r="A445" s="461"/>
      <c r="B445" s="461"/>
      <c r="C445" s="461"/>
      <c r="D445" s="461"/>
      <c r="E445" s="461"/>
      <c r="F445" s="489" t="str">
        <f t="shared" si="23"/>
        <v/>
      </c>
      <c r="G445" s="464"/>
      <c r="H445" s="462"/>
      <c r="I445" s="70" t="str">
        <f t="shared" si="21"/>
        <v>-</v>
      </c>
      <c r="J445" s="71" t="str">
        <f t="shared" si="22"/>
        <v>resource</v>
      </c>
    </row>
    <row r="446" spans="1:10">
      <c r="A446" s="461"/>
      <c r="B446" s="461"/>
      <c r="C446" s="461"/>
      <c r="D446" s="461"/>
      <c r="E446" s="461"/>
      <c r="F446" s="489" t="str">
        <f t="shared" si="23"/>
        <v/>
      </c>
      <c r="G446" s="464"/>
      <c r="H446" s="462"/>
      <c r="I446" s="70" t="str">
        <f t="shared" si="21"/>
        <v>-</v>
      </c>
      <c r="J446" s="71" t="str">
        <f t="shared" si="22"/>
        <v>resource</v>
      </c>
    </row>
    <row r="447" spans="1:10">
      <c r="A447" s="461"/>
      <c r="B447" s="461"/>
      <c r="C447" s="461"/>
      <c r="D447" s="461"/>
      <c r="E447" s="461"/>
      <c r="F447" s="489" t="str">
        <f t="shared" si="23"/>
        <v/>
      </c>
      <c r="G447" s="464"/>
      <c r="H447" s="462"/>
      <c r="I447" s="70" t="str">
        <f t="shared" si="21"/>
        <v>-</v>
      </c>
      <c r="J447" s="71" t="str">
        <f t="shared" si="22"/>
        <v>resource</v>
      </c>
    </row>
    <row r="448" spans="1:10">
      <c r="A448" s="461"/>
      <c r="B448" s="461"/>
      <c r="C448" s="461"/>
      <c r="D448" s="461"/>
      <c r="E448" s="461"/>
      <c r="F448" s="489" t="str">
        <f t="shared" si="23"/>
        <v/>
      </c>
      <c r="G448" s="464"/>
      <c r="H448" s="462"/>
      <c r="I448" s="70" t="str">
        <f t="shared" si="21"/>
        <v>-</v>
      </c>
      <c r="J448" s="71" t="str">
        <f t="shared" si="22"/>
        <v>resource</v>
      </c>
    </row>
    <row r="449" spans="1:10">
      <c r="A449" s="461"/>
      <c r="B449" s="461"/>
      <c r="C449" s="461"/>
      <c r="D449" s="461"/>
      <c r="E449" s="461"/>
      <c r="F449" s="489" t="str">
        <f t="shared" si="23"/>
        <v/>
      </c>
      <c r="G449" s="464"/>
      <c r="H449" s="462"/>
      <c r="I449" s="70" t="str">
        <f t="shared" si="21"/>
        <v>-</v>
      </c>
      <c r="J449" s="71" t="str">
        <f t="shared" si="22"/>
        <v>resource</v>
      </c>
    </row>
    <row r="450" spans="1:10">
      <c r="A450" s="461"/>
      <c r="B450" s="461"/>
      <c r="C450" s="461"/>
      <c r="D450" s="461"/>
      <c r="E450" s="461"/>
      <c r="F450" s="489" t="str">
        <f t="shared" si="23"/>
        <v/>
      </c>
      <c r="G450" s="464"/>
      <c r="H450" s="462"/>
      <c r="I450" s="70" t="str">
        <f t="shared" ref="I450:I513" si="24">IFERROR(AVERAGEIFS($G:$G,$E:$E,$E450),"-")</f>
        <v>-</v>
      </c>
      <c r="J450" s="71" t="str">
        <f t="shared" ref="J450:J513" si="25">IF($C450="Voice QA",$C450,"resource")</f>
        <v>resource</v>
      </c>
    </row>
    <row r="451" spans="1:10">
      <c r="A451" s="461"/>
      <c r="B451" s="461"/>
      <c r="C451" s="461"/>
      <c r="D451" s="461"/>
      <c r="E451" s="461"/>
      <c r="F451" s="489" t="str">
        <f t="shared" ref="F451:F514" si="26">IF(E451="","","MID")</f>
        <v/>
      </c>
      <c r="G451" s="464"/>
      <c r="H451" s="462"/>
      <c r="I451" s="70" t="str">
        <f t="shared" si="24"/>
        <v>-</v>
      </c>
      <c r="J451" s="71" t="str">
        <f t="shared" si="25"/>
        <v>resource</v>
      </c>
    </row>
    <row r="452" spans="1:10">
      <c r="A452" s="461"/>
      <c r="B452" s="461"/>
      <c r="C452" s="461"/>
      <c r="D452" s="461"/>
      <c r="E452" s="461"/>
      <c r="F452" s="489" t="str">
        <f t="shared" si="26"/>
        <v/>
      </c>
      <c r="G452" s="464"/>
      <c r="H452" s="462"/>
      <c r="I452" s="70" t="str">
        <f t="shared" si="24"/>
        <v>-</v>
      </c>
      <c r="J452" s="71" t="str">
        <f t="shared" si="25"/>
        <v>resource</v>
      </c>
    </row>
    <row r="453" spans="1:10">
      <c r="A453" s="461"/>
      <c r="B453" s="461"/>
      <c r="C453" s="461"/>
      <c r="D453" s="461"/>
      <c r="E453" s="461"/>
      <c r="F453" s="489" t="str">
        <f t="shared" si="26"/>
        <v/>
      </c>
      <c r="G453" s="464"/>
      <c r="H453" s="462"/>
      <c r="I453" s="70" t="str">
        <f t="shared" si="24"/>
        <v>-</v>
      </c>
      <c r="J453" s="71" t="str">
        <f t="shared" si="25"/>
        <v>resource</v>
      </c>
    </row>
    <row r="454" spans="1:10">
      <c r="A454" s="461"/>
      <c r="B454" s="461"/>
      <c r="C454" s="461"/>
      <c r="D454" s="461"/>
      <c r="E454" s="461"/>
      <c r="F454" s="489" t="str">
        <f t="shared" si="26"/>
        <v/>
      </c>
      <c r="G454" s="464"/>
      <c r="H454" s="462"/>
      <c r="I454" s="70" t="str">
        <f t="shared" si="24"/>
        <v>-</v>
      </c>
      <c r="J454" s="71" t="str">
        <f t="shared" si="25"/>
        <v>resource</v>
      </c>
    </row>
    <row r="455" spans="1:10">
      <c r="A455" s="461"/>
      <c r="B455" s="461"/>
      <c r="C455" s="461"/>
      <c r="D455" s="461"/>
      <c r="E455" s="461"/>
      <c r="F455" s="489" t="str">
        <f t="shared" si="26"/>
        <v/>
      </c>
      <c r="G455" s="464"/>
      <c r="H455" s="462"/>
      <c r="I455" s="70" t="str">
        <f t="shared" si="24"/>
        <v>-</v>
      </c>
      <c r="J455" s="71" t="str">
        <f t="shared" si="25"/>
        <v>resource</v>
      </c>
    </row>
    <row r="456" spans="1:10">
      <c r="A456" s="461"/>
      <c r="B456" s="461"/>
      <c r="C456" s="461"/>
      <c r="D456" s="461"/>
      <c r="E456" s="461"/>
      <c r="F456" s="489" t="str">
        <f t="shared" si="26"/>
        <v/>
      </c>
      <c r="G456" s="464"/>
      <c r="H456" s="462"/>
      <c r="I456" s="70" t="str">
        <f t="shared" si="24"/>
        <v>-</v>
      </c>
      <c r="J456" s="71" t="str">
        <f t="shared" si="25"/>
        <v>resource</v>
      </c>
    </row>
    <row r="457" spans="1:10">
      <c r="A457" s="461"/>
      <c r="B457" s="461"/>
      <c r="C457" s="461"/>
      <c r="D457" s="461"/>
      <c r="E457" s="461"/>
      <c r="F457" s="489" t="str">
        <f t="shared" si="26"/>
        <v/>
      </c>
      <c r="G457" s="464"/>
      <c r="H457" s="462"/>
      <c r="I457" s="70" t="str">
        <f t="shared" si="24"/>
        <v>-</v>
      </c>
      <c r="J457" s="71" t="str">
        <f t="shared" si="25"/>
        <v>resource</v>
      </c>
    </row>
    <row r="458" spans="1:10">
      <c r="A458" s="461"/>
      <c r="B458" s="461"/>
      <c r="C458" s="461"/>
      <c r="D458" s="461"/>
      <c r="E458" s="461"/>
      <c r="F458" s="489" t="str">
        <f t="shared" si="26"/>
        <v/>
      </c>
      <c r="G458" s="464"/>
      <c r="H458" s="462"/>
      <c r="I458" s="70" t="str">
        <f t="shared" si="24"/>
        <v>-</v>
      </c>
      <c r="J458" s="71" t="str">
        <f t="shared" si="25"/>
        <v>resource</v>
      </c>
    </row>
    <row r="459" spans="1:10">
      <c r="A459" s="461"/>
      <c r="B459" s="461"/>
      <c r="C459" s="461"/>
      <c r="D459" s="461"/>
      <c r="E459" s="461"/>
      <c r="F459" s="489" t="str">
        <f t="shared" si="26"/>
        <v/>
      </c>
      <c r="G459" s="464"/>
      <c r="H459" s="462"/>
      <c r="I459" s="70" t="str">
        <f t="shared" si="24"/>
        <v>-</v>
      </c>
      <c r="J459" s="71" t="str">
        <f t="shared" si="25"/>
        <v>resource</v>
      </c>
    </row>
    <row r="460" spans="1:10">
      <c r="A460" s="461"/>
      <c r="B460" s="461"/>
      <c r="C460" s="461"/>
      <c r="D460" s="461"/>
      <c r="E460" s="461"/>
      <c r="F460" s="489" t="str">
        <f t="shared" si="26"/>
        <v/>
      </c>
      <c r="G460" s="464"/>
      <c r="H460" s="462"/>
      <c r="I460" s="70" t="str">
        <f t="shared" si="24"/>
        <v>-</v>
      </c>
      <c r="J460" s="71" t="str">
        <f t="shared" si="25"/>
        <v>resource</v>
      </c>
    </row>
    <row r="461" spans="1:10">
      <c r="A461" s="461"/>
      <c r="B461" s="461"/>
      <c r="C461" s="461"/>
      <c r="D461" s="461"/>
      <c r="E461" s="461"/>
      <c r="F461" s="489" t="str">
        <f t="shared" si="26"/>
        <v/>
      </c>
      <c r="G461" s="464"/>
      <c r="H461" s="462"/>
      <c r="I461" s="70" t="str">
        <f t="shared" si="24"/>
        <v>-</v>
      </c>
      <c r="J461" s="71" t="str">
        <f t="shared" si="25"/>
        <v>resource</v>
      </c>
    </row>
    <row r="462" spans="1:10">
      <c r="A462" s="461"/>
      <c r="B462" s="461"/>
      <c r="C462" s="461"/>
      <c r="D462" s="461"/>
      <c r="E462" s="461"/>
      <c r="F462" s="489" t="str">
        <f t="shared" si="26"/>
        <v/>
      </c>
      <c r="G462" s="464"/>
      <c r="H462" s="462"/>
      <c r="I462" s="70" t="str">
        <f t="shared" si="24"/>
        <v>-</v>
      </c>
      <c r="J462" s="71" t="str">
        <f t="shared" si="25"/>
        <v>resource</v>
      </c>
    </row>
    <row r="463" spans="1:10">
      <c r="A463" s="461"/>
      <c r="B463" s="461"/>
      <c r="C463" s="461"/>
      <c r="D463" s="461"/>
      <c r="E463" s="461"/>
      <c r="F463" s="489" t="str">
        <f t="shared" si="26"/>
        <v/>
      </c>
      <c r="G463" s="464"/>
      <c r="H463" s="462"/>
      <c r="I463" s="70" t="str">
        <f t="shared" si="24"/>
        <v>-</v>
      </c>
      <c r="J463" s="71" t="str">
        <f t="shared" si="25"/>
        <v>resource</v>
      </c>
    </row>
    <row r="464" spans="1:10">
      <c r="A464" s="461"/>
      <c r="B464" s="461"/>
      <c r="C464" s="461"/>
      <c r="D464" s="461"/>
      <c r="E464" s="461"/>
      <c r="F464" s="489" t="str">
        <f t="shared" si="26"/>
        <v/>
      </c>
      <c r="G464" s="464"/>
      <c r="H464" s="462"/>
      <c r="I464" s="70" t="str">
        <f t="shared" si="24"/>
        <v>-</v>
      </c>
      <c r="J464" s="71" t="str">
        <f t="shared" si="25"/>
        <v>resource</v>
      </c>
    </row>
    <row r="465" spans="1:10">
      <c r="A465" s="461"/>
      <c r="B465" s="461"/>
      <c r="C465" s="461"/>
      <c r="D465" s="461"/>
      <c r="E465" s="461"/>
      <c r="F465" s="489" t="str">
        <f t="shared" si="26"/>
        <v/>
      </c>
      <c r="G465" s="464"/>
      <c r="H465" s="462"/>
      <c r="I465" s="70" t="str">
        <f t="shared" si="24"/>
        <v>-</v>
      </c>
      <c r="J465" s="71" t="str">
        <f t="shared" si="25"/>
        <v>resource</v>
      </c>
    </row>
    <row r="466" spans="1:10">
      <c r="A466" s="461"/>
      <c r="B466" s="461"/>
      <c r="C466" s="461"/>
      <c r="D466" s="461"/>
      <c r="E466" s="461"/>
      <c r="F466" s="489" t="str">
        <f t="shared" si="26"/>
        <v/>
      </c>
      <c r="G466" s="464"/>
      <c r="H466" s="462"/>
      <c r="I466" s="70" t="str">
        <f t="shared" si="24"/>
        <v>-</v>
      </c>
      <c r="J466" s="71" t="str">
        <f t="shared" si="25"/>
        <v>resource</v>
      </c>
    </row>
    <row r="467" spans="1:10">
      <c r="A467" s="461"/>
      <c r="B467" s="461"/>
      <c r="C467" s="461"/>
      <c r="D467" s="461"/>
      <c r="E467" s="461"/>
      <c r="F467" s="489" t="str">
        <f t="shared" si="26"/>
        <v/>
      </c>
      <c r="G467" s="464"/>
      <c r="H467" s="462"/>
      <c r="I467" s="70" t="str">
        <f t="shared" si="24"/>
        <v>-</v>
      </c>
      <c r="J467" s="71" t="str">
        <f t="shared" si="25"/>
        <v>resource</v>
      </c>
    </row>
    <row r="468" spans="1:10">
      <c r="A468" s="461"/>
      <c r="B468" s="461"/>
      <c r="C468" s="461"/>
      <c r="D468" s="461"/>
      <c r="E468" s="461"/>
      <c r="F468" s="489" t="str">
        <f t="shared" si="26"/>
        <v/>
      </c>
      <c r="G468" s="464"/>
      <c r="H468" s="462"/>
      <c r="I468" s="70" t="str">
        <f t="shared" si="24"/>
        <v>-</v>
      </c>
      <c r="J468" s="71" t="str">
        <f t="shared" si="25"/>
        <v>resource</v>
      </c>
    </row>
    <row r="469" spans="1:10">
      <c r="A469" s="461"/>
      <c r="B469" s="461"/>
      <c r="C469" s="461"/>
      <c r="D469" s="461"/>
      <c r="E469" s="461"/>
      <c r="F469" s="489" t="str">
        <f t="shared" si="26"/>
        <v/>
      </c>
      <c r="G469" s="464"/>
      <c r="H469" s="462"/>
      <c r="I469" s="70" t="str">
        <f t="shared" si="24"/>
        <v>-</v>
      </c>
      <c r="J469" s="71" t="str">
        <f t="shared" si="25"/>
        <v>resource</v>
      </c>
    </row>
    <row r="470" spans="1:10">
      <c r="A470" s="461"/>
      <c r="B470" s="461"/>
      <c r="C470" s="461"/>
      <c r="D470" s="461"/>
      <c r="E470" s="461"/>
      <c r="F470" s="489" t="str">
        <f t="shared" si="26"/>
        <v/>
      </c>
      <c r="G470" s="464"/>
      <c r="H470" s="462"/>
      <c r="I470" s="70" t="str">
        <f t="shared" si="24"/>
        <v>-</v>
      </c>
      <c r="J470" s="71" t="str">
        <f t="shared" si="25"/>
        <v>resource</v>
      </c>
    </row>
    <row r="471" spans="1:10">
      <c r="A471" s="461"/>
      <c r="B471" s="461"/>
      <c r="C471" s="461"/>
      <c r="D471" s="461"/>
      <c r="E471" s="461"/>
      <c r="F471" s="489" t="str">
        <f t="shared" si="26"/>
        <v/>
      </c>
      <c r="G471" s="464"/>
      <c r="H471" s="462"/>
      <c r="I471" s="70" t="str">
        <f t="shared" si="24"/>
        <v>-</v>
      </c>
      <c r="J471" s="71" t="str">
        <f t="shared" si="25"/>
        <v>resource</v>
      </c>
    </row>
    <row r="472" spans="1:10">
      <c r="A472" s="461"/>
      <c r="B472" s="461"/>
      <c r="C472" s="461"/>
      <c r="D472" s="461"/>
      <c r="E472" s="461"/>
      <c r="F472" s="489" t="str">
        <f t="shared" si="26"/>
        <v/>
      </c>
      <c r="G472" s="464"/>
      <c r="H472" s="462"/>
      <c r="I472" s="70" t="str">
        <f t="shared" si="24"/>
        <v>-</v>
      </c>
      <c r="J472" s="71" t="str">
        <f t="shared" si="25"/>
        <v>resource</v>
      </c>
    </row>
    <row r="473" spans="1:10">
      <c r="A473" s="461"/>
      <c r="B473" s="461"/>
      <c r="C473" s="461"/>
      <c r="D473" s="461"/>
      <c r="E473" s="461"/>
      <c r="F473" s="489" t="str">
        <f t="shared" si="26"/>
        <v/>
      </c>
      <c r="G473" s="464"/>
      <c r="H473" s="462"/>
      <c r="I473" s="70" t="str">
        <f t="shared" si="24"/>
        <v>-</v>
      </c>
      <c r="J473" s="71" t="str">
        <f t="shared" si="25"/>
        <v>resource</v>
      </c>
    </row>
    <row r="474" spans="1:10">
      <c r="A474" s="461"/>
      <c r="B474" s="461"/>
      <c r="C474" s="461"/>
      <c r="D474" s="461"/>
      <c r="E474" s="461"/>
      <c r="F474" s="489" t="str">
        <f t="shared" si="26"/>
        <v/>
      </c>
      <c r="G474" s="464"/>
      <c r="H474" s="462"/>
      <c r="I474" s="70" t="str">
        <f t="shared" si="24"/>
        <v>-</v>
      </c>
      <c r="J474" s="71" t="str">
        <f t="shared" si="25"/>
        <v>resource</v>
      </c>
    </row>
    <row r="475" spans="1:10">
      <c r="A475" s="461"/>
      <c r="B475" s="461"/>
      <c r="C475" s="461"/>
      <c r="D475" s="461"/>
      <c r="E475" s="461"/>
      <c r="F475" s="489" t="str">
        <f t="shared" si="26"/>
        <v/>
      </c>
      <c r="G475" s="464"/>
      <c r="H475" s="462"/>
      <c r="I475" s="70" t="str">
        <f t="shared" si="24"/>
        <v>-</v>
      </c>
      <c r="J475" s="71" t="str">
        <f t="shared" si="25"/>
        <v>resource</v>
      </c>
    </row>
    <row r="476" spans="1:10">
      <c r="A476" s="461"/>
      <c r="B476" s="461"/>
      <c r="C476" s="461"/>
      <c r="D476" s="461"/>
      <c r="E476" s="461"/>
      <c r="F476" s="489" t="str">
        <f t="shared" si="26"/>
        <v/>
      </c>
      <c r="G476" s="464"/>
      <c r="H476" s="462"/>
      <c r="I476" s="70" t="str">
        <f t="shared" si="24"/>
        <v>-</v>
      </c>
      <c r="J476" s="71" t="str">
        <f t="shared" si="25"/>
        <v>resource</v>
      </c>
    </row>
    <row r="477" spans="1:10">
      <c r="A477" s="461"/>
      <c r="B477" s="461"/>
      <c r="C477" s="461"/>
      <c r="D477" s="461"/>
      <c r="E477" s="461"/>
      <c r="F477" s="489" t="str">
        <f t="shared" si="26"/>
        <v/>
      </c>
      <c r="G477" s="464"/>
      <c r="H477" s="462"/>
      <c r="I477" s="70" t="str">
        <f t="shared" si="24"/>
        <v>-</v>
      </c>
      <c r="J477" s="71" t="str">
        <f t="shared" si="25"/>
        <v>resource</v>
      </c>
    </row>
    <row r="478" spans="1:10">
      <c r="A478" s="461"/>
      <c r="B478" s="461"/>
      <c r="C478" s="461"/>
      <c r="D478" s="461"/>
      <c r="E478" s="461"/>
      <c r="F478" s="489" t="str">
        <f t="shared" si="26"/>
        <v/>
      </c>
      <c r="G478" s="464"/>
      <c r="H478" s="462"/>
      <c r="I478" s="70" t="str">
        <f t="shared" si="24"/>
        <v>-</v>
      </c>
      <c r="J478" s="71" t="str">
        <f t="shared" si="25"/>
        <v>resource</v>
      </c>
    </row>
    <row r="479" spans="1:10">
      <c r="A479" s="461"/>
      <c r="B479" s="461"/>
      <c r="C479" s="461"/>
      <c r="D479" s="461"/>
      <c r="E479" s="461"/>
      <c r="F479" s="489" t="str">
        <f t="shared" si="26"/>
        <v/>
      </c>
      <c r="G479" s="464"/>
      <c r="H479" s="462"/>
      <c r="I479" s="70" t="str">
        <f t="shared" si="24"/>
        <v>-</v>
      </c>
      <c r="J479" s="71" t="str">
        <f t="shared" si="25"/>
        <v>resource</v>
      </c>
    </row>
    <row r="480" spans="1:10">
      <c r="A480" s="461"/>
      <c r="B480" s="461"/>
      <c r="C480" s="461"/>
      <c r="D480" s="461"/>
      <c r="E480" s="461"/>
      <c r="F480" s="489" t="str">
        <f t="shared" si="26"/>
        <v/>
      </c>
      <c r="G480" s="464"/>
      <c r="H480" s="462"/>
      <c r="I480" s="70" t="str">
        <f t="shared" si="24"/>
        <v>-</v>
      </c>
      <c r="J480" s="71" t="str">
        <f t="shared" si="25"/>
        <v>resource</v>
      </c>
    </row>
    <row r="481" spans="1:10">
      <c r="A481" s="461"/>
      <c r="B481" s="461"/>
      <c r="C481" s="461"/>
      <c r="D481" s="461"/>
      <c r="E481" s="461"/>
      <c r="F481" s="489" t="str">
        <f t="shared" si="26"/>
        <v/>
      </c>
      <c r="G481" s="464"/>
      <c r="H481" s="462"/>
      <c r="I481" s="70" t="str">
        <f t="shared" si="24"/>
        <v>-</v>
      </c>
      <c r="J481" s="71" t="str">
        <f t="shared" si="25"/>
        <v>resource</v>
      </c>
    </row>
    <row r="482" spans="1:10">
      <c r="A482" s="461"/>
      <c r="B482" s="461"/>
      <c r="C482" s="461"/>
      <c r="D482" s="461"/>
      <c r="E482" s="461"/>
      <c r="F482" s="489" t="str">
        <f t="shared" si="26"/>
        <v/>
      </c>
      <c r="G482" s="464"/>
      <c r="H482" s="462"/>
      <c r="I482" s="70" t="str">
        <f t="shared" si="24"/>
        <v>-</v>
      </c>
      <c r="J482" s="71" t="str">
        <f t="shared" si="25"/>
        <v>resource</v>
      </c>
    </row>
    <row r="483" spans="1:10">
      <c r="A483" s="461"/>
      <c r="B483" s="461"/>
      <c r="C483" s="461"/>
      <c r="D483" s="461"/>
      <c r="E483" s="461"/>
      <c r="F483" s="489" t="str">
        <f t="shared" si="26"/>
        <v/>
      </c>
      <c r="G483" s="464"/>
      <c r="H483" s="462"/>
      <c r="I483" s="70" t="str">
        <f t="shared" si="24"/>
        <v>-</v>
      </c>
      <c r="J483" s="71" t="str">
        <f t="shared" si="25"/>
        <v>resource</v>
      </c>
    </row>
    <row r="484" spans="1:10">
      <c r="A484" s="461"/>
      <c r="B484" s="461"/>
      <c r="C484" s="461"/>
      <c r="D484" s="461"/>
      <c r="E484" s="461"/>
      <c r="F484" s="489" t="str">
        <f t="shared" si="26"/>
        <v/>
      </c>
      <c r="G484" s="464"/>
      <c r="H484" s="462"/>
      <c r="I484" s="70" t="str">
        <f t="shared" si="24"/>
        <v>-</v>
      </c>
      <c r="J484" s="71" t="str">
        <f t="shared" si="25"/>
        <v>resource</v>
      </c>
    </row>
    <row r="485" spans="1:10">
      <c r="A485" s="461"/>
      <c r="B485" s="461"/>
      <c r="C485" s="461"/>
      <c r="D485" s="461"/>
      <c r="E485" s="461"/>
      <c r="F485" s="489" t="str">
        <f t="shared" si="26"/>
        <v/>
      </c>
      <c r="G485" s="464"/>
      <c r="H485" s="462"/>
      <c r="I485" s="70" t="str">
        <f t="shared" si="24"/>
        <v>-</v>
      </c>
      <c r="J485" s="71" t="str">
        <f t="shared" si="25"/>
        <v>resource</v>
      </c>
    </row>
    <row r="486" spans="1:10">
      <c r="A486" s="461"/>
      <c r="B486" s="461"/>
      <c r="C486" s="461"/>
      <c r="D486" s="461"/>
      <c r="E486" s="461"/>
      <c r="F486" s="489" t="str">
        <f t="shared" si="26"/>
        <v/>
      </c>
      <c r="G486" s="464"/>
      <c r="H486" s="462"/>
      <c r="I486" s="70" t="str">
        <f t="shared" si="24"/>
        <v>-</v>
      </c>
      <c r="J486" s="71" t="str">
        <f t="shared" si="25"/>
        <v>resource</v>
      </c>
    </row>
    <row r="487" spans="1:10">
      <c r="A487" s="461"/>
      <c r="B487" s="461"/>
      <c r="C487" s="461"/>
      <c r="D487" s="461"/>
      <c r="E487" s="461"/>
      <c r="F487" s="489" t="str">
        <f t="shared" si="26"/>
        <v/>
      </c>
      <c r="G487" s="464"/>
      <c r="H487" s="462"/>
      <c r="I487" s="70" t="str">
        <f t="shared" si="24"/>
        <v>-</v>
      </c>
      <c r="J487" s="71" t="str">
        <f t="shared" si="25"/>
        <v>resource</v>
      </c>
    </row>
    <row r="488" spans="1:10">
      <c r="A488" s="461"/>
      <c r="B488" s="461"/>
      <c r="C488" s="461"/>
      <c r="D488" s="461"/>
      <c r="E488" s="461"/>
      <c r="F488" s="489" t="str">
        <f t="shared" si="26"/>
        <v/>
      </c>
      <c r="G488" s="464"/>
      <c r="H488" s="462"/>
      <c r="I488" s="70" t="str">
        <f t="shared" si="24"/>
        <v>-</v>
      </c>
      <c r="J488" s="71" t="str">
        <f t="shared" si="25"/>
        <v>resource</v>
      </c>
    </row>
    <row r="489" spans="1:10">
      <c r="A489" s="461"/>
      <c r="B489" s="461"/>
      <c r="C489" s="461"/>
      <c r="D489" s="461"/>
      <c r="E489" s="461"/>
      <c r="F489" s="489" t="str">
        <f t="shared" si="26"/>
        <v/>
      </c>
      <c r="G489" s="464"/>
      <c r="H489" s="462"/>
      <c r="I489" s="70" t="str">
        <f t="shared" si="24"/>
        <v>-</v>
      </c>
      <c r="J489" s="71" t="str">
        <f t="shared" si="25"/>
        <v>resource</v>
      </c>
    </row>
    <row r="490" spans="1:10">
      <c r="A490" s="461"/>
      <c r="B490" s="461"/>
      <c r="C490" s="461"/>
      <c r="D490" s="461"/>
      <c r="E490" s="461"/>
      <c r="F490" s="489" t="str">
        <f t="shared" si="26"/>
        <v/>
      </c>
      <c r="G490" s="464"/>
      <c r="H490" s="462"/>
      <c r="I490" s="70" t="str">
        <f t="shared" si="24"/>
        <v>-</v>
      </c>
      <c r="J490" s="71" t="str">
        <f t="shared" si="25"/>
        <v>resource</v>
      </c>
    </row>
    <row r="491" spans="1:10">
      <c r="A491" s="461"/>
      <c r="B491" s="461"/>
      <c r="C491" s="461"/>
      <c r="D491" s="461"/>
      <c r="E491" s="461"/>
      <c r="F491" s="489" t="str">
        <f t="shared" si="26"/>
        <v/>
      </c>
      <c r="G491" s="464"/>
      <c r="H491" s="462"/>
      <c r="I491" s="70" t="str">
        <f t="shared" si="24"/>
        <v>-</v>
      </c>
      <c r="J491" s="71" t="str">
        <f t="shared" si="25"/>
        <v>resource</v>
      </c>
    </row>
    <row r="492" spans="1:10">
      <c r="A492" s="461"/>
      <c r="B492" s="461"/>
      <c r="C492" s="461"/>
      <c r="D492" s="461"/>
      <c r="E492" s="461"/>
      <c r="F492" s="489" t="str">
        <f t="shared" si="26"/>
        <v/>
      </c>
      <c r="G492" s="464"/>
      <c r="H492" s="462"/>
      <c r="I492" s="70" t="str">
        <f t="shared" si="24"/>
        <v>-</v>
      </c>
      <c r="J492" s="71" t="str">
        <f t="shared" si="25"/>
        <v>resource</v>
      </c>
    </row>
    <row r="493" spans="1:10">
      <c r="A493" s="461"/>
      <c r="B493" s="461"/>
      <c r="C493" s="461"/>
      <c r="D493" s="461"/>
      <c r="E493" s="461"/>
      <c r="F493" s="489" t="str">
        <f t="shared" si="26"/>
        <v/>
      </c>
      <c r="G493" s="464"/>
      <c r="H493" s="462"/>
      <c r="I493" s="70" t="str">
        <f t="shared" si="24"/>
        <v>-</v>
      </c>
      <c r="J493" s="71" t="str">
        <f t="shared" si="25"/>
        <v>resource</v>
      </c>
    </row>
    <row r="494" spans="1:10">
      <c r="A494" s="461"/>
      <c r="B494" s="461"/>
      <c r="C494" s="461"/>
      <c r="D494" s="461"/>
      <c r="E494" s="461"/>
      <c r="F494" s="489" t="str">
        <f t="shared" si="26"/>
        <v/>
      </c>
      <c r="G494" s="464"/>
      <c r="H494" s="462"/>
      <c r="I494" s="70" t="str">
        <f t="shared" si="24"/>
        <v>-</v>
      </c>
      <c r="J494" s="71" t="str">
        <f t="shared" si="25"/>
        <v>resource</v>
      </c>
    </row>
    <row r="495" spans="1:10">
      <c r="A495" s="461"/>
      <c r="B495" s="461"/>
      <c r="C495" s="461"/>
      <c r="D495" s="461"/>
      <c r="E495" s="461"/>
      <c r="F495" s="489" t="str">
        <f t="shared" si="26"/>
        <v/>
      </c>
      <c r="G495" s="464"/>
      <c r="H495" s="462"/>
      <c r="I495" s="70" t="str">
        <f t="shared" si="24"/>
        <v>-</v>
      </c>
      <c r="J495" s="71" t="str">
        <f t="shared" si="25"/>
        <v>resource</v>
      </c>
    </row>
    <row r="496" spans="1:10">
      <c r="A496" s="461"/>
      <c r="B496" s="461"/>
      <c r="C496" s="461"/>
      <c r="D496" s="461"/>
      <c r="E496" s="461"/>
      <c r="F496" s="489" t="str">
        <f t="shared" si="26"/>
        <v/>
      </c>
      <c r="G496" s="464"/>
      <c r="H496" s="462"/>
      <c r="I496" s="70" t="str">
        <f t="shared" si="24"/>
        <v>-</v>
      </c>
      <c r="J496" s="71" t="str">
        <f t="shared" si="25"/>
        <v>resource</v>
      </c>
    </row>
    <row r="497" spans="1:10">
      <c r="A497" s="461"/>
      <c r="B497" s="461"/>
      <c r="C497" s="461"/>
      <c r="D497" s="461"/>
      <c r="E497" s="461"/>
      <c r="F497" s="489" t="str">
        <f t="shared" si="26"/>
        <v/>
      </c>
      <c r="G497" s="464"/>
      <c r="H497" s="462"/>
      <c r="I497" s="70" t="str">
        <f t="shared" si="24"/>
        <v>-</v>
      </c>
      <c r="J497" s="71" t="str">
        <f t="shared" si="25"/>
        <v>resource</v>
      </c>
    </row>
    <row r="498" spans="1:10">
      <c r="A498" s="461"/>
      <c r="B498" s="461"/>
      <c r="C498" s="461"/>
      <c r="D498" s="461"/>
      <c r="E498" s="461"/>
      <c r="F498" s="489" t="str">
        <f t="shared" si="26"/>
        <v/>
      </c>
      <c r="G498" s="464"/>
      <c r="H498" s="462"/>
      <c r="I498" s="70" t="str">
        <f t="shared" si="24"/>
        <v>-</v>
      </c>
      <c r="J498" s="71" t="str">
        <f t="shared" si="25"/>
        <v>resource</v>
      </c>
    </row>
    <row r="499" spans="1:10">
      <c r="A499" s="461"/>
      <c r="B499" s="461"/>
      <c r="C499" s="461"/>
      <c r="D499" s="461"/>
      <c r="E499" s="461"/>
      <c r="F499" s="489" t="str">
        <f t="shared" si="26"/>
        <v/>
      </c>
      <c r="G499" s="464"/>
      <c r="H499" s="462"/>
      <c r="I499" s="70" t="str">
        <f t="shared" si="24"/>
        <v>-</v>
      </c>
      <c r="J499" s="71" t="str">
        <f t="shared" si="25"/>
        <v>resource</v>
      </c>
    </row>
    <row r="500" spans="1:10">
      <c r="A500" s="461"/>
      <c r="B500" s="461"/>
      <c r="C500" s="461"/>
      <c r="D500" s="461"/>
      <c r="E500" s="461"/>
      <c r="F500" s="489" t="str">
        <f t="shared" si="26"/>
        <v/>
      </c>
      <c r="G500" s="464"/>
      <c r="H500" s="462"/>
      <c r="I500" s="70" t="str">
        <f t="shared" si="24"/>
        <v>-</v>
      </c>
      <c r="J500" s="71" t="str">
        <f t="shared" si="25"/>
        <v>resource</v>
      </c>
    </row>
    <row r="501" spans="1:10">
      <c r="A501" s="461"/>
      <c r="B501" s="461"/>
      <c r="C501" s="461"/>
      <c r="D501" s="461"/>
      <c r="E501" s="461"/>
      <c r="F501" s="489" t="str">
        <f t="shared" si="26"/>
        <v/>
      </c>
      <c r="G501" s="464"/>
      <c r="H501" s="462"/>
      <c r="I501" s="70" t="str">
        <f t="shared" si="24"/>
        <v>-</v>
      </c>
      <c r="J501" s="71" t="str">
        <f t="shared" si="25"/>
        <v>resource</v>
      </c>
    </row>
    <row r="502" spans="1:10">
      <c r="A502" s="461"/>
      <c r="B502" s="461"/>
      <c r="C502" s="461"/>
      <c r="D502" s="461"/>
      <c r="E502" s="461"/>
      <c r="F502" s="489" t="str">
        <f t="shared" si="26"/>
        <v/>
      </c>
      <c r="G502" s="464"/>
      <c r="H502" s="462"/>
      <c r="I502" s="70" t="str">
        <f t="shared" si="24"/>
        <v>-</v>
      </c>
      <c r="J502" s="71" t="str">
        <f t="shared" si="25"/>
        <v>resource</v>
      </c>
    </row>
    <row r="503" spans="1:10">
      <c r="A503" s="461"/>
      <c r="B503" s="461"/>
      <c r="C503" s="461"/>
      <c r="D503" s="461"/>
      <c r="E503" s="461"/>
      <c r="F503" s="489" t="str">
        <f t="shared" si="26"/>
        <v/>
      </c>
      <c r="G503" s="464"/>
      <c r="H503" s="462"/>
      <c r="I503" s="70" t="str">
        <f t="shared" si="24"/>
        <v>-</v>
      </c>
      <c r="J503" s="71" t="str">
        <f t="shared" si="25"/>
        <v>resource</v>
      </c>
    </row>
    <row r="504" spans="1:10">
      <c r="A504" s="461"/>
      <c r="B504" s="461"/>
      <c r="C504" s="461"/>
      <c r="D504" s="461"/>
      <c r="E504" s="461"/>
      <c r="F504" s="489" t="str">
        <f t="shared" si="26"/>
        <v/>
      </c>
      <c r="G504" s="464"/>
      <c r="H504" s="462"/>
      <c r="I504" s="70" t="str">
        <f t="shared" si="24"/>
        <v>-</v>
      </c>
      <c r="J504" s="71" t="str">
        <f t="shared" si="25"/>
        <v>resource</v>
      </c>
    </row>
    <row r="505" spans="1:10">
      <c r="A505" s="461"/>
      <c r="B505" s="461"/>
      <c r="C505" s="461"/>
      <c r="D505" s="461"/>
      <c r="E505" s="461"/>
      <c r="F505" s="489" t="str">
        <f t="shared" si="26"/>
        <v/>
      </c>
      <c r="G505" s="464"/>
      <c r="H505" s="462"/>
      <c r="I505" s="70" t="str">
        <f t="shared" si="24"/>
        <v>-</v>
      </c>
      <c r="J505" s="71" t="str">
        <f t="shared" si="25"/>
        <v>resource</v>
      </c>
    </row>
    <row r="506" spans="1:10">
      <c r="A506" s="461"/>
      <c r="B506" s="461"/>
      <c r="C506" s="461"/>
      <c r="D506" s="461"/>
      <c r="E506" s="461"/>
      <c r="F506" s="489" t="str">
        <f t="shared" si="26"/>
        <v/>
      </c>
      <c r="G506" s="464"/>
      <c r="H506" s="462"/>
      <c r="I506" s="70" t="str">
        <f t="shared" si="24"/>
        <v>-</v>
      </c>
      <c r="J506" s="71" t="str">
        <f t="shared" si="25"/>
        <v>resource</v>
      </c>
    </row>
    <row r="507" spans="1:10">
      <c r="A507" s="461"/>
      <c r="B507" s="461"/>
      <c r="C507" s="461"/>
      <c r="D507" s="461"/>
      <c r="E507" s="461"/>
      <c r="F507" s="489" t="str">
        <f t="shared" si="26"/>
        <v/>
      </c>
      <c r="G507" s="464"/>
      <c r="H507" s="462"/>
      <c r="I507" s="70" t="str">
        <f t="shared" si="24"/>
        <v>-</v>
      </c>
      <c r="J507" s="71" t="str">
        <f t="shared" si="25"/>
        <v>resource</v>
      </c>
    </row>
    <row r="508" spans="1:10">
      <c r="A508" s="461"/>
      <c r="B508" s="461"/>
      <c r="C508" s="461"/>
      <c r="D508" s="461"/>
      <c r="E508" s="461"/>
      <c r="F508" s="489" t="str">
        <f t="shared" si="26"/>
        <v/>
      </c>
      <c r="G508" s="464"/>
      <c r="H508" s="462"/>
      <c r="I508" s="70" t="str">
        <f t="shared" si="24"/>
        <v>-</v>
      </c>
      <c r="J508" s="71" t="str">
        <f t="shared" si="25"/>
        <v>resource</v>
      </c>
    </row>
    <row r="509" spans="1:10">
      <c r="A509" s="461"/>
      <c r="B509" s="461"/>
      <c r="C509" s="461"/>
      <c r="D509" s="461"/>
      <c r="E509" s="461"/>
      <c r="F509" s="489" t="str">
        <f t="shared" si="26"/>
        <v/>
      </c>
      <c r="G509" s="464"/>
      <c r="H509" s="462"/>
      <c r="I509" s="70" t="str">
        <f t="shared" si="24"/>
        <v>-</v>
      </c>
      <c r="J509" s="71" t="str">
        <f t="shared" si="25"/>
        <v>resource</v>
      </c>
    </row>
    <row r="510" spans="1:10">
      <c r="A510" s="461"/>
      <c r="B510" s="461"/>
      <c r="C510" s="461"/>
      <c r="D510" s="461"/>
      <c r="E510" s="461"/>
      <c r="F510" s="489" t="str">
        <f t="shared" si="26"/>
        <v/>
      </c>
      <c r="G510" s="464"/>
      <c r="H510" s="462"/>
      <c r="I510" s="70" t="str">
        <f t="shared" si="24"/>
        <v>-</v>
      </c>
      <c r="J510" s="71" t="str">
        <f t="shared" si="25"/>
        <v>resource</v>
      </c>
    </row>
    <row r="511" spans="1:10">
      <c r="A511" s="461"/>
      <c r="B511" s="461"/>
      <c r="C511" s="461"/>
      <c r="D511" s="461"/>
      <c r="E511" s="461"/>
      <c r="F511" s="489" t="str">
        <f t="shared" si="26"/>
        <v/>
      </c>
      <c r="G511" s="464"/>
      <c r="H511" s="462"/>
      <c r="I511" s="70" t="str">
        <f t="shared" si="24"/>
        <v>-</v>
      </c>
      <c r="J511" s="71" t="str">
        <f t="shared" si="25"/>
        <v>resource</v>
      </c>
    </row>
    <row r="512" spans="1:10">
      <c r="A512" s="461"/>
      <c r="B512" s="461"/>
      <c r="C512" s="461"/>
      <c r="D512" s="461"/>
      <c r="E512" s="461"/>
      <c r="F512" s="489" t="str">
        <f t="shared" si="26"/>
        <v/>
      </c>
      <c r="G512" s="464"/>
      <c r="H512" s="462"/>
      <c r="I512" s="70" t="str">
        <f t="shared" si="24"/>
        <v>-</v>
      </c>
      <c r="J512" s="71" t="str">
        <f t="shared" si="25"/>
        <v>resource</v>
      </c>
    </row>
    <row r="513" spans="1:10">
      <c r="A513" s="461"/>
      <c r="B513" s="461"/>
      <c r="C513" s="461"/>
      <c r="D513" s="461"/>
      <c r="E513" s="461"/>
      <c r="F513" s="489" t="str">
        <f t="shared" si="26"/>
        <v/>
      </c>
      <c r="G513" s="464"/>
      <c r="H513" s="462"/>
      <c r="I513" s="70" t="str">
        <f t="shared" si="24"/>
        <v>-</v>
      </c>
      <c r="J513" s="71" t="str">
        <f t="shared" si="25"/>
        <v>resource</v>
      </c>
    </row>
    <row r="514" spans="1:10">
      <c r="A514" s="461"/>
      <c r="B514" s="461"/>
      <c r="C514" s="461"/>
      <c r="D514" s="461"/>
      <c r="E514" s="461"/>
      <c r="F514" s="489" t="str">
        <f t="shared" si="26"/>
        <v/>
      </c>
      <c r="G514" s="464"/>
      <c r="H514" s="462"/>
      <c r="I514" s="70" t="str">
        <f t="shared" ref="I514:I577" si="27">IFERROR(AVERAGEIFS($G:$G,$E:$E,$E514),"-")</f>
        <v>-</v>
      </c>
      <c r="J514" s="71" t="str">
        <f t="shared" ref="J514:J577" si="28">IF($C514="Voice QA",$C514,"resource")</f>
        <v>resource</v>
      </c>
    </row>
    <row r="515" spans="1:10">
      <c r="A515" s="461"/>
      <c r="B515" s="461"/>
      <c r="C515" s="461"/>
      <c r="D515" s="461"/>
      <c r="E515" s="461"/>
      <c r="F515" s="489" t="str">
        <f t="shared" ref="F515:F578" si="29">IF(E515="","","MID")</f>
        <v/>
      </c>
      <c r="G515" s="464"/>
      <c r="H515" s="462"/>
      <c r="I515" s="70" t="str">
        <f t="shared" si="27"/>
        <v>-</v>
      </c>
      <c r="J515" s="71" t="str">
        <f t="shared" si="28"/>
        <v>resource</v>
      </c>
    </row>
    <row r="516" spans="1:10">
      <c r="A516" s="461"/>
      <c r="B516" s="461"/>
      <c r="C516" s="461"/>
      <c r="D516" s="461"/>
      <c r="E516" s="461"/>
      <c r="F516" s="489" t="str">
        <f t="shared" si="29"/>
        <v/>
      </c>
      <c r="G516" s="464"/>
      <c r="H516" s="462"/>
      <c r="I516" s="70" t="str">
        <f t="shared" si="27"/>
        <v>-</v>
      </c>
      <c r="J516" s="71" t="str">
        <f t="shared" si="28"/>
        <v>resource</v>
      </c>
    </row>
    <row r="517" spans="1:10">
      <c r="A517" s="461"/>
      <c r="B517" s="461"/>
      <c r="C517" s="461"/>
      <c r="D517" s="461"/>
      <c r="E517" s="461"/>
      <c r="F517" s="489" t="str">
        <f t="shared" si="29"/>
        <v/>
      </c>
      <c r="G517" s="464"/>
      <c r="H517" s="462"/>
      <c r="I517" s="70" t="str">
        <f t="shared" si="27"/>
        <v>-</v>
      </c>
      <c r="J517" s="71" t="str">
        <f t="shared" si="28"/>
        <v>resource</v>
      </c>
    </row>
    <row r="518" spans="1:10">
      <c r="A518" s="461"/>
      <c r="B518" s="461"/>
      <c r="C518" s="461"/>
      <c r="D518" s="461"/>
      <c r="E518" s="461"/>
      <c r="F518" s="489" t="str">
        <f t="shared" si="29"/>
        <v/>
      </c>
      <c r="G518" s="464"/>
      <c r="H518" s="462"/>
      <c r="I518" s="70" t="str">
        <f t="shared" si="27"/>
        <v>-</v>
      </c>
      <c r="J518" s="71" t="str">
        <f t="shared" si="28"/>
        <v>resource</v>
      </c>
    </row>
    <row r="519" spans="1:10">
      <c r="A519" s="461"/>
      <c r="B519" s="461"/>
      <c r="C519" s="461"/>
      <c r="D519" s="461"/>
      <c r="E519" s="461"/>
      <c r="F519" s="489" t="str">
        <f t="shared" si="29"/>
        <v/>
      </c>
      <c r="G519" s="464"/>
      <c r="H519" s="462"/>
      <c r="I519" s="70" t="str">
        <f t="shared" si="27"/>
        <v>-</v>
      </c>
      <c r="J519" s="71" t="str">
        <f t="shared" si="28"/>
        <v>resource</v>
      </c>
    </row>
    <row r="520" spans="1:10">
      <c r="A520" s="461"/>
      <c r="B520" s="461"/>
      <c r="C520" s="461"/>
      <c r="D520" s="461"/>
      <c r="E520" s="461"/>
      <c r="F520" s="489" t="str">
        <f t="shared" si="29"/>
        <v/>
      </c>
      <c r="G520" s="464"/>
      <c r="H520" s="462"/>
      <c r="I520" s="70" t="str">
        <f t="shared" si="27"/>
        <v>-</v>
      </c>
      <c r="J520" s="71" t="str">
        <f t="shared" si="28"/>
        <v>resource</v>
      </c>
    </row>
    <row r="521" spans="1:10">
      <c r="A521" s="461"/>
      <c r="B521" s="461"/>
      <c r="C521" s="461"/>
      <c r="D521" s="461"/>
      <c r="E521" s="461"/>
      <c r="F521" s="489" t="str">
        <f t="shared" si="29"/>
        <v/>
      </c>
      <c r="G521" s="464"/>
      <c r="H521" s="462"/>
      <c r="I521" s="70" t="str">
        <f t="shared" si="27"/>
        <v>-</v>
      </c>
      <c r="J521" s="71" t="str">
        <f t="shared" si="28"/>
        <v>resource</v>
      </c>
    </row>
    <row r="522" spans="1:10">
      <c r="A522" s="461"/>
      <c r="B522" s="461"/>
      <c r="C522" s="461"/>
      <c r="D522" s="461"/>
      <c r="E522" s="461"/>
      <c r="F522" s="489" t="str">
        <f t="shared" si="29"/>
        <v/>
      </c>
      <c r="G522" s="464"/>
      <c r="H522" s="462"/>
      <c r="I522" s="70" t="str">
        <f t="shared" si="27"/>
        <v>-</v>
      </c>
      <c r="J522" s="71" t="str">
        <f t="shared" si="28"/>
        <v>resource</v>
      </c>
    </row>
    <row r="523" spans="1:10">
      <c r="A523" s="461"/>
      <c r="B523" s="461"/>
      <c r="C523" s="461"/>
      <c r="D523" s="461"/>
      <c r="E523" s="461"/>
      <c r="F523" s="489" t="str">
        <f t="shared" si="29"/>
        <v/>
      </c>
      <c r="G523" s="464"/>
      <c r="H523" s="462"/>
      <c r="I523" s="70" t="str">
        <f t="shared" si="27"/>
        <v>-</v>
      </c>
      <c r="J523" s="71" t="str">
        <f t="shared" si="28"/>
        <v>resource</v>
      </c>
    </row>
    <row r="524" spans="1:10">
      <c r="A524" s="461"/>
      <c r="B524" s="461"/>
      <c r="C524" s="461"/>
      <c r="D524" s="461"/>
      <c r="E524" s="461"/>
      <c r="F524" s="489" t="str">
        <f t="shared" si="29"/>
        <v/>
      </c>
      <c r="G524" s="464"/>
      <c r="H524" s="462"/>
      <c r="I524" s="70" t="str">
        <f t="shared" si="27"/>
        <v>-</v>
      </c>
      <c r="J524" s="71" t="str">
        <f t="shared" si="28"/>
        <v>resource</v>
      </c>
    </row>
    <row r="525" spans="1:10">
      <c r="A525" s="461"/>
      <c r="B525" s="461"/>
      <c r="C525" s="461"/>
      <c r="D525" s="461"/>
      <c r="E525" s="461"/>
      <c r="F525" s="489" t="str">
        <f t="shared" si="29"/>
        <v/>
      </c>
      <c r="G525" s="464"/>
      <c r="H525" s="462"/>
      <c r="I525" s="70" t="str">
        <f t="shared" si="27"/>
        <v>-</v>
      </c>
      <c r="J525" s="71" t="str">
        <f t="shared" si="28"/>
        <v>resource</v>
      </c>
    </row>
    <row r="526" spans="1:10">
      <c r="A526" s="461"/>
      <c r="B526" s="461"/>
      <c r="C526" s="461"/>
      <c r="D526" s="461"/>
      <c r="E526" s="461"/>
      <c r="F526" s="489" t="str">
        <f t="shared" si="29"/>
        <v/>
      </c>
      <c r="G526" s="464"/>
      <c r="H526" s="462"/>
      <c r="I526" s="70" t="str">
        <f t="shared" si="27"/>
        <v>-</v>
      </c>
      <c r="J526" s="71" t="str">
        <f t="shared" si="28"/>
        <v>resource</v>
      </c>
    </row>
    <row r="527" spans="1:10">
      <c r="A527" s="461"/>
      <c r="B527" s="461"/>
      <c r="C527" s="461"/>
      <c r="D527" s="461"/>
      <c r="E527" s="461"/>
      <c r="F527" s="489" t="str">
        <f t="shared" si="29"/>
        <v/>
      </c>
      <c r="G527" s="464"/>
      <c r="H527" s="462"/>
      <c r="I527" s="70" t="str">
        <f t="shared" si="27"/>
        <v>-</v>
      </c>
      <c r="J527" s="71" t="str">
        <f t="shared" si="28"/>
        <v>resource</v>
      </c>
    </row>
    <row r="528" spans="1:10">
      <c r="A528" s="461"/>
      <c r="B528" s="461"/>
      <c r="C528" s="461"/>
      <c r="D528" s="461"/>
      <c r="E528" s="461"/>
      <c r="F528" s="489" t="str">
        <f t="shared" si="29"/>
        <v/>
      </c>
      <c r="G528" s="464"/>
      <c r="H528" s="462"/>
      <c r="I528" s="70" t="str">
        <f t="shared" si="27"/>
        <v>-</v>
      </c>
      <c r="J528" s="71" t="str">
        <f t="shared" si="28"/>
        <v>resource</v>
      </c>
    </row>
    <row r="529" spans="1:10">
      <c r="A529" s="461"/>
      <c r="B529" s="461"/>
      <c r="C529" s="461"/>
      <c r="D529" s="461"/>
      <c r="E529" s="461"/>
      <c r="F529" s="489" t="str">
        <f t="shared" si="29"/>
        <v/>
      </c>
      <c r="G529" s="464"/>
      <c r="H529" s="462"/>
      <c r="I529" s="70" t="str">
        <f t="shared" si="27"/>
        <v>-</v>
      </c>
      <c r="J529" s="71" t="str">
        <f t="shared" si="28"/>
        <v>resource</v>
      </c>
    </row>
    <row r="530" spans="1:10">
      <c r="A530" s="461"/>
      <c r="B530" s="461"/>
      <c r="C530" s="461"/>
      <c r="D530" s="461"/>
      <c r="E530" s="461"/>
      <c r="F530" s="489" t="str">
        <f t="shared" si="29"/>
        <v/>
      </c>
      <c r="G530" s="464"/>
      <c r="H530" s="462"/>
      <c r="I530" s="70" t="str">
        <f t="shared" si="27"/>
        <v>-</v>
      </c>
      <c r="J530" s="71" t="str">
        <f t="shared" si="28"/>
        <v>resource</v>
      </c>
    </row>
    <row r="531" spans="1:10">
      <c r="A531" s="461"/>
      <c r="B531" s="461"/>
      <c r="C531" s="461"/>
      <c r="D531" s="461"/>
      <c r="E531" s="461"/>
      <c r="F531" s="489" t="str">
        <f t="shared" si="29"/>
        <v/>
      </c>
      <c r="G531" s="464"/>
      <c r="H531" s="462"/>
      <c r="I531" s="70" t="str">
        <f t="shared" si="27"/>
        <v>-</v>
      </c>
      <c r="J531" s="71" t="str">
        <f t="shared" si="28"/>
        <v>resource</v>
      </c>
    </row>
    <row r="532" spans="1:10">
      <c r="A532" s="461"/>
      <c r="B532" s="461"/>
      <c r="C532" s="461"/>
      <c r="D532" s="461"/>
      <c r="E532" s="461"/>
      <c r="F532" s="489" t="str">
        <f t="shared" si="29"/>
        <v/>
      </c>
      <c r="G532" s="464"/>
      <c r="H532" s="462"/>
      <c r="I532" s="70" t="str">
        <f t="shared" si="27"/>
        <v>-</v>
      </c>
      <c r="J532" s="71" t="str">
        <f t="shared" si="28"/>
        <v>resource</v>
      </c>
    </row>
    <row r="533" spans="1:10">
      <c r="A533" s="461"/>
      <c r="B533" s="461"/>
      <c r="C533" s="461"/>
      <c r="D533" s="461"/>
      <c r="E533" s="461"/>
      <c r="F533" s="489" t="str">
        <f t="shared" si="29"/>
        <v/>
      </c>
      <c r="G533" s="464"/>
      <c r="H533" s="462"/>
      <c r="I533" s="70" t="str">
        <f t="shared" si="27"/>
        <v>-</v>
      </c>
      <c r="J533" s="71" t="str">
        <f t="shared" si="28"/>
        <v>resource</v>
      </c>
    </row>
    <row r="534" spans="1:10">
      <c r="A534" s="461"/>
      <c r="B534" s="461"/>
      <c r="C534" s="461"/>
      <c r="D534" s="461"/>
      <c r="E534" s="461"/>
      <c r="F534" s="489" t="str">
        <f t="shared" si="29"/>
        <v/>
      </c>
      <c r="G534" s="464"/>
      <c r="H534" s="462"/>
      <c r="I534" s="70" t="str">
        <f t="shared" si="27"/>
        <v>-</v>
      </c>
      <c r="J534" s="71" t="str">
        <f t="shared" si="28"/>
        <v>resource</v>
      </c>
    </row>
    <row r="535" spans="1:10">
      <c r="A535" s="461"/>
      <c r="B535" s="461"/>
      <c r="C535" s="461"/>
      <c r="D535" s="461"/>
      <c r="E535" s="461"/>
      <c r="F535" s="489" t="str">
        <f t="shared" si="29"/>
        <v/>
      </c>
      <c r="G535" s="464"/>
      <c r="H535" s="462"/>
      <c r="I535" s="70" t="str">
        <f t="shared" si="27"/>
        <v>-</v>
      </c>
      <c r="J535" s="71" t="str">
        <f t="shared" si="28"/>
        <v>resource</v>
      </c>
    </row>
    <row r="536" spans="1:10">
      <c r="A536" s="461"/>
      <c r="B536" s="461"/>
      <c r="C536" s="461"/>
      <c r="D536" s="461"/>
      <c r="E536" s="461"/>
      <c r="F536" s="489" t="str">
        <f t="shared" si="29"/>
        <v/>
      </c>
      <c r="G536" s="464"/>
      <c r="H536" s="462"/>
      <c r="I536" s="70" t="str">
        <f t="shared" si="27"/>
        <v>-</v>
      </c>
      <c r="J536" s="71" t="str">
        <f t="shared" si="28"/>
        <v>resource</v>
      </c>
    </row>
    <row r="537" spans="1:10">
      <c r="A537" s="461"/>
      <c r="B537" s="461"/>
      <c r="C537" s="461"/>
      <c r="D537" s="461"/>
      <c r="E537" s="461"/>
      <c r="F537" s="489" t="str">
        <f t="shared" si="29"/>
        <v/>
      </c>
      <c r="G537" s="464"/>
      <c r="H537" s="462"/>
      <c r="I537" s="70" t="str">
        <f t="shared" si="27"/>
        <v>-</v>
      </c>
      <c r="J537" s="71" t="str">
        <f t="shared" si="28"/>
        <v>resource</v>
      </c>
    </row>
    <row r="538" spans="1:10">
      <c r="A538" s="461"/>
      <c r="B538" s="461"/>
      <c r="C538" s="461"/>
      <c r="D538" s="461"/>
      <c r="E538" s="461"/>
      <c r="F538" s="489" t="str">
        <f t="shared" si="29"/>
        <v/>
      </c>
      <c r="G538" s="464"/>
      <c r="H538" s="462"/>
      <c r="I538" s="70" t="str">
        <f t="shared" si="27"/>
        <v>-</v>
      </c>
      <c r="J538" s="71" t="str">
        <f t="shared" si="28"/>
        <v>resource</v>
      </c>
    </row>
    <row r="539" spans="1:10">
      <c r="A539" s="461"/>
      <c r="B539" s="461"/>
      <c r="C539" s="461"/>
      <c r="D539" s="461"/>
      <c r="E539" s="461"/>
      <c r="F539" s="489" t="str">
        <f t="shared" si="29"/>
        <v/>
      </c>
      <c r="G539" s="464"/>
      <c r="H539" s="462"/>
      <c r="I539" s="70" t="str">
        <f t="shared" si="27"/>
        <v>-</v>
      </c>
      <c r="J539" s="71" t="str">
        <f t="shared" si="28"/>
        <v>resource</v>
      </c>
    </row>
    <row r="540" spans="1:10">
      <c r="A540" s="461"/>
      <c r="B540" s="461"/>
      <c r="C540" s="461"/>
      <c r="D540" s="461"/>
      <c r="E540" s="461"/>
      <c r="F540" s="489" t="str">
        <f t="shared" si="29"/>
        <v/>
      </c>
      <c r="G540" s="464"/>
      <c r="H540" s="462"/>
      <c r="I540" s="70" t="str">
        <f t="shared" si="27"/>
        <v>-</v>
      </c>
      <c r="J540" s="71" t="str">
        <f t="shared" si="28"/>
        <v>resource</v>
      </c>
    </row>
    <row r="541" spans="1:10">
      <c r="A541" s="461"/>
      <c r="B541" s="461"/>
      <c r="C541" s="461"/>
      <c r="D541" s="461"/>
      <c r="E541" s="461"/>
      <c r="F541" s="489" t="str">
        <f t="shared" si="29"/>
        <v/>
      </c>
      <c r="G541" s="464"/>
      <c r="H541" s="462"/>
      <c r="I541" s="70" t="str">
        <f t="shared" si="27"/>
        <v>-</v>
      </c>
      <c r="J541" s="71" t="str">
        <f t="shared" si="28"/>
        <v>resource</v>
      </c>
    </row>
    <row r="542" spans="1:10">
      <c r="A542" s="461"/>
      <c r="B542" s="461"/>
      <c r="C542" s="461"/>
      <c r="D542" s="461"/>
      <c r="E542" s="461"/>
      <c r="F542" s="489" t="str">
        <f t="shared" si="29"/>
        <v/>
      </c>
      <c r="G542" s="464"/>
      <c r="H542" s="462"/>
      <c r="I542" s="70" t="str">
        <f t="shared" si="27"/>
        <v>-</v>
      </c>
      <c r="J542" s="71" t="str">
        <f t="shared" si="28"/>
        <v>resource</v>
      </c>
    </row>
    <row r="543" spans="1:10">
      <c r="A543" s="461"/>
      <c r="B543" s="461"/>
      <c r="C543" s="461"/>
      <c r="D543" s="461"/>
      <c r="E543" s="461"/>
      <c r="F543" s="489" t="str">
        <f t="shared" si="29"/>
        <v/>
      </c>
      <c r="G543" s="464"/>
      <c r="H543" s="462"/>
      <c r="I543" s="70" t="str">
        <f t="shared" si="27"/>
        <v>-</v>
      </c>
      <c r="J543" s="71" t="str">
        <f t="shared" si="28"/>
        <v>resource</v>
      </c>
    </row>
    <row r="544" spans="1:10">
      <c r="A544" s="461"/>
      <c r="B544" s="461"/>
      <c r="C544" s="461"/>
      <c r="D544" s="461"/>
      <c r="E544" s="461"/>
      <c r="F544" s="489" t="str">
        <f t="shared" si="29"/>
        <v/>
      </c>
      <c r="G544" s="464"/>
      <c r="H544" s="462"/>
      <c r="I544" s="70" t="str">
        <f t="shared" si="27"/>
        <v>-</v>
      </c>
      <c r="J544" s="71" t="str">
        <f t="shared" si="28"/>
        <v>resource</v>
      </c>
    </row>
    <row r="545" spans="1:10">
      <c r="A545" s="461"/>
      <c r="B545" s="461"/>
      <c r="C545" s="461"/>
      <c r="D545" s="461"/>
      <c r="E545" s="461"/>
      <c r="F545" s="489" t="str">
        <f t="shared" si="29"/>
        <v/>
      </c>
      <c r="G545" s="464"/>
      <c r="H545" s="462"/>
      <c r="I545" s="70" t="str">
        <f t="shared" si="27"/>
        <v>-</v>
      </c>
      <c r="J545" s="71" t="str">
        <f t="shared" si="28"/>
        <v>resource</v>
      </c>
    </row>
    <row r="546" spans="1:10">
      <c r="A546" s="461"/>
      <c r="B546" s="461"/>
      <c r="C546" s="461"/>
      <c r="D546" s="461"/>
      <c r="E546" s="461"/>
      <c r="F546" s="489" t="str">
        <f t="shared" si="29"/>
        <v/>
      </c>
      <c r="G546" s="464"/>
      <c r="H546" s="462"/>
      <c r="I546" s="70" t="str">
        <f t="shared" si="27"/>
        <v>-</v>
      </c>
      <c r="J546" s="71" t="str">
        <f t="shared" si="28"/>
        <v>resource</v>
      </c>
    </row>
    <row r="547" spans="1:10">
      <c r="A547" s="461"/>
      <c r="B547" s="461"/>
      <c r="C547" s="461"/>
      <c r="D547" s="461"/>
      <c r="E547" s="461"/>
      <c r="F547" s="489" t="str">
        <f t="shared" si="29"/>
        <v/>
      </c>
      <c r="G547" s="464"/>
      <c r="H547" s="462"/>
      <c r="I547" s="70" t="str">
        <f t="shared" si="27"/>
        <v>-</v>
      </c>
      <c r="J547" s="71" t="str">
        <f t="shared" si="28"/>
        <v>resource</v>
      </c>
    </row>
    <row r="548" spans="1:10">
      <c r="A548" s="461"/>
      <c r="B548" s="461"/>
      <c r="C548" s="461"/>
      <c r="D548" s="461"/>
      <c r="E548" s="461"/>
      <c r="F548" s="489" t="str">
        <f t="shared" si="29"/>
        <v/>
      </c>
      <c r="G548" s="464"/>
      <c r="H548" s="462"/>
      <c r="I548" s="70" t="str">
        <f t="shared" si="27"/>
        <v>-</v>
      </c>
      <c r="J548" s="71" t="str">
        <f t="shared" si="28"/>
        <v>resource</v>
      </c>
    </row>
    <row r="549" spans="1:10">
      <c r="A549" s="461"/>
      <c r="B549" s="461"/>
      <c r="C549" s="461"/>
      <c r="D549" s="461"/>
      <c r="E549" s="461"/>
      <c r="F549" s="489" t="str">
        <f t="shared" si="29"/>
        <v/>
      </c>
      <c r="G549" s="464"/>
      <c r="H549" s="462"/>
      <c r="I549" s="70" t="str">
        <f t="shared" si="27"/>
        <v>-</v>
      </c>
      <c r="J549" s="71" t="str">
        <f t="shared" si="28"/>
        <v>resource</v>
      </c>
    </row>
    <row r="550" spans="1:10">
      <c r="A550" s="461"/>
      <c r="B550" s="461"/>
      <c r="C550" s="461"/>
      <c r="D550" s="461"/>
      <c r="E550" s="461"/>
      <c r="F550" s="489" t="str">
        <f t="shared" si="29"/>
        <v/>
      </c>
      <c r="G550" s="464"/>
      <c r="H550" s="462"/>
      <c r="I550" s="70" t="str">
        <f t="shared" si="27"/>
        <v>-</v>
      </c>
      <c r="J550" s="71" t="str">
        <f t="shared" si="28"/>
        <v>resource</v>
      </c>
    </row>
    <row r="551" spans="1:10">
      <c r="A551" s="461"/>
      <c r="B551" s="461"/>
      <c r="C551" s="461"/>
      <c r="D551" s="461"/>
      <c r="E551" s="461"/>
      <c r="F551" s="489" t="str">
        <f t="shared" si="29"/>
        <v/>
      </c>
      <c r="G551" s="464"/>
      <c r="H551" s="462"/>
      <c r="I551" s="70" t="str">
        <f t="shared" si="27"/>
        <v>-</v>
      </c>
      <c r="J551" s="71" t="str">
        <f t="shared" si="28"/>
        <v>resource</v>
      </c>
    </row>
    <row r="552" spans="1:10">
      <c r="A552" s="461"/>
      <c r="B552" s="461"/>
      <c r="C552" s="461"/>
      <c r="D552" s="461"/>
      <c r="E552" s="461"/>
      <c r="F552" s="489" t="str">
        <f t="shared" si="29"/>
        <v/>
      </c>
      <c r="G552" s="464"/>
      <c r="H552" s="462"/>
      <c r="I552" s="70" t="str">
        <f t="shared" si="27"/>
        <v>-</v>
      </c>
      <c r="J552" s="71" t="str">
        <f t="shared" si="28"/>
        <v>resource</v>
      </c>
    </row>
    <row r="553" spans="1:10">
      <c r="A553" s="461"/>
      <c r="B553" s="461"/>
      <c r="C553" s="461"/>
      <c r="D553" s="461"/>
      <c r="E553" s="461"/>
      <c r="F553" s="489" t="str">
        <f t="shared" si="29"/>
        <v/>
      </c>
      <c r="G553" s="464"/>
      <c r="H553" s="462"/>
      <c r="I553" s="70" t="str">
        <f t="shared" si="27"/>
        <v>-</v>
      </c>
      <c r="J553" s="71" t="str">
        <f t="shared" si="28"/>
        <v>resource</v>
      </c>
    </row>
    <row r="554" spans="1:10">
      <c r="A554" s="461"/>
      <c r="B554" s="461"/>
      <c r="C554" s="461"/>
      <c r="D554" s="461"/>
      <c r="E554" s="461"/>
      <c r="F554" s="489" t="str">
        <f t="shared" si="29"/>
        <v/>
      </c>
      <c r="G554" s="464"/>
      <c r="H554" s="462"/>
      <c r="I554" s="70" t="str">
        <f t="shared" si="27"/>
        <v>-</v>
      </c>
      <c r="J554" s="71" t="str">
        <f t="shared" si="28"/>
        <v>resource</v>
      </c>
    </row>
    <row r="555" spans="1:10">
      <c r="A555" s="461"/>
      <c r="B555" s="461"/>
      <c r="C555" s="461"/>
      <c r="D555" s="461"/>
      <c r="E555" s="461"/>
      <c r="F555" s="489" t="str">
        <f t="shared" si="29"/>
        <v/>
      </c>
      <c r="G555" s="464"/>
      <c r="H555" s="462"/>
      <c r="I555" s="70" t="str">
        <f t="shared" si="27"/>
        <v>-</v>
      </c>
      <c r="J555" s="71" t="str">
        <f t="shared" si="28"/>
        <v>resource</v>
      </c>
    </row>
    <row r="556" spans="1:10">
      <c r="A556" s="461"/>
      <c r="B556" s="461"/>
      <c r="C556" s="461"/>
      <c r="D556" s="461"/>
      <c r="E556" s="461"/>
      <c r="F556" s="489" t="str">
        <f t="shared" si="29"/>
        <v/>
      </c>
      <c r="G556" s="464"/>
      <c r="H556" s="462"/>
      <c r="I556" s="70" t="str">
        <f t="shared" si="27"/>
        <v>-</v>
      </c>
      <c r="J556" s="71" t="str">
        <f t="shared" si="28"/>
        <v>resource</v>
      </c>
    </row>
    <row r="557" spans="1:10">
      <c r="A557" s="461"/>
      <c r="B557" s="461"/>
      <c r="C557" s="461"/>
      <c r="D557" s="461"/>
      <c r="E557" s="461"/>
      <c r="F557" s="489" t="str">
        <f t="shared" si="29"/>
        <v/>
      </c>
      <c r="G557" s="464"/>
      <c r="H557" s="462"/>
      <c r="I557" s="70" t="str">
        <f t="shared" si="27"/>
        <v>-</v>
      </c>
      <c r="J557" s="71" t="str">
        <f t="shared" si="28"/>
        <v>resource</v>
      </c>
    </row>
    <row r="558" spans="1:10">
      <c r="A558" s="461"/>
      <c r="B558" s="461"/>
      <c r="C558" s="461"/>
      <c r="D558" s="461"/>
      <c r="E558" s="461"/>
      <c r="F558" s="489" t="str">
        <f t="shared" si="29"/>
        <v/>
      </c>
      <c r="G558" s="464"/>
      <c r="H558" s="462"/>
      <c r="I558" s="70" t="str">
        <f t="shared" si="27"/>
        <v>-</v>
      </c>
      <c r="J558" s="71" t="str">
        <f t="shared" si="28"/>
        <v>resource</v>
      </c>
    </row>
    <row r="559" spans="1:10">
      <c r="A559" s="461"/>
      <c r="B559" s="461"/>
      <c r="C559" s="461"/>
      <c r="D559" s="461"/>
      <c r="E559" s="461"/>
      <c r="F559" s="489" t="str">
        <f t="shared" si="29"/>
        <v/>
      </c>
      <c r="G559" s="464"/>
      <c r="H559" s="462"/>
      <c r="I559" s="70" t="str">
        <f t="shared" si="27"/>
        <v>-</v>
      </c>
      <c r="J559" s="71" t="str">
        <f t="shared" si="28"/>
        <v>resource</v>
      </c>
    </row>
    <row r="560" spans="1:10">
      <c r="A560" s="461"/>
      <c r="B560" s="461"/>
      <c r="C560" s="461"/>
      <c r="D560" s="461"/>
      <c r="E560" s="461"/>
      <c r="F560" s="489" t="str">
        <f t="shared" si="29"/>
        <v/>
      </c>
      <c r="G560" s="464"/>
      <c r="H560" s="462"/>
      <c r="I560" s="70" t="str">
        <f t="shared" si="27"/>
        <v>-</v>
      </c>
      <c r="J560" s="71" t="str">
        <f t="shared" si="28"/>
        <v>resource</v>
      </c>
    </row>
    <row r="561" spans="1:10">
      <c r="A561" s="461"/>
      <c r="B561" s="461"/>
      <c r="C561" s="461"/>
      <c r="D561" s="461"/>
      <c r="E561" s="461"/>
      <c r="F561" s="489" t="str">
        <f t="shared" si="29"/>
        <v/>
      </c>
      <c r="G561" s="464"/>
      <c r="H561" s="462"/>
      <c r="I561" s="70" t="str">
        <f t="shared" si="27"/>
        <v>-</v>
      </c>
      <c r="J561" s="71" t="str">
        <f t="shared" si="28"/>
        <v>resource</v>
      </c>
    </row>
    <row r="562" spans="1:10">
      <c r="A562" s="461"/>
      <c r="B562" s="461"/>
      <c r="C562" s="461"/>
      <c r="D562" s="461"/>
      <c r="E562" s="461"/>
      <c r="F562" s="489" t="str">
        <f t="shared" si="29"/>
        <v/>
      </c>
      <c r="G562" s="464"/>
      <c r="H562" s="462"/>
      <c r="I562" s="70" t="str">
        <f t="shared" si="27"/>
        <v>-</v>
      </c>
      <c r="J562" s="71" t="str">
        <f t="shared" si="28"/>
        <v>resource</v>
      </c>
    </row>
    <row r="563" spans="1:10">
      <c r="A563" s="461"/>
      <c r="B563" s="461"/>
      <c r="C563" s="461"/>
      <c r="D563" s="461"/>
      <c r="E563" s="461"/>
      <c r="F563" s="489" t="str">
        <f t="shared" si="29"/>
        <v/>
      </c>
      <c r="G563" s="464"/>
      <c r="H563" s="462"/>
      <c r="I563" s="70" t="str">
        <f t="shared" si="27"/>
        <v>-</v>
      </c>
      <c r="J563" s="71" t="str">
        <f t="shared" si="28"/>
        <v>resource</v>
      </c>
    </row>
    <row r="564" spans="1:10">
      <c r="A564" s="461"/>
      <c r="B564" s="461"/>
      <c r="C564" s="461"/>
      <c r="D564" s="461"/>
      <c r="E564" s="461"/>
      <c r="F564" s="489" t="str">
        <f t="shared" si="29"/>
        <v/>
      </c>
      <c r="G564" s="464"/>
      <c r="H564" s="462"/>
      <c r="I564" s="70" t="str">
        <f t="shared" si="27"/>
        <v>-</v>
      </c>
      <c r="J564" s="71" t="str">
        <f t="shared" si="28"/>
        <v>resource</v>
      </c>
    </row>
    <row r="565" spans="1:10">
      <c r="A565" s="461"/>
      <c r="B565" s="461"/>
      <c r="C565" s="461"/>
      <c r="D565" s="461"/>
      <c r="E565" s="461"/>
      <c r="F565" s="489" t="str">
        <f t="shared" si="29"/>
        <v/>
      </c>
      <c r="G565" s="464"/>
      <c r="H565" s="462"/>
      <c r="I565" s="70" t="str">
        <f t="shared" si="27"/>
        <v>-</v>
      </c>
      <c r="J565" s="71" t="str">
        <f t="shared" si="28"/>
        <v>resource</v>
      </c>
    </row>
    <row r="566" spans="1:10">
      <c r="A566" s="461"/>
      <c r="B566" s="461"/>
      <c r="C566" s="461"/>
      <c r="D566" s="461"/>
      <c r="E566" s="461"/>
      <c r="F566" s="489" t="str">
        <f t="shared" si="29"/>
        <v/>
      </c>
      <c r="G566" s="464"/>
      <c r="H566" s="462"/>
      <c r="I566" s="70" t="str">
        <f t="shared" si="27"/>
        <v>-</v>
      </c>
      <c r="J566" s="71" t="str">
        <f t="shared" si="28"/>
        <v>resource</v>
      </c>
    </row>
    <row r="567" spans="1:10">
      <c r="A567" s="461"/>
      <c r="B567" s="461"/>
      <c r="C567" s="461"/>
      <c r="D567" s="461"/>
      <c r="E567" s="461"/>
      <c r="F567" s="489" t="str">
        <f t="shared" si="29"/>
        <v/>
      </c>
      <c r="G567" s="464"/>
      <c r="H567" s="462"/>
      <c r="I567" s="70" t="str">
        <f t="shared" si="27"/>
        <v>-</v>
      </c>
      <c r="J567" s="71" t="str">
        <f t="shared" si="28"/>
        <v>resource</v>
      </c>
    </row>
    <row r="568" spans="1:10">
      <c r="A568" s="461"/>
      <c r="B568" s="461"/>
      <c r="C568" s="461"/>
      <c r="D568" s="461"/>
      <c r="E568" s="461"/>
      <c r="F568" s="489" t="str">
        <f t="shared" si="29"/>
        <v/>
      </c>
      <c r="G568" s="464"/>
      <c r="H568" s="462"/>
      <c r="I568" s="70" t="str">
        <f t="shared" si="27"/>
        <v>-</v>
      </c>
      <c r="J568" s="71" t="str">
        <f t="shared" si="28"/>
        <v>resource</v>
      </c>
    </row>
    <row r="569" spans="1:10">
      <c r="A569" s="461"/>
      <c r="B569" s="461"/>
      <c r="C569" s="461"/>
      <c r="D569" s="461"/>
      <c r="E569" s="461"/>
      <c r="F569" s="489" t="str">
        <f t="shared" si="29"/>
        <v/>
      </c>
      <c r="G569" s="464"/>
      <c r="H569" s="462"/>
      <c r="I569" s="70" t="str">
        <f t="shared" si="27"/>
        <v>-</v>
      </c>
      <c r="J569" s="71" t="str">
        <f t="shared" si="28"/>
        <v>resource</v>
      </c>
    </row>
    <row r="570" spans="1:10">
      <c r="A570" s="461"/>
      <c r="B570" s="461"/>
      <c r="C570" s="461"/>
      <c r="D570" s="461"/>
      <c r="E570" s="461"/>
      <c r="F570" s="489" t="str">
        <f t="shared" si="29"/>
        <v/>
      </c>
      <c r="G570" s="464"/>
      <c r="H570" s="462"/>
      <c r="I570" s="70" t="str">
        <f t="shared" si="27"/>
        <v>-</v>
      </c>
      <c r="J570" s="71" t="str">
        <f t="shared" si="28"/>
        <v>resource</v>
      </c>
    </row>
    <row r="571" spans="1:10">
      <c r="A571" s="461"/>
      <c r="B571" s="461"/>
      <c r="C571" s="461"/>
      <c r="D571" s="461"/>
      <c r="E571" s="461"/>
      <c r="F571" s="489" t="str">
        <f t="shared" si="29"/>
        <v/>
      </c>
      <c r="G571" s="464"/>
      <c r="H571" s="462"/>
      <c r="I571" s="70" t="str">
        <f t="shared" si="27"/>
        <v>-</v>
      </c>
      <c r="J571" s="71" t="str">
        <f t="shared" si="28"/>
        <v>resource</v>
      </c>
    </row>
    <row r="572" spans="1:10">
      <c r="A572" s="461"/>
      <c r="B572" s="461"/>
      <c r="C572" s="461"/>
      <c r="D572" s="461"/>
      <c r="E572" s="461"/>
      <c r="F572" s="489" t="str">
        <f t="shared" si="29"/>
        <v/>
      </c>
      <c r="G572" s="464"/>
      <c r="H572" s="462"/>
      <c r="I572" s="70" t="str">
        <f t="shared" si="27"/>
        <v>-</v>
      </c>
      <c r="J572" s="71" t="str">
        <f t="shared" si="28"/>
        <v>resource</v>
      </c>
    </row>
    <row r="573" spans="1:10">
      <c r="A573" s="461"/>
      <c r="B573" s="461"/>
      <c r="C573" s="461"/>
      <c r="D573" s="461"/>
      <c r="E573" s="461"/>
      <c r="F573" s="489" t="str">
        <f t="shared" si="29"/>
        <v/>
      </c>
      <c r="G573" s="464"/>
      <c r="H573" s="462"/>
      <c r="I573" s="70" t="str">
        <f t="shared" si="27"/>
        <v>-</v>
      </c>
      <c r="J573" s="71" t="str">
        <f t="shared" si="28"/>
        <v>resource</v>
      </c>
    </row>
    <row r="574" spans="1:10">
      <c r="A574" s="461"/>
      <c r="B574" s="461"/>
      <c r="C574" s="461"/>
      <c r="D574" s="461"/>
      <c r="E574" s="461"/>
      <c r="F574" s="489" t="str">
        <f t="shared" si="29"/>
        <v/>
      </c>
      <c r="G574" s="464"/>
      <c r="H574" s="462"/>
      <c r="I574" s="70" t="str">
        <f t="shared" si="27"/>
        <v>-</v>
      </c>
      <c r="J574" s="71" t="str">
        <f t="shared" si="28"/>
        <v>resource</v>
      </c>
    </row>
    <row r="575" spans="1:10">
      <c r="A575" s="461"/>
      <c r="B575" s="461"/>
      <c r="C575" s="461"/>
      <c r="D575" s="461"/>
      <c r="E575" s="461"/>
      <c r="F575" s="489" t="str">
        <f t="shared" si="29"/>
        <v/>
      </c>
      <c r="G575" s="464"/>
      <c r="H575" s="462"/>
      <c r="I575" s="70" t="str">
        <f t="shared" si="27"/>
        <v>-</v>
      </c>
      <c r="J575" s="71" t="str">
        <f t="shared" si="28"/>
        <v>resource</v>
      </c>
    </row>
    <row r="576" spans="1:10">
      <c r="A576" s="461"/>
      <c r="B576" s="461"/>
      <c r="C576" s="461"/>
      <c r="D576" s="461"/>
      <c r="E576" s="461"/>
      <c r="F576" s="489" t="str">
        <f t="shared" si="29"/>
        <v/>
      </c>
      <c r="G576" s="464"/>
      <c r="H576" s="462"/>
      <c r="I576" s="70" t="str">
        <f t="shared" si="27"/>
        <v>-</v>
      </c>
      <c r="J576" s="71" t="str">
        <f t="shared" si="28"/>
        <v>resource</v>
      </c>
    </row>
    <row r="577" spans="1:10">
      <c r="A577" s="461"/>
      <c r="B577" s="461"/>
      <c r="C577" s="461"/>
      <c r="D577" s="461"/>
      <c r="E577" s="461"/>
      <c r="F577" s="489" t="str">
        <f t="shared" si="29"/>
        <v/>
      </c>
      <c r="G577" s="464"/>
      <c r="H577" s="462"/>
      <c r="I577" s="70" t="str">
        <f t="shared" si="27"/>
        <v>-</v>
      </c>
      <c r="J577" s="71" t="str">
        <f t="shared" si="28"/>
        <v>resource</v>
      </c>
    </row>
    <row r="578" spans="1:10">
      <c r="A578" s="461"/>
      <c r="B578" s="461"/>
      <c r="C578" s="461"/>
      <c r="D578" s="461"/>
      <c r="E578" s="461"/>
      <c r="F578" s="489" t="str">
        <f t="shared" si="29"/>
        <v/>
      </c>
      <c r="G578" s="464"/>
      <c r="H578" s="462"/>
      <c r="I578" s="70" t="str">
        <f t="shared" ref="I578:I641" si="30">IFERROR(AVERAGEIFS($G:$G,$E:$E,$E578),"-")</f>
        <v>-</v>
      </c>
      <c r="J578" s="71" t="str">
        <f t="shared" ref="J578:J641" si="31">IF($C578="Voice QA",$C578,"resource")</f>
        <v>resource</v>
      </c>
    </row>
    <row r="579" spans="1:10">
      <c r="A579" s="461"/>
      <c r="B579" s="461"/>
      <c r="C579" s="461"/>
      <c r="D579" s="461"/>
      <c r="E579" s="461"/>
      <c r="F579" s="489" t="str">
        <f t="shared" ref="F579:F642" si="32">IF(E579="","","MID")</f>
        <v/>
      </c>
      <c r="G579" s="464"/>
      <c r="H579" s="462"/>
      <c r="I579" s="70" t="str">
        <f t="shared" si="30"/>
        <v>-</v>
      </c>
      <c r="J579" s="71" t="str">
        <f t="shared" si="31"/>
        <v>resource</v>
      </c>
    </row>
    <row r="580" spans="1:10">
      <c r="A580" s="461"/>
      <c r="B580" s="461"/>
      <c r="C580" s="461"/>
      <c r="D580" s="461"/>
      <c r="E580" s="461"/>
      <c r="F580" s="489" t="str">
        <f t="shared" si="32"/>
        <v/>
      </c>
      <c r="G580" s="464"/>
      <c r="H580" s="462"/>
      <c r="I580" s="70" t="str">
        <f t="shared" si="30"/>
        <v>-</v>
      </c>
      <c r="J580" s="71" t="str">
        <f t="shared" si="31"/>
        <v>resource</v>
      </c>
    </row>
    <row r="581" spans="1:10">
      <c r="A581" s="461"/>
      <c r="B581" s="461"/>
      <c r="C581" s="461"/>
      <c r="D581" s="461"/>
      <c r="E581" s="461"/>
      <c r="F581" s="489" t="str">
        <f t="shared" si="32"/>
        <v/>
      </c>
      <c r="G581" s="464"/>
      <c r="H581" s="462"/>
      <c r="I581" s="70" t="str">
        <f t="shared" si="30"/>
        <v>-</v>
      </c>
      <c r="J581" s="71" t="str">
        <f t="shared" si="31"/>
        <v>resource</v>
      </c>
    </row>
    <row r="582" spans="1:10">
      <c r="A582" s="461"/>
      <c r="B582" s="461"/>
      <c r="C582" s="461"/>
      <c r="D582" s="461"/>
      <c r="E582" s="461"/>
      <c r="F582" s="489" t="str">
        <f t="shared" si="32"/>
        <v/>
      </c>
      <c r="G582" s="464"/>
      <c r="H582" s="462"/>
      <c r="I582" s="70" t="str">
        <f t="shared" si="30"/>
        <v>-</v>
      </c>
      <c r="J582" s="71" t="str">
        <f t="shared" si="31"/>
        <v>resource</v>
      </c>
    </row>
    <row r="583" spans="1:10">
      <c r="A583" s="461"/>
      <c r="B583" s="461"/>
      <c r="C583" s="461"/>
      <c r="D583" s="461"/>
      <c r="E583" s="461"/>
      <c r="F583" s="489" t="str">
        <f t="shared" si="32"/>
        <v/>
      </c>
      <c r="G583" s="464"/>
      <c r="H583" s="462"/>
      <c r="I583" s="70" t="str">
        <f t="shared" si="30"/>
        <v>-</v>
      </c>
      <c r="J583" s="71" t="str">
        <f t="shared" si="31"/>
        <v>resource</v>
      </c>
    </row>
    <row r="584" spans="1:10">
      <c r="A584" s="461"/>
      <c r="B584" s="461"/>
      <c r="C584" s="461"/>
      <c r="D584" s="461"/>
      <c r="E584" s="461"/>
      <c r="F584" s="489" t="str">
        <f t="shared" si="32"/>
        <v/>
      </c>
      <c r="G584" s="464"/>
      <c r="H584" s="462"/>
      <c r="I584" s="70" t="str">
        <f t="shared" si="30"/>
        <v>-</v>
      </c>
      <c r="J584" s="71" t="str">
        <f t="shared" si="31"/>
        <v>resource</v>
      </c>
    </row>
    <row r="585" spans="1:10">
      <c r="A585" s="461"/>
      <c r="B585" s="461"/>
      <c r="C585" s="461"/>
      <c r="D585" s="461"/>
      <c r="E585" s="461"/>
      <c r="F585" s="489" t="str">
        <f t="shared" si="32"/>
        <v/>
      </c>
      <c r="G585" s="464"/>
      <c r="H585" s="462"/>
      <c r="I585" s="70" t="str">
        <f t="shared" si="30"/>
        <v>-</v>
      </c>
      <c r="J585" s="71" t="str">
        <f t="shared" si="31"/>
        <v>resource</v>
      </c>
    </row>
    <row r="586" spans="1:10">
      <c r="A586" s="461"/>
      <c r="B586" s="461"/>
      <c r="C586" s="461"/>
      <c r="D586" s="461"/>
      <c r="E586" s="461"/>
      <c r="F586" s="489" t="str">
        <f t="shared" si="32"/>
        <v/>
      </c>
      <c r="G586" s="464"/>
      <c r="H586" s="462"/>
      <c r="I586" s="70" t="str">
        <f t="shared" si="30"/>
        <v>-</v>
      </c>
      <c r="J586" s="71" t="str">
        <f t="shared" si="31"/>
        <v>resource</v>
      </c>
    </row>
    <row r="587" spans="1:10">
      <c r="A587" s="461"/>
      <c r="B587" s="461"/>
      <c r="C587" s="461"/>
      <c r="D587" s="461"/>
      <c r="E587" s="461"/>
      <c r="F587" s="489" t="str">
        <f t="shared" si="32"/>
        <v/>
      </c>
      <c r="G587" s="464"/>
      <c r="H587" s="462"/>
      <c r="I587" s="70" t="str">
        <f t="shared" si="30"/>
        <v>-</v>
      </c>
      <c r="J587" s="71" t="str">
        <f t="shared" si="31"/>
        <v>resource</v>
      </c>
    </row>
    <row r="588" spans="1:10">
      <c r="A588" s="461"/>
      <c r="B588" s="461"/>
      <c r="C588" s="461"/>
      <c r="D588" s="461"/>
      <c r="E588" s="461"/>
      <c r="F588" s="489" t="str">
        <f t="shared" si="32"/>
        <v/>
      </c>
      <c r="G588" s="464"/>
      <c r="H588" s="462"/>
      <c r="I588" s="70" t="str">
        <f t="shared" si="30"/>
        <v>-</v>
      </c>
      <c r="J588" s="71" t="str">
        <f t="shared" si="31"/>
        <v>resource</v>
      </c>
    </row>
    <row r="589" spans="1:10">
      <c r="A589" s="461"/>
      <c r="B589" s="461"/>
      <c r="C589" s="461"/>
      <c r="D589" s="461"/>
      <c r="E589" s="461"/>
      <c r="F589" s="489" t="str">
        <f t="shared" si="32"/>
        <v/>
      </c>
      <c r="G589" s="464"/>
      <c r="H589" s="462"/>
      <c r="I589" s="70" t="str">
        <f t="shared" si="30"/>
        <v>-</v>
      </c>
      <c r="J589" s="71" t="str">
        <f t="shared" si="31"/>
        <v>resource</v>
      </c>
    </row>
    <row r="590" spans="1:10">
      <c r="A590" s="461"/>
      <c r="B590" s="461"/>
      <c r="C590" s="461"/>
      <c r="D590" s="461"/>
      <c r="E590" s="461"/>
      <c r="F590" s="489" t="str">
        <f t="shared" si="32"/>
        <v/>
      </c>
      <c r="G590" s="464"/>
      <c r="H590" s="462"/>
      <c r="I590" s="70" t="str">
        <f t="shared" si="30"/>
        <v>-</v>
      </c>
      <c r="J590" s="71" t="str">
        <f t="shared" si="31"/>
        <v>resource</v>
      </c>
    </row>
    <row r="591" spans="1:10">
      <c r="A591" s="461"/>
      <c r="B591" s="461"/>
      <c r="C591" s="461"/>
      <c r="D591" s="461"/>
      <c r="E591" s="461"/>
      <c r="F591" s="489" t="str">
        <f t="shared" si="32"/>
        <v/>
      </c>
      <c r="G591" s="464"/>
      <c r="H591" s="462"/>
      <c r="I591" s="70" t="str">
        <f t="shared" si="30"/>
        <v>-</v>
      </c>
      <c r="J591" s="71" t="str">
        <f t="shared" si="31"/>
        <v>resource</v>
      </c>
    </row>
    <row r="592" spans="1:10">
      <c r="A592" s="461"/>
      <c r="B592" s="461"/>
      <c r="C592" s="461"/>
      <c r="D592" s="461"/>
      <c r="E592" s="461"/>
      <c r="F592" s="489" t="str">
        <f t="shared" si="32"/>
        <v/>
      </c>
      <c r="G592" s="464"/>
      <c r="H592" s="462"/>
      <c r="I592" s="70" t="str">
        <f t="shared" si="30"/>
        <v>-</v>
      </c>
      <c r="J592" s="71" t="str">
        <f t="shared" si="31"/>
        <v>resource</v>
      </c>
    </row>
    <row r="593" spans="1:10">
      <c r="A593" s="461"/>
      <c r="B593" s="461"/>
      <c r="C593" s="461"/>
      <c r="D593" s="461"/>
      <c r="E593" s="461"/>
      <c r="F593" s="489" t="str">
        <f t="shared" si="32"/>
        <v/>
      </c>
      <c r="G593" s="464"/>
      <c r="H593" s="462"/>
      <c r="I593" s="70" t="str">
        <f t="shared" si="30"/>
        <v>-</v>
      </c>
      <c r="J593" s="71" t="str">
        <f t="shared" si="31"/>
        <v>resource</v>
      </c>
    </row>
    <row r="594" spans="1:10">
      <c r="A594" s="461"/>
      <c r="B594" s="461"/>
      <c r="C594" s="461"/>
      <c r="D594" s="461"/>
      <c r="E594" s="461"/>
      <c r="F594" s="489" t="str">
        <f t="shared" si="32"/>
        <v/>
      </c>
      <c r="G594" s="464"/>
      <c r="H594" s="462"/>
      <c r="I594" s="70" t="str">
        <f t="shared" si="30"/>
        <v>-</v>
      </c>
      <c r="J594" s="71" t="str">
        <f t="shared" si="31"/>
        <v>resource</v>
      </c>
    </row>
    <row r="595" spans="1:10">
      <c r="A595" s="461"/>
      <c r="B595" s="461"/>
      <c r="C595" s="461"/>
      <c r="D595" s="461"/>
      <c r="E595" s="461"/>
      <c r="F595" s="489" t="str">
        <f t="shared" si="32"/>
        <v/>
      </c>
      <c r="G595" s="464"/>
      <c r="H595" s="462"/>
      <c r="I595" s="70" t="str">
        <f t="shared" si="30"/>
        <v>-</v>
      </c>
      <c r="J595" s="71" t="str">
        <f t="shared" si="31"/>
        <v>resource</v>
      </c>
    </row>
    <row r="596" spans="1:10">
      <c r="A596" s="461"/>
      <c r="B596" s="461"/>
      <c r="C596" s="461"/>
      <c r="D596" s="461"/>
      <c r="E596" s="461"/>
      <c r="F596" s="489" t="str">
        <f t="shared" si="32"/>
        <v/>
      </c>
      <c r="G596" s="464"/>
      <c r="H596" s="462"/>
      <c r="I596" s="70" t="str">
        <f t="shared" si="30"/>
        <v>-</v>
      </c>
      <c r="J596" s="71" t="str">
        <f t="shared" si="31"/>
        <v>resource</v>
      </c>
    </row>
    <row r="597" spans="1:10">
      <c r="A597" s="461"/>
      <c r="B597" s="461"/>
      <c r="C597" s="461"/>
      <c r="D597" s="461"/>
      <c r="E597" s="461"/>
      <c r="F597" s="489" t="str">
        <f t="shared" si="32"/>
        <v/>
      </c>
      <c r="G597" s="464"/>
      <c r="H597" s="462"/>
      <c r="I597" s="70" t="str">
        <f t="shared" si="30"/>
        <v>-</v>
      </c>
      <c r="J597" s="71" t="str">
        <f t="shared" si="31"/>
        <v>resource</v>
      </c>
    </row>
    <row r="598" spans="1:10">
      <c r="A598" s="461"/>
      <c r="B598" s="461"/>
      <c r="C598" s="461"/>
      <c r="D598" s="461"/>
      <c r="E598" s="461"/>
      <c r="F598" s="489" t="str">
        <f t="shared" si="32"/>
        <v/>
      </c>
      <c r="G598" s="464"/>
      <c r="H598" s="462"/>
      <c r="I598" s="70" t="str">
        <f t="shared" si="30"/>
        <v>-</v>
      </c>
      <c r="J598" s="71" t="str">
        <f t="shared" si="31"/>
        <v>resource</v>
      </c>
    </row>
    <row r="599" spans="1:10">
      <c r="A599" s="461"/>
      <c r="B599" s="461"/>
      <c r="C599" s="461"/>
      <c r="D599" s="461"/>
      <c r="E599" s="461"/>
      <c r="F599" s="489" t="str">
        <f t="shared" si="32"/>
        <v/>
      </c>
      <c r="G599" s="464"/>
      <c r="H599" s="462"/>
      <c r="I599" s="70" t="str">
        <f t="shared" si="30"/>
        <v>-</v>
      </c>
      <c r="J599" s="71" t="str">
        <f t="shared" si="31"/>
        <v>resource</v>
      </c>
    </row>
    <row r="600" spans="1:10">
      <c r="A600" s="461"/>
      <c r="B600" s="461"/>
      <c r="C600" s="461"/>
      <c r="D600" s="461"/>
      <c r="E600" s="461"/>
      <c r="F600" s="489" t="str">
        <f t="shared" si="32"/>
        <v/>
      </c>
      <c r="G600" s="464"/>
      <c r="H600" s="462"/>
      <c r="I600" s="70" t="str">
        <f t="shared" si="30"/>
        <v>-</v>
      </c>
      <c r="J600" s="71" t="str">
        <f t="shared" si="31"/>
        <v>resource</v>
      </c>
    </row>
    <row r="601" spans="1:10">
      <c r="A601" s="461"/>
      <c r="B601" s="461"/>
      <c r="C601" s="461"/>
      <c r="D601" s="461"/>
      <c r="E601" s="461"/>
      <c r="F601" s="489" t="str">
        <f t="shared" si="32"/>
        <v/>
      </c>
      <c r="G601" s="464"/>
      <c r="H601" s="462"/>
      <c r="I601" s="70" t="str">
        <f t="shared" si="30"/>
        <v>-</v>
      </c>
      <c r="J601" s="71" t="str">
        <f t="shared" si="31"/>
        <v>resource</v>
      </c>
    </row>
    <row r="602" spans="1:10">
      <c r="A602" s="461"/>
      <c r="B602" s="461"/>
      <c r="C602" s="461"/>
      <c r="D602" s="461"/>
      <c r="E602" s="461"/>
      <c r="F602" s="489" t="str">
        <f t="shared" si="32"/>
        <v/>
      </c>
      <c r="G602" s="464"/>
      <c r="H602" s="462"/>
      <c r="I602" s="70" t="str">
        <f t="shared" si="30"/>
        <v>-</v>
      </c>
      <c r="J602" s="71" t="str">
        <f t="shared" si="31"/>
        <v>resource</v>
      </c>
    </row>
    <row r="603" spans="1:10">
      <c r="A603" s="461"/>
      <c r="B603" s="461"/>
      <c r="C603" s="461"/>
      <c r="D603" s="461"/>
      <c r="E603" s="461"/>
      <c r="F603" s="489" t="str">
        <f t="shared" si="32"/>
        <v/>
      </c>
      <c r="G603" s="464"/>
      <c r="H603" s="462"/>
      <c r="I603" s="70" t="str">
        <f t="shared" si="30"/>
        <v>-</v>
      </c>
      <c r="J603" s="71" t="str">
        <f t="shared" si="31"/>
        <v>resource</v>
      </c>
    </row>
    <row r="604" spans="1:10">
      <c r="A604" s="461"/>
      <c r="B604" s="461"/>
      <c r="C604" s="461"/>
      <c r="D604" s="461"/>
      <c r="E604" s="461"/>
      <c r="F604" s="489" t="str">
        <f t="shared" si="32"/>
        <v/>
      </c>
      <c r="G604" s="464"/>
      <c r="H604" s="462"/>
      <c r="I604" s="70" t="str">
        <f t="shared" si="30"/>
        <v>-</v>
      </c>
      <c r="J604" s="71" t="str">
        <f t="shared" si="31"/>
        <v>resource</v>
      </c>
    </row>
    <row r="605" spans="1:10">
      <c r="A605" s="461"/>
      <c r="B605" s="461"/>
      <c r="C605" s="461"/>
      <c r="D605" s="461"/>
      <c r="E605" s="461"/>
      <c r="F605" s="489" t="str">
        <f t="shared" si="32"/>
        <v/>
      </c>
      <c r="G605" s="464"/>
      <c r="H605" s="462"/>
      <c r="I605" s="70" t="str">
        <f t="shared" si="30"/>
        <v>-</v>
      </c>
      <c r="J605" s="71" t="str">
        <f t="shared" si="31"/>
        <v>resource</v>
      </c>
    </row>
    <row r="606" spans="1:10">
      <c r="A606" s="461"/>
      <c r="B606" s="461"/>
      <c r="C606" s="461"/>
      <c r="D606" s="461"/>
      <c r="E606" s="461"/>
      <c r="F606" s="489" t="str">
        <f t="shared" si="32"/>
        <v/>
      </c>
      <c r="G606" s="464"/>
      <c r="H606" s="462"/>
      <c r="I606" s="70" t="str">
        <f t="shared" si="30"/>
        <v>-</v>
      </c>
      <c r="J606" s="71" t="str">
        <f t="shared" si="31"/>
        <v>resource</v>
      </c>
    </row>
    <row r="607" spans="1:10">
      <c r="A607" s="461"/>
      <c r="B607" s="461"/>
      <c r="C607" s="461"/>
      <c r="D607" s="461"/>
      <c r="E607" s="461"/>
      <c r="F607" s="489" t="str">
        <f t="shared" si="32"/>
        <v/>
      </c>
      <c r="G607" s="464"/>
      <c r="H607" s="462"/>
      <c r="I607" s="70" t="str">
        <f t="shared" si="30"/>
        <v>-</v>
      </c>
      <c r="J607" s="71" t="str">
        <f t="shared" si="31"/>
        <v>resource</v>
      </c>
    </row>
    <row r="608" spans="1:10">
      <c r="A608" s="461"/>
      <c r="B608" s="461"/>
      <c r="C608" s="461"/>
      <c r="D608" s="461"/>
      <c r="E608" s="461"/>
      <c r="F608" s="489" t="str">
        <f t="shared" si="32"/>
        <v/>
      </c>
      <c r="G608" s="464"/>
      <c r="H608" s="462"/>
      <c r="I608" s="70" t="str">
        <f t="shared" si="30"/>
        <v>-</v>
      </c>
      <c r="J608" s="71" t="str">
        <f t="shared" si="31"/>
        <v>resource</v>
      </c>
    </row>
    <row r="609" spans="1:10">
      <c r="A609" s="461"/>
      <c r="B609" s="461"/>
      <c r="C609" s="461"/>
      <c r="D609" s="461"/>
      <c r="E609" s="461"/>
      <c r="F609" s="489" t="str">
        <f t="shared" si="32"/>
        <v/>
      </c>
      <c r="G609" s="464"/>
      <c r="H609" s="462"/>
      <c r="I609" s="70" t="str">
        <f t="shared" si="30"/>
        <v>-</v>
      </c>
      <c r="J609" s="71" t="str">
        <f t="shared" si="31"/>
        <v>resource</v>
      </c>
    </row>
    <row r="610" spans="1:10">
      <c r="A610" s="461"/>
      <c r="B610" s="461"/>
      <c r="C610" s="461"/>
      <c r="D610" s="461"/>
      <c r="E610" s="461"/>
      <c r="F610" s="489" t="str">
        <f t="shared" si="32"/>
        <v/>
      </c>
      <c r="G610" s="464"/>
      <c r="H610" s="462"/>
      <c r="I610" s="70" t="str">
        <f t="shared" si="30"/>
        <v>-</v>
      </c>
      <c r="J610" s="71" t="str">
        <f t="shared" si="31"/>
        <v>resource</v>
      </c>
    </row>
    <row r="611" spans="1:10">
      <c r="A611" s="461"/>
      <c r="B611" s="461"/>
      <c r="C611" s="461"/>
      <c r="D611" s="461"/>
      <c r="E611" s="461"/>
      <c r="F611" s="489" t="str">
        <f t="shared" si="32"/>
        <v/>
      </c>
      <c r="G611" s="464"/>
      <c r="H611" s="462"/>
      <c r="I611" s="70" t="str">
        <f t="shared" si="30"/>
        <v>-</v>
      </c>
      <c r="J611" s="71" t="str">
        <f t="shared" si="31"/>
        <v>resource</v>
      </c>
    </row>
    <row r="612" spans="1:10">
      <c r="A612" s="461"/>
      <c r="B612" s="461"/>
      <c r="C612" s="461"/>
      <c r="D612" s="461"/>
      <c r="E612" s="461"/>
      <c r="F612" s="489" t="str">
        <f t="shared" si="32"/>
        <v/>
      </c>
      <c r="G612" s="464"/>
      <c r="H612" s="462"/>
      <c r="I612" s="70" t="str">
        <f t="shared" si="30"/>
        <v>-</v>
      </c>
      <c r="J612" s="71" t="str">
        <f t="shared" si="31"/>
        <v>resource</v>
      </c>
    </row>
    <row r="613" spans="1:10">
      <c r="A613" s="461"/>
      <c r="B613" s="461"/>
      <c r="C613" s="461"/>
      <c r="D613" s="461"/>
      <c r="E613" s="461"/>
      <c r="F613" s="489" t="str">
        <f t="shared" si="32"/>
        <v/>
      </c>
      <c r="G613" s="464"/>
      <c r="H613" s="462"/>
      <c r="I613" s="70" t="str">
        <f t="shared" si="30"/>
        <v>-</v>
      </c>
      <c r="J613" s="71" t="str">
        <f t="shared" si="31"/>
        <v>resource</v>
      </c>
    </row>
    <row r="614" spans="1:10">
      <c r="A614" s="461"/>
      <c r="B614" s="461"/>
      <c r="C614" s="461"/>
      <c r="D614" s="461"/>
      <c r="E614" s="461"/>
      <c r="F614" s="489" t="str">
        <f t="shared" si="32"/>
        <v/>
      </c>
      <c r="G614" s="464"/>
      <c r="H614" s="462"/>
      <c r="I614" s="70" t="str">
        <f t="shared" si="30"/>
        <v>-</v>
      </c>
      <c r="J614" s="71" t="str">
        <f t="shared" si="31"/>
        <v>resource</v>
      </c>
    </row>
    <row r="615" spans="1:10">
      <c r="A615" s="461"/>
      <c r="B615" s="461"/>
      <c r="C615" s="461"/>
      <c r="D615" s="461"/>
      <c r="E615" s="461"/>
      <c r="F615" s="489" t="str">
        <f t="shared" si="32"/>
        <v/>
      </c>
      <c r="G615" s="464"/>
      <c r="H615" s="462"/>
      <c r="I615" s="70" t="str">
        <f t="shared" si="30"/>
        <v>-</v>
      </c>
      <c r="J615" s="71" t="str">
        <f t="shared" si="31"/>
        <v>resource</v>
      </c>
    </row>
    <row r="616" spans="1:10">
      <c r="A616" s="461"/>
      <c r="B616" s="461"/>
      <c r="C616" s="461"/>
      <c r="D616" s="461"/>
      <c r="E616" s="461"/>
      <c r="F616" s="489" t="str">
        <f t="shared" si="32"/>
        <v/>
      </c>
      <c r="G616" s="464"/>
      <c r="H616" s="462"/>
      <c r="I616" s="70" t="str">
        <f t="shared" si="30"/>
        <v>-</v>
      </c>
      <c r="J616" s="71" t="str">
        <f t="shared" si="31"/>
        <v>resource</v>
      </c>
    </row>
    <row r="617" spans="1:10">
      <c r="A617" s="461"/>
      <c r="B617" s="461"/>
      <c r="C617" s="461"/>
      <c r="D617" s="461"/>
      <c r="E617" s="461"/>
      <c r="F617" s="489" t="str">
        <f t="shared" si="32"/>
        <v/>
      </c>
      <c r="G617" s="464"/>
      <c r="H617" s="462"/>
      <c r="I617" s="70" t="str">
        <f t="shared" si="30"/>
        <v>-</v>
      </c>
      <c r="J617" s="71" t="str">
        <f t="shared" si="31"/>
        <v>resource</v>
      </c>
    </row>
    <row r="618" spans="1:10">
      <c r="A618" s="461"/>
      <c r="B618" s="461"/>
      <c r="C618" s="461"/>
      <c r="D618" s="461"/>
      <c r="E618" s="461"/>
      <c r="F618" s="489" t="str">
        <f t="shared" si="32"/>
        <v/>
      </c>
      <c r="G618" s="464"/>
      <c r="H618" s="462"/>
      <c r="I618" s="70" t="str">
        <f t="shared" si="30"/>
        <v>-</v>
      </c>
      <c r="J618" s="71" t="str">
        <f t="shared" si="31"/>
        <v>resource</v>
      </c>
    </row>
    <row r="619" spans="1:10">
      <c r="A619" s="461"/>
      <c r="B619" s="461"/>
      <c r="C619" s="461"/>
      <c r="D619" s="461"/>
      <c r="E619" s="461"/>
      <c r="F619" s="489" t="str">
        <f t="shared" si="32"/>
        <v/>
      </c>
      <c r="G619" s="464"/>
      <c r="H619" s="462"/>
      <c r="I619" s="70" t="str">
        <f t="shared" si="30"/>
        <v>-</v>
      </c>
      <c r="J619" s="71" t="str">
        <f t="shared" si="31"/>
        <v>resource</v>
      </c>
    </row>
    <row r="620" spans="1:10">
      <c r="A620" s="461"/>
      <c r="B620" s="461"/>
      <c r="C620" s="461"/>
      <c r="D620" s="461"/>
      <c r="E620" s="461"/>
      <c r="F620" s="489" t="str">
        <f t="shared" si="32"/>
        <v/>
      </c>
      <c r="G620" s="464"/>
      <c r="H620" s="462"/>
      <c r="I620" s="70" t="str">
        <f t="shared" si="30"/>
        <v>-</v>
      </c>
      <c r="J620" s="71" t="str">
        <f t="shared" si="31"/>
        <v>resource</v>
      </c>
    </row>
    <row r="621" spans="1:10">
      <c r="A621" s="461"/>
      <c r="B621" s="461"/>
      <c r="C621" s="461"/>
      <c r="D621" s="461"/>
      <c r="E621" s="461"/>
      <c r="F621" s="489" t="str">
        <f t="shared" si="32"/>
        <v/>
      </c>
      <c r="G621" s="464"/>
      <c r="H621" s="462"/>
      <c r="I621" s="70" t="str">
        <f t="shared" si="30"/>
        <v>-</v>
      </c>
      <c r="J621" s="71" t="str">
        <f t="shared" si="31"/>
        <v>resource</v>
      </c>
    </row>
    <row r="622" spans="1:10">
      <c r="A622" s="461"/>
      <c r="B622" s="461"/>
      <c r="C622" s="461"/>
      <c r="D622" s="461"/>
      <c r="E622" s="461"/>
      <c r="F622" s="489" t="str">
        <f t="shared" si="32"/>
        <v/>
      </c>
      <c r="G622" s="464"/>
      <c r="H622" s="462"/>
      <c r="I622" s="70" t="str">
        <f t="shared" si="30"/>
        <v>-</v>
      </c>
      <c r="J622" s="71" t="str">
        <f t="shared" si="31"/>
        <v>resource</v>
      </c>
    </row>
    <row r="623" spans="1:10">
      <c r="A623" s="461"/>
      <c r="B623" s="461"/>
      <c r="C623" s="461"/>
      <c r="D623" s="461"/>
      <c r="E623" s="461"/>
      <c r="F623" s="489" t="str">
        <f t="shared" si="32"/>
        <v/>
      </c>
      <c r="G623" s="464"/>
      <c r="H623" s="462"/>
      <c r="I623" s="70" t="str">
        <f t="shared" si="30"/>
        <v>-</v>
      </c>
      <c r="J623" s="71" t="str">
        <f t="shared" si="31"/>
        <v>resource</v>
      </c>
    </row>
    <row r="624" spans="1:10">
      <c r="A624" s="461"/>
      <c r="B624" s="461"/>
      <c r="C624" s="461"/>
      <c r="D624" s="461"/>
      <c r="E624" s="461"/>
      <c r="F624" s="489" t="str">
        <f t="shared" si="32"/>
        <v/>
      </c>
      <c r="G624" s="464"/>
      <c r="H624" s="462"/>
      <c r="I624" s="70" t="str">
        <f t="shared" si="30"/>
        <v>-</v>
      </c>
      <c r="J624" s="71" t="str">
        <f t="shared" si="31"/>
        <v>resource</v>
      </c>
    </row>
    <row r="625" spans="1:10">
      <c r="A625" s="461"/>
      <c r="B625" s="461"/>
      <c r="C625" s="461"/>
      <c r="D625" s="461"/>
      <c r="E625" s="461"/>
      <c r="F625" s="489" t="str">
        <f t="shared" si="32"/>
        <v/>
      </c>
      <c r="G625" s="464"/>
      <c r="H625" s="462"/>
      <c r="I625" s="70" t="str">
        <f t="shared" si="30"/>
        <v>-</v>
      </c>
      <c r="J625" s="71" t="str">
        <f t="shared" si="31"/>
        <v>resource</v>
      </c>
    </row>
    <row r="626" spans="1:10">
      <c r="A626" s="461"/>
      <c r="B626" s="461"/>
      <c r="C626" s="461"/>
      <c r="D626" s="461"/>
      <c r="E626" s="461"/>
      <c r="F626" s="489" t="str">
        <f t="shared" si="32"/>
        <v/>
      </c>
      <c r="G626" s="464"/>
      <c r="H626" s="462"/>
      <c r="I626" s="70" t="str">
        <f t="shared" si="30"/>
        <v>-</v>
      </c>
      <c r="J626" s="71" t="str">
        <f t="shared" si="31"/>
        <v>resource</v>
      </c>
    </row>
    <row r="627" spans="1:10">
      <c r="A627" s="461"/>
      <c r="B627" s="461"/>
      <c r="C627" s="461"/>
      <c r="D627" s="461"/>
      <c r="E627" s="461"/>
      <c r="F627" s="489" t="str">
        <f t="shared" si="32"/>
        <v/>
      </c>
      <c r="G627" s="464"/>
      <c r="H627" s="462"/>
      <c r="I627" s="70" t="str">
        <f t="shared" si="30"/>
        <v>-</v>
      </c>
      <c r="J627" s="71" t="str">
        <f t="shared" si="31"/>
        <v>resource</v>
      </c>
    </row>
    <row r="628" spans="1:10">
      <c r="A628" s="461"/>
      <c r="B628" s="461"/>
      <c r="C628" s="461"/>
      <c r="D628" s="461"/>
      <c r="E628" s="461"/>
      <c r="F628" s="489" t="str">
        <f t="shared" si="32"/>
        <v/>
      </c>
      <c r="G628" s="464"/>
      <c r="H628" s="462"/>
      <c r="I628" s="70" t="str">
        <f t="shared" si="30"/>
        <v>-</v>
      </c>
      <c r="J628" s="71" t="str">
        <f t="shared" si="31"/>
        <v>resource</v>
      </c>
    </row>
    <row r="629" spans="1:10">
      <c r="A629" s="461"/>
      <c r="B629" s="461"/>
      <c r="C629" s="461"/>
      <c r="D629" s="461"/>
      <c r="E629" s="461"/>
      <c r="F629" s="489" t="str">
        <f t="shared" si="32"/>
        <v/>
      </c>
      <c r="G629" s="464"/>
      <c r="H629" s="462"/>
      <c r="I629" s="70" t="str">
        <f t="shared" si="30"/>
        <v>-</v>
      </c>
      <c r="J629" s="71" t="str">
        <f t="shared" si="31"/>
        <v>resource</v>
      </c>
    </row>
    <row r="630" spans="1:10">
      <c r="A630" s="461"/>
      <c r="B630" s="461"/>
      <c r="C630" s="461"/>
      <c r="D630" s="461"/>
      <c r="E630" s="461"/>
      <c r="F630" s="489" t="str">
        <f t="shared" si="32"/>
        <v/>
      </c>
      <c r="G630" s="464"/>
      <c r="H630" s="462"/>
      <c r="I630" s="70" t="str">
        <f t="shared" si="30"/>
        <v>-</v>
      </c>
      <c r="J630" s="71" t="str">
        <f t="shared" si="31"/>
        <v>resource</v>
      </c>
    </row>
    <row r="631" spans="1:10">
      <c r="A631" s="461"/>
      <c r="B631" s="461"/>
      <c r="C631" s="461"/>
      <c r="D631" s="461"/>
      <c r="E631" s="461"/>
      <c r="F631" s="489" t="str">
        <f t="shared" si="32"/>
        <v/>
      </c>
      <c r="G631" s="464"/>
      <c r="H631" s="462"/>
      <c r="I631" s="70" t="str">
        <f t="shared" si="30"/>
        <v>-</v>
      </c>
      <c r="J631" s="71" t="str">
        <f t="shared" si="31"/>
        <v>resource</v>
      </c>
    </row>
    <row r="632" spans="1:10">
      <c r="A632" s="461"/>
      <c r="B632" s="461"/>
      <c r="C632" s="461"/>
      <c r="D632" s="461"/>
      <c r="E632" s="461"/>
      <c r="F632" s="489" t="str">
        <f t="shared" si="32"/>
        <v/>
      </c>
      <c r="G632" s="464"/>
      <c r="H632" s="462"/>
      <c r="I632" s="70" t="str">
        <f t="shared" si="30"/>
        <v>-</v>
      </c>
      <c r="J632" s="71" t="str">
        <f t="shared" si="31"/>
        <v>resource</v>
      </c>
    </row>
    <row r="633" spans="1:10">
      <c r="A633" s="461"/>
      <c r="B633" s="461"/>
      <c r="C633" s="461"/>
      <c r="D633" s="461"/>
      <c r="E633" s="461"/>
      <c r="F633" s="489" t="str">
        <f t="shared" si="32"/>
        <v/>
      </c>
      <c r="G633" s="464"/>
      <c r="H633" s="462"/>
      <c r="I633" s="70" t="str">
        <f t="shared" si="30"/>
        <v>-</v>
      </c>
      <c r="J633" s="71" t="str">
        <f t="shared" si="31"/>
        <v>resource</v>
      </c>
    </row>
    <row r="634" spans="1:10">
      <c r="A634" s="461"/>
      <c r="B634" s="461"/>
      <c r="C634" s="461"/>
      <c r="D634" s="461"/>
      <c r="E634" s="461"/>
      <c r="F634" s="489" t="str">
        <f t="shared" si="32"/>
        <v/>
      </c>
      <c r="G634" s="464"/>
      <c r="H634" s="462"/>
      <c r="I634" s="70" t="str">
        <f t="shared" si="30"/>
        <v>-</v>
      </c>
      <c r="J634" s="71" t="str">
        <f t="shared" si="31"/>
        <v>resource</v>
      </c>
    </row>
    <row r="635" spans="1:10">
      <c r="A635" s="461"/>
      <c r="B635" s="461"/>
      <c r="C635" s="461"/>
      <c r="D635" s="461"/>
      <c r="E635" s="461"/>
      <c r="F635" s="489" t="str">
        <f t="shared" si="32"/>
        <v/>
      </c>
      <c r="G635" s="464"/>
      <c r="H635" s="462"/>
      <c r="I635" s="70" t="str">
        <f t="shared" si="30"/>
        <v>-</v>
      </c>
      <c r="J635" s="71" t="str">
        <f t="shared" si="31"/>
        <v>resource</v>
      </c>
    </row>
    <row r="636" spans="1:10">
      <c r="A636" s="461"/>
      <c r="B636" s="461"/>
      <c r="C636" s="461"/>
      <c r="D636" s="461"/>
      <c r="E636" s="461"/>
      <c r="F636" s="489" t="str">
        <f t="shared" si="32"/>
        <v/>
      </c>
      <c r="G636" s="464"/>
      <c r="H636" s="462"/>
      <c r="I636" s="70" t="str">
        <f t="shared" si="30"/>
        <v>-</v>
      </c>
      <c r="J636" s="71" t="str">
        <f t="shared" si="31"/>
        <v>resource</v>
      </c>
    </row>
    <row r="637" spans="1:10">
      <c r="A637" s="461"/>
      <c r="B637" s="461"/>
      <c r="C637" s="461"/>
      <c r="D637" s="461"/>
      <c r="E637" s="461"/>
      <c r="F637" s="489" t="str">
        <f t="shared" si="32"/>
        <v/>
      </c>
      <c r="G637" s="464"/>
      <c r="H637" s="462"/>
      <c r="I637" s="70" t="str">
        <f t="shared" si="30"/>
        <v>-</v>
      </c>
      <c r="J637" s="71" t="str">
        <f t="shared" si="31"/>
        <v>resource</v>
      </c>
    </row>
    <row r="638" spans="1:10">
      <c r="A638" s="461"/>
      <c r="B638" s="461"/>
      <c r="C638" s="461"/>
      <c r="D638" s="461"/>
      <c r="E638" s="461"/>
      <c r="F638" s="489" t="str">
        <f t="shared" si="32"/>
        <v/>
      </c>
      <c r="G638" s="464"/>
      <c r="H638" s="462"/>
      <c r="I638" s="70" t="str">
        <f t="shared" si="30"/>
        <v>-</v>
      </c>
      <c r="J638" s="71" t="str">
        <f t="shared" si="31"/>
        <v>resource</v>
      </c>
    </row>
    <row r="639" spans="1:10">
      <c r="A639" s="461"/>
      <c r="B639" s="461"/>
      <c r="C639" s="461"/>
      <c r="D639" s="461"/>
      <c r="E639" s="461"/>
      <c r="F639" s="489" t="str">
        <f t="shared" si="32"/>
        <v/>
      </c>
      <c r="G639" s="464"/>
      <c r="H639" s="462"/>
      <c r="I639" s="70" t="str">
        <f t="shared" si="30"/>
        <v>-</v>
      </c>
      <c r="J639" s="71" t="str">
        <f t="shared" si="31"/>
        <v>resource</v>
      </c>
    </row>
    <row r="640" spans="1:10">
      <c r="A640" s="461"/>
      <c r="B640" s="461"/>
      <c r="C640" s="461"/>
      <c r="D640" s="461"/>
      <c r="E640" s="461"/>
      <c r="F640" s="489" t="str">
        <f t="shared" si="32"/>
        <v/>
      </c>
      <c r="G640" s="464"/>
      <c r="H640" s="462"/>
      <c r="I640" s="70" t="str">
        <f t="shared" si="30"/>
        <v>-</v>
      </c>
      <c r="J640" s="71" t="str">
        <f t="shared" si="31"/>
        <v>resource</v>
      </c>
    </row>
    <row r="641" spans="1:10">
      <c r="A641" s="461"/>
      <c r="B641" s="461"/>
      <c r="C641" s="461"/>
      <c r="D641" s="461"/>
      <c r="E641" s="461"/>
      <c r="F641" s="489" t="str">
        <f t="shared" si="32"/>
        <v/>
      </c>
      <c r="G641" s="464"/>
      <c r="H641" s="462"/>
      <c r="I641" s="70" t="str">
        <f t="shared" si="30"/>
        <v>-</v>
      </c>
      <c r="J641" s="71" t="str">
        <f t="shared" si="31"/>
        <v>resource</v>
      </c>
    </row>
    <row r="642" spans="1:10">
      <c r="A642" s="461"/>
      <c r="B642" s="461"/>
      <c r="C642" s="461"/>
      <c r="D642" s="461"/>
      <c r="E642" s="461"/>
      <c r="F642" s="489" t="str">
        <f t="shared" si="32"/>
        <v/>
      </c>
      <c r="G642" s="464"/>
      <c r="H642" s="462"/>
      <c r="I642" s="70" t="str">
        <f t="shared" ref="I642:I661" si="33">IFERROR(AVERAGEIFS($G:$G,$E:$E,$E642),"-")</f>
        <v>-</v>
      </c>
      <c r="J642" s="71" t="str">
        <f t="shared" ref="J642:J661" si="34">IF($C642="Voice QA",$C642,"resource")</f>
        <v>resource</v>
      </c>
    </row>
    <row r="643" spans="1:10">
      <c r="A643" s="461"/>
      <c r="B643" s="461"/>
      <c r="C643" s="461"/>
      <c r="D643" s="461"/>
      <c r="E643" s="461"/>
      <c r="F643" s="489" t="str">
        <f t="shared" ref="F643:F661" si="35">IF(E643="","","MID")</f>
        <v/>
      </c>
      <c r="G643" s="464"/>
      <c r="H643" s="462"/>
      <c r="I643" s="70" t="str">
        <f t="shared" si="33"/>
        <v>-</v>
      </c>
      <c r="J643" s="71" t="str">
        <f t="shared" si="34"/>
        <v>resource</v>
      </c>
    </row>
    <row r="644" spans="1:10">
      <c r="A644" s="461"/>
      <c r="B644" s="461"/>
      <c r="C644" s="461"/>
      <c r="D644" s="461"/>
      <c r="E644" s="461"/>
      <c r="F644" s="489" t="str">
        <f t="shared" si="35"/>
        <v/>
      </c>
      <c r="G644" s="464"/>
      <c r="H644" s="462"/>
      <c r="I644" s="70" t="str">
        <f t="shared" si="33"/>
        <v>-</v>
      </c>
      <c r="J644" s="71" t="str">
        <f t="shared" si="34"/>
        <v>resource</v>
      </c>
    </row>
    <row r="645" spans="1:10">
      <c r="A645" s="461"/>
      <c r="B645" s="461"/>
      <c r="C645" s="461"/>
      <c r="D645" s="461"/>
      <c r="E645" s="461"/>
      <c r="F645" s="489" t="str">
        <f t="shared" si="35"/>
        <v/>
      </c>
      <c r="G645" s="464"/>
      <c r="H645" s="462"/>
      <c r="I645" s="70" t="str">
        <f t="shared" si="33"/>
        <v>-</v>
      </c>
      <c r="J645" s="71" t="str">
        <f t="shared" si="34"/>
        <v>resource</v>
      </c>
    </row>
    <row r="646" spans="1:10">
      <c r="A646" s="461"/>
      <c r="B646" s="461"/>
      <c r="C646" s="461"/>
      <c r="D646" s="461"/>
      <c r="E646" s="461"/>
      <c r="F646" s="489" t="str">
        <f t="shared" si="35"/>
        <v/>
      </c>
      <c r="G646" s="464"/>
      <c r="H646" s="462"/>
      <c r="I646" s="70" t="str">
        <f t="shared" si="33"/>
        <v>-</v>
      </c>
      <c r="J646" s="71" t="str">
        <f t="shared" si="34"/>
        <v>resource</v>
      </c>
    </row>
    <row r="647" spans="1:10">
      <c r="A647" s="461"/>
      <c r="B647" s="461"/>
      <c r="C647" s="461"/>
      <c r="D647" s="461"/>
      <c r="E647" s="461"/>
      <c r="F647" s="489" t="str">
        <f t="shared" si="35"/>
        <v/>
      </c>
      <c r="G647" s="464"/>
      <c r="H647" s="462"/>
      <c r="I647" s="70" t="str">
        <f t="shared" si="33"/>
        <v>-</v>
      </c>
      <c r="J647" s="71" t="str">
        <f t="shared" si="34"/>
        <v>resource</v>
      </c>
    </row>
    <row r="648" spans="1:10">
      <c r="A648" s="461"/>
      <c r="B648" s="461"/>
      <c r="C648" s="461"/>
      <c r="D648" s="461"/>
      <c r="E648" s="461"/>
      <c r="F648" s="489" t="str">
        <f t="shared" si="35"/>
        <v/>
      </c>
      <c r="G648" s="464"/>
      <c r="H648" s="462"/>
      <c r="I648" s="70" t="str">
        <f t="shared" si="33"/>
        <v>-</v>
      </c>
      <c r="J648" s="71" t="str">
        <f t="shared" si="34"/>
        <v>resource</v>
      </c>
    </row>
    <row r="649" spans="1:10">
      <c r="A649" s="461"/>
      <c r="B649" s="461"/>
      <c r="C649" s="461"/>
      <c r="D649" s="461"/>
      <c r="E649" s="461"/>
      <c r="F649" s="489" t="str">
        <f t="shared" si="35"/>
        <v/>
      </c>
      <c r="G649" s="464"/>
      <c r="H649" s="462"/>
      <c r="I649" s="70" t="str">
        <f t="shared" si="33"/>
        <v>-</v>
      </c>
      <c r="J649" s="71" t="str">
        <f t="shared" si="34"/>
        <v>resource</v>
      </c>
    </row>
    <row r="650" spans="1:10">
      <c r="A650" s="461"/>
      <c r="B650" s="461"/>
      <c r="C650" s="461"/>
      <c r="D650" s="461"/>
      <c r="E650" s="461"/>
      <c r="F650" s="489" t="str">
        <f t="shared" si="35"/>
        <v/>
      </c>
      <c r="G650" s="464"/>
      <c r="H650" s="462"/>
      <c r="I650" s="70" t="str">
        <f t="shared" si="33"/>
        <v>-</v>
      </c>
      <c r="J650" s="71" t="str">
        <f t="shared" si="34"/>
        <v>resource</v>
      </c>
    </row>
    <row r="651" spans="1:10">
      <c r="A651" s="461"/>
      <c r="B651" s="461"/>
      <c r="C651" s="461"/>
      <c r="D651" s="461"/>
      <c r="E651" s="461"/>
      <c r="F651" s="489" t="str">
        <f t="shared" si="35"/>
        <v/>
      </c>
      <c r="G651" s="464"/>
      <c r="H651" s="462"/>
      <c r="I651" s="70" t="str">
        <f t="shared" si="33"/>
        <v>-</v>
      </c>
      <c r="J651" s="71" t="str">
        <f t="shared" si="34"/>
        <v>resource</v>
      </c>
    </row>
    <row r="652" spans="1:10">
      <c r="A652" s="461"/>
      <c r="B652" s="461"/>
      <c r="C652" s="461"/>
      <c r="D652" s="461"/>
      <c r="E652" s="461"/>
      <c r="F652" s="489" t="str">
        <f t="shared" si="35"/>
        <v/>
      </c>
      <c r="G652" s="464"/>
      <c r="H652" s="462"/>
      <c r="I652" s="70" t="str">
        <f t="shared" si="33"/>
        <v>-</v>
      </c>
      <c r="J652" s="71" t="str">
        <f t="shared" si="34"/>
        <v>resource</v>
      </c>
    </row>
    <row r="653" spans="1:10">
      <c r="A653" s="461"/>
      <c r="B653" s="461"/>
      <c r="C653" s="461"/>
      <c r="D653" s="461"/>
      <c r="E653" s="461"/>
      <c r="F653" s="489" t="str">
        <f t="shared" si="35"/>
        <v/>
      </c>
      <c r="G653" s="464"/>
      <c r="H653" s="462"/>
      <c r="I653" s="70" t="str">
        <f t="shared" si="33"/>
        <v>-</v>
      </c>
      <c r="J653" s="71" t="str">
        <f t="shared" si="34"/>
        <v>resource</v>
      </c>
    </row>
    <row r="654" spans="1:10">
      <c r="A654" s="461"/>
      <c r="B654" s="461"/>
      <c r="C654" s="461"/>
      <c r="D654" s="461"/>
      <c r="E654" s="461"/>
      <c r="F654" s="489" t="str">
        <f t="shared" si="35"/>
        <v/>
      </c>
      <c r="G654" s="464"/>
      <c r="H654" s="462"/>
      <c r="I654" s="70" t="str">
        <f t="shared" si="33"/>
        <v>-</v>
      </c>
      <c r="J654" s="71" t="str">
        <f t="shared" si="34"/>
        <v>resource</v>
      </c>
    </row>
    <row r="655" spans="1:10">
      <c r="A655" s="461"/>
      <c r="B655" s="461"/>
      <c r="C655" s="461"/>
      <c r="D655" s="461"/>
      <c r="E655" s="461"/>
      <c r="F655" s="489" t="str">
        <f t="shared" si="35"/>
        <v/>
      </c>
      <c r="G655" s="464"/>
      <c r="H655" s="462"/>
      <c r="I655" s="70" t="str">
        <f t="shared" si="33"/>
        <v>-</v>
      </c>
      <c r="J655" s="71" t="str">
        <f t="shared" si="34"/>
        <v>resource</v>
      </c>
    </row>
    <row r="656" spans="1:10">
      <c r="A656" s="461"/>
      <c r="B656" s="461"/>
      <c r="C656" s="461"/>
      <c r="D656" s="461"/>
      <c r="E656" s="461"/>
      <c r="F656" s="489" t="str">
        <f t="shared" si="35"/>
        <v/>
      </c>
      <c r="G656" s="464"/>
      <c r="H656" s="462"/>
      <c r="I656" s="70" t="str">
        <f t="shared" si="33"/>
        <v>-</v>
      </c>
      <c r="J656" s="71" t="str">
        <f t="shared" si="34"/>
        <v>resource</v>
      </c>
    </row>
    <row r="657" spans="1:10">
      <c r="A657" s="461"/>
      <c r="B657" s="461"/>
      <c r="C657" s="461"/>
      <c r="D657" s="461"/>
      <c r="E657" s="461"/>
      <c r="F657" s="489" t="str">
        <f t="shared" si="35"/>
        <v/>
      </c>
      <c r="G657" s="464"/>
      <c r="H657" s="462"/>
      <c r="I657" s="70" t="str">
        <f t="shared" si="33"/>
        <v>-</v>
      </c>
      <c r="J657" s="71" t="str">
        <f t="shared" si="34"/>
        <v>resource</v>
      </c>
    </row>
    <row r="658" spans="1:10">
      <c r="A658" s="461"/>
      <c r="B658" s="461"/>
      <c r="C658" s="461"/>
      <c r="D658" s="461"/>
      <c r="E658" s="461"/>
      <c r="F658" s="489" t="str">
        <f t="shared" si="35"/>
        <v/>
      </c>
      <c r="G658" s="464"/>
      <c r="H658" s="462"/>
      <c r="I658" s="70" t="str">
        <f t="shared" si="33"/>
        <v>-</v>
      </c>
      <c r="J658" s="71" t="str">
        <f t="shared" si="34"/>
        <v>resource</v>
      </c>
    </row>
    <row r="659" spans="1:10">
      <c r="A659" s="461"/>
      <c r="B659" s="461"/>
      <c r="C659" s="461"/>
      <c r="D659" s="461"/>
      <c r="E659" s="461"/>
      <c r="F659" s="489" t="str">
        <f t="shared" si="35"/>
        <v/>
      </c>
      <c r="G659" s="464"/>
      <c r="H659" s="462"/>
      <c r="I659" s="70" t="str">
        <f t="shared" si="33"/>
        <v>-</v>
      </c>
      <c r="J659" s="71" t="str">
        <f t="shared" si="34"/>
        <v>resource</v>
      </c>
    </row>
    <row r="660" spans="1:10">
      <c r="A660" s="461"/>
      <c r="B660" s="461"/>
      <c r="C660" s="461"/>
      <c r="D660" s="461"/>
      <c r="E660" s="461"/>
      <c r="F660" s="489" t="str">
        <f t="shared" si="35"/>
        <v/>
      </c>
      <c r="G660" s="464"/>
      <c r="H660" s="462"/>
      <c r="I660" s="70" t="str">
        <f t="shared" si="33"/>
        <v>-</v>
      </c>
      <c r="J660" s="71" t="str">
        <f t="shared" si="34"/>
        <v>resource</v>
      </c>
    </row>
    <row r="661" spans="1:10">
      <c r="A661" s="461"/>
      <c r="B661" s="461"/>
      <c r="C661" s="461"/>
      <c r="D661" s="461"/>
      <c r="E661" s="461"/>
      <c r="F661" s="489" t="str">
        <f t="shared" si="35"/>
        <v/>
      </c>
      <c r="G661" s="464"/>
      <c r="H661" s="462"/>
      <c r="I661" s="70" t="str">
        <f t="shared" si="33"/>
        <v>-</v>
      </c>
      <c r="J661" s="71" t="str">
        <f t="shared" si="34"/>
        <v>resource</v>
      </c>
    </row>
    <row r="662" spans="1:10">
      <c r="A662" s="461"/>
      <c r="B662" s="461"/>
      <c r="C662" s="461"/>
      <c r="D662" s="461"/>
      <c r="E662" s="461"/>
      <c r="F662" s="461"/>
      <c r="G662" s="464"/>
      <c r="H662" s="462"/>
      <c r="I662" s="70"/>
      <c r="J662" s="71"/>
    </row>
    <row r="663" spans="1:10">
      <c r="A663" s="461"/>
      <c r="B663" s="461"/>
      <c r="C663" s="461"/>
      <c r="D663" s="461"/>
      <c r="E663" s="461"/>
      <c r="F663" s="461"/>
      <c r="G663" s="464"/>
      <c r="H663" s="462"/>
      <c r="I663" s="70"/>
      <c r="J663" s="71"/>
    </row>
    <row r="664" spans="1:10">
      <c r="A664" s="461"/>
      <c r="B664" s="461"/>
      <c r="C664" s="461"/>
      <c r="D664" s="461"/>
      <c r="E664" s="461"/>
      <c r="F664" s="461"/>
      <c r="G664" s="464"/>
      <c r="H664" s="462"/>
      <c r="I664" s="70"/>
      <c r="J664" s="71"/>
    </row>
    <row r="665" spans="1:10">
      <c r="A665" s="461"/>
      <c r="B665" s="461"/>
      <c r="C665" s="461"/>
      <c r="D665" s="461"/>
      <c r="E665" s="461"/>
      <c r="F665" s="461"/>
      <c r="G665" s="464"/>
      <c r="H665" s="462"/>
      <c r="I665" s="70"/>
      <c r="J665" s="71"/>
    </row>
    <row r="666" spans="1:10">
      <c r="A666" s="461"/>
      <c r="B666" s="461"/>
      <c r="C666" s="461"/>
      <c r="D666" s="461"/>
      <c r="E666" s="461"/>
      <c r="F666" s="461"/>
      <c r="G666" s="464"/>
      <c r="H666" s="462"/>
      <c r="I666" s="70"/>
      <c r="J666" s="71"/>
    </row>
    <row r="667" spans="1:10">
      <c r="A667" s="461"/>
      <c r="B667" s="461"/>
      <c r="C667" s="461"/>
      <c r="D667" s="461"/>
      <c r="E667" s="461"/>
      <c r="F667" s="461"/>
      <c r="G667" s="464"/>
      <c r="H667" s="462"/>
      <c r="I667" s="70"/>
      <c r="J667" s="71"/>
    </row>
    <row r="668" spans="1:10">
      <c r="A668" s="461"/>
      <c r="B668" s="461"/>
      <c r="C668" s="461"/>
      <c r="D668" s="461"/>
      <c r="E668" s="461"/>
      <c r="F668" s="461"/>
      <c r="G668" s="464"/>
      <c r="H668" s="462"/>
      <c r="I668" s="70"/>
      <c r="J668" s="71"/>
    </row>
    <row r="669" spans="1:10">
      <c r="A669" s="461"/>
      <c r="B669" s="461"/>
      <c r="C669" s="461"/>
      <c r="D669" s="461"/>
      <c r="E669" s="461"/>
      <c r="F669" s="461"/>
      <c r="G669" s="464"/>
      <c r="H669" s="462"/>
      <c r="I669" s="70"/>
      <c r="J669" s="71"/>
    </row>
    <row r="670" spans="1:10">
      <c r="A670" s="461"/>
      <c r="B670" s="461"/>
      <c r="C670" s="461"/>
      <c r="D670" s="461"/>
      <c r="E670" s="461"/>
      <c r="F670" s="461"/>
      <c r="G670" s="464"/>
      <c r="H670" s="462"/>
      <c r="I670" s="70"/>
      <c r="J670" s="71"/>
    </row>
    <row r="671" spans="1:10">
      <c r="A671" s="461"/>
      <c r="B671" s="461"/>
      <c r="C671" s="461"/>
      <c r="D671" s="461"/>
      <c r="E671" s="461"/>
      <c r="F671" s="461"/>
      <c r="G671" s="464"/>
      <c r="H671" s="462"/>
      <c r="I671" s="70"/>
      <c r="J671" s="71"/>
    </row>
    <row r="672" spans="1:10">
      <c r="A672" s="461"/>
      <c r="B672" s="461"/>
      <c r="C672" s="461"/>
      <c r="D672" s="461"/>
      <c r="E672" s="461"/>
      <c r="F672" s="461"/>
      <c r="G672" s="464"/>
      <c r="H672" s="462"/>
      <c r="I672" s="70"/>
      <c r="J672" s="71"/>
    </row>
    <row r="673" spans="1:13">
      <c r="A673" s="287" t="s">
        <v>635</v>
      </c>
      <c r="C673" s="87"/>
      <c r="D673" s="87"/>
      <c r="E673" s="87"/>
      <c r="F673" s="87"/>
      <c r="G673" s="563"/>
      <c r="H673" s="192"/>
      <c r="I673" s="70"/>
      <c r="J673" s="71"/>
      <c r="M673" s="235"/>
    </row>
    <row r="674" spans="1:13">
      <c r="A674" s="292" t="s">
        <v>106</v>
      </c>
      <c r="B674" s="292" t="s">
        <v>241</v>
      </c>
      <c r="C674" s="292" t="s">
        <v>90</v>
      </c>
      <c r="D674" s="292" t="s">
        <v>240</v>
      </c>
      <c r="E674" s="292">
        <v>10071047</v>
      </c>
      <c r="F674" s="292" t="s">
        <v>614</v>
      </c>
      <c r="G674" s="556">
        <v>1</v>
      </c>
      <c r="H674" s="576">
        <v>0</v>
      </c>
      <c r="I674" s="241">
        <f t="shared" ref="I674:I685" si="36">IFERROR(AVERAGEIFS($G:$G,$E:$E,$E674),"-")</f>
        <v>1</v>
      </c>
      <c r="J674" s="181" t="str">
        <f t="shared" ref="J674:J685" si="37">IF($C674="Voice QA",$C674,"resource")</f>
        <v>Voice QA</v>
      </c>
      <c r="M674" s="235"/>
    </row>
    <row r="675" spans="1:13">
      <c r="A675" s="292" t="s">
        <v>106</v>
      </c>
      <c r="B675" s="292" t="s">
        <v>241</v>
      </c>
      <c r="C675" s="292" t="s">
        <v>90</v>
      </c>
      <c r="D675" s="292" t="s">
        <v>242</v>
      </c>
      <c r="E675" s="292">
        <v>10071190</v>
      </c>
      <c r="F675" s="292" t="s">
        <v>614</v>
      </c>
      <c r="G675" s="556">
        <v>1</v>
      </c>
      <c r="H675" s="576">
        <v>1</v>
      </c>
      <c r="I675" s="241">
        <f t="shared" si="36"/>
        <v>1</v>
      </c>
      <c r="J675" s="181" t="str">
        <f t="shared" si="37"/>
        <v>Voice QA</v>
      </c>
      <c r="M675" s="235"/>
    </row>
    <row r="676" spans="1:13">
      <c r="A676" s="292" t="s">
        <v>106</v>
      </c>
      <c r="B676" s="292" t="s">
        <v>241</v>
      </c>
      <c r="C676" s="292" t="s">
        <v>90</v>
      </c>
      <c r="D676" s="292" t="s">
        <v>250</v>
      </c>
      <c r="E676" s="292">
        <v>10072441</v>
      </c>
      <c r="F676" s="292" t="s">
        <v>614</v>
      </c>
      <c r="G676" s="556">
        <v>0.98750000000000004</v>
      </c>
      <c r="H676" s="576">
        <v>0</v>
      </c>
      <c r="I676" s="241">
        <f t="shared" si="36"/>
        <v>0.98750000000000004</v>
      </c>
      <c r="J676" s="181" t="str">
        <f t="shared" si="37"/>
        <v>Voice QA</v>
      </c>
      <c r="M676" s="235"/>
    </row>
    <row r="677" spans="1:13">
      <c r="A677" s="292" t="s">
        <v>106</v>
      </c>
      <c r="B677" s="292" t="s">
        <v>241</v>
      </c>
      <c r="C677" s="292" t="s">
        <v>90</v>
      </c>
      <c r="D677" s="292" t="s">
        <v>243</v>
      </c>
      <c r="E677" s="292">
        <v>10071902</v>
      </c>
      <c r="F677" s="292" t="s">
        <v>614</v>
      </c>
      <c r="G677" s="556">
        <v>0.97499999999999998</v>
      </c>
      <c r="H677" s="576">
        <v>1</v>
      </c>
      <c r="I677" s="241">
        <f t="shared" si="36"/>
        <v>0.97499999999999998</v>
      </c>
      <c r="J677" s="181" t="str">
        <f t="shared" si="37"/>
        <v>Voice QA</v>
      </c>
      <c r="M677" s="235"/>
    </row>
    <row r="678" spans="1:13">
      <c r="A678" s="292" t="s">
        <v>106</v>
      </c>
      <c r="B678" s="292" t="s">
        <v>241</v>
      </c>
      <c r="C678" s="292" t="s">
        <v>90</v>
      </c>
      <c r="D678" s="292" t="s">
        <v>244</v>
      </c>
      <c r="E678" s="292">
        <v>10072010</v>
      </c>
      <c r="F678" s="292" t="s">
        <v>614</v>
      </c>
      <c r="G678" s="556">
        <v>1</v>
      </c>
      <c r="H678" s="576">
        <v>1</v>
      </c>
      <c r="I678" s="241">
        <f t="shared" si="36"/>
        <v>1</v>
      </c>
      <c r="J678" s="181" t="str">
        <f t="shared" si="37"/>
        <v>Voice QA</v>
      </c>
      <c r="M678" s="235"/>
    </row>
    <row r="679" spans="1:13">
      <c r="A679" s="292" t="s">
        <v>106</v>
      </c>
      <c r="B679" s="292" t="s">
        <v>241</v>
      </c>
      <c r="C679" s="292" t="s">
        <v>90</v>
      </c>
      <c r="D679" s="292" t="s">
        <v>245</v>
      </c>
      <c r="E679" s="292">
        <v>10072011</v>
      </c>
      <c r="F679" s="292" t="s">
        <v>614</v>
      </c>
      <c r="G679" s="556">
        <v>1</v>
      </c>
      <c r="H679" s="576">
        <v>0</v>
      </c>
      <c r="I679" s="241">
        <f t="shared" si="36"/>
        <v>1</v>
      </c>
      <c r="J679" s="181" t="str">
        <f t="shared" si="37"/>
        <v>Voice QA</v>
      </c>
      <c r="M679" s="235"/>
    </row>
    <row r="680" spans="1:13">
      <c r="A680" s="292" t="s">
        <v>106</v>
      </c>
      <c r="B680" s="292" t="s">
        <v>241</v>
      </c>
      <c r="C680" s="292" t="s">
        <v>90</v>
      </c>
      <c r="D680" s="292" t="s">
        <v>246</v>
      </c>
      <c r="E680" s="292">
        <v>10072023</v>
      </c>
      <c r="F680" s="292" t="s">
        <v>614</v>
      </c>
      <c r="G680" s="556">
        <v>0.95</v>
      </c>
      <c r="H680" s="576">
        <v>0</v>
      </c>
      <c r="I680" s="241">
        <f t="shared" si="36"/>
        <v>0.95</v>
      </c>
      <c r="J680" s="181" t="str">
        <f t="shared" si="37"/>
        <v>Voice QA</v>
      </c>
      <c r="M680" s="235"/>
    </row>
    <row r="681" spans="1:13">
      <c r="A681" s="292" t="s">
        <v>106</v>
      </c>
      <c r="B681" s="292" t="s">
        <v>241</v>
      </c>
      <c r="C681" s="292" t="s">
        <v>90</v>
      </c>
      <c r="D681" s="292" t="s">
        <v>247</v>
      </c>
      <c r="E681" s="292">
        <v>10072592</v>
      </c>
      <c r="F681" s="292" t="s">
        <v>614</v>
      </c>
      <c r="G681" s="556">
        <v>1</v>
      </c>
      <c r="H681" s="576">
        <v>0</v>
      </c>
      <c r="I681" s="241">
        <f t="shared" si="36"/>
        <v>1</v>
      </c>
      <c r="J681" s="181" t="str">
        <f t="shared" si="37"/>
        <v>Voice QA</v>
      </c>
      <c r="M681" s="235"/>
    </row>
    <row r="682" spans="1:13">
      <c r="A682" s="292" t="s">
        <v>106</v>
      </c>
      <c r="B682" s="292" t="s">
        <v>241</v>
      </c>
      <c r="C682" s="292" t="s">
        <v>90</v>
      </c>
      <c r="D682" s="292" t="s">
        <v>248</v>
      </c>
      <c r="E682" s="292">
        <v>10072604</v>
      </c>
      <c r="F682" s="292" t="s">
        <v>614</v>
      </c>
      <c r="G682" s="556">
        <v>0.98750000000000004</v>
      </c>
      <c r="H682" s="576">
        <v>0</v>
      </c>
      <c r="I682" s="241">
        <f t="shared" si="36"/>
        <v>0.98750000000000004</v>
      </c>
      <c r="J682" s="181" t="str">
        <f t="shared" si="37"/>
        <v>Voice QA</v>
      </c>
      <c r="M682" s="235"/>
    </row>
    <row r="683" spans="1:13">
      <c r="A683" s="292" t="s">
        <v>106</v>
      </c>
      <c r="B683" s="292" t="s">
        <v>241</v>
      </c>
      <c r="C683" s="292" t="s">
        <v>90</v>
      </c>
      <c r="D683" s="292" t="s">
        <v>249</v>
      </c>
      <c r="E683" s="292">
        <v>10072613</v>
      </c>
      <c r="F683" s="292" t="s">
        <v>614</v>
      </c>
      <c r="G683" s="556">
        <v>1</v>
      </c>
      <c r="H683" s="576">
        <v>0</v>
      </c>
      <c r="I683" s="241">
        <f t="shared" si="36"/>
        <v>1</v>
      </c>
      <c r="J683" s="181" t="str">
        <f t="shared" si="37"/>
        <v>Voice QA</v>
      </c>
      <c r="M683" s="235"/>
    </row>
    <row r="684" spans="1:13">
      <c r="A684" s="292" t="s">
        <v>106</v>
      </c>
      <c r="B684" s="292" t="s">
        <v>241</v>
      </c>
      <c r="C684" s="292" t="s">
        <v>90</v>
      </c>
      <c r="D684" s="292" t="s">
        <v>251</v>
      </c>
      <c r="E684" s="292">
        <v>10072203</v>
      </c>
      <c r="F684" s="292" t="s">
        <v>614</v>
      </c>
      <c r="G684" s="556">
        <v>1</v>
      </c>
      <c r="H684" s="576">
        <v>0</v>
      </c>
      <c r="I684" s="241">
        <f t="shared" si="36"/>
        <v>1</v>
      </c>
      <c r="J684" s="181" t="str">
        <f t="shared" si="37"/>
        <v>Voice QA</v>
      </c>
      <c r="M684" s="235"/>
    </row>
    <row r="685" spans="1:13">
      <c r="A685" s="292" t="s">
        <v>106</v>
      </c>
      <c r="B685" s="292" t="s">
        <v>241</v>
      </c>
      <c r="C685" s="292" t="s">
        <v>90</v>
      </c>
      <c r="D685" s="292" t="s">
        <v>252</v>
      </c>
      <c r="E685" s="292">
        <v>10071428</v>
      </c>
      <c r="F685" s="292" t="s">
        <v>614</v>
      </c>
      <c r="G685" s="556">
        <v>0.98750000000000004</v>
      </c>
      <c r="H685" s="576">
        <v>0</v>
      </c>
      <c r="I685" s="241">
        <f t="shared" si="36"/>
        <v>0.98750000000000004</v>
      </c>
      <c r="J685" s="181" t="str">
        <f t="shared" si="37"/>
        <v>Voice QA</v>
      </c>
      <c r="M685" s="235"/>
    </row>
    <row r="686" spans="1:13">
      <c r="A686" s="292"/>
      <c r="B686" s="292"/>
      <c r="C686" s="292"/>
      <c r="D686" s="292"/>
      <c r="E686" s="292"/>
      <c r="F686" s="292"/>
      <c r="G686" s="293"/>
      <c r="H686" s="577"/>
      <c r="I686" s="241"/>
      <c r="J686" s="181"/>
      <c r="M686" s="235"/>
    </row>
    <row r="687" spans="1:13">
      <c r="A687" s="292"/>
      <c r="B687" s="292"/>
      <c r="C687" s="292"/>
      <c r="D687" s="292"/>
      <c r="E687" s="292"/>
      <c r="F687" s="292"/>
      <c r="G687" s="293"/>
      <c r="H687" s="577"/>
      <c r="I687" s="241"/>
      <c r="J687" s="181"/>
      <c r="M687" s="235"/>
    </row>
    <row r="688" spans="1:13">
      <c r="A688" s="292"/>
      <c r="B688" s="292"/>
      <c r="C688" s="292"/>
      <c r="D688" s="292"/>
      <c r="E688" s="292"/>
      <c r="F688" s="292"/>
      <c r="G688" s="293"/>
      <c r="H688" s="577"/>
      <c r="I688" s="241"/>
      <c r="J688" s="181"/>
      <c r="M688" s="235"/>
    </row>
    <row r="689" spans="1:13">
      <c r="A689" s="292"/>
      <c r="B689" s="292"/>
      <c r="C689" s="292"/>
      <c r="D689" s="292"/>
      <c r="E689" s="292"/>
      <c r="F689" s="292"/>
      <c r="G689" s="293"/>
      <c r="H689" s="577"/>
      <c r="I689" s="241"/>
      <c r="J689" s="181"/>
      <c r="M689" s="235"/>
    </row>
    <row r="690" spans="1:13">
      <c r="A690" s="292"/>
      <c r="B690" s="292"/>
      <c r="C690" s="292"/>
      <c r="D690" s="292"/>
      <c r="E690" s="292"/>
      <c r="F690" s="292"/>
      <c r="G690" s="293"/>
      <c r="H690" s="577"/>
      <c r="I690" s="241"/>
      <c r="J690" s="181"/>
      <c r="M690" s="235"/>
    </row>
    <row r="691" spans="1:13">
      <c r="A691" s="292"/>
      <c r="B691" s="292"/>
      <c r="C691" s="292"/>
      <c r="D691" s="292"/>
      <c r="E691" s="292"/>
      <c r="F691" s="292"/>
      <c r="G691" s="293"/>
      <c r="H691" s="577"/>
      <c r="I691" s="241"/>
      <c r="J691" s="181"/>
      <c r="M691" s="235"/>
    </row>
    <row r="692" spans="1:13">
      <c r="A692" s="292"/>
      <c r="B692" s="292"/>
      <c r="C692" s="292"/>
      <c r="D692" s="292"/>
      <c r="E692" s="292"/>
      <c r="F692" s="292"/>
      <c r="G692" s="293"/>
      <c r="H692" s="577"/>
      <c r="I692" s="241"/>
      <c r="J692" s="181"/>
      <c r="M692" s="235"/>
    </row>
    <row r="693" spans="1:13">
      <c r="A693" s="292"/>
      <c r="B693" s="292"/>
      <c r="C693" s="292"/>
      <c r="D693" s="292"/>
      <c r="E693" s="292"/>
      <c r="F693" s="292"/>
      <c r="G693" s="293"/>
      <c r="H693" s="577"/>
      <c r="I693" s="241"/>
      <c r="J693" s="181"/>
      <c r="M693" s="235"/>
    </row>
    <row r="694" spans="1:13">
      <c r="A694" s="292"/>
      <c r="B694" s="292"/>
      <c r="C694" s="292"/>
      <c r="D694" s="292"/>
      <c r="E694" s="292"/>
      <c r="F694" s="292"/>
      <c r="G694" s="293"/>
      <c r="H694" s="577"/>
      <c r="I694" s="241"/>
      <c r="J694" s="181"/>
      <c r="M694" s="235"/>
    </row>
    <row r="695" spans="1:13">
      <c r="A695" s="292"/>
      <c r="B695" s="292"/>
      <c r="C695" s="292"/>
      <c r="D695" s="292"/>
      <c r="E695" s="292"/>
      <c r="F695" s="292"/>
      <c r="G695" s="293"/>
      <c r="H695" s="577"/>
      <c r="I695" s="241"/>
      <c r="J695" s="181"/>
      <c r="M695" s="235"/>
    </row>
    <row r="696" spans="1:13">
      <c r="A696" s="292"/>
      <c r="B696" s="292"/>
      <c r="C696" s="292"/>
      <c r="D696" s="292"/>
      <c r="E696" s="292"/>
      <c r="F696" s="292"/>
      <c r="G696" s="293"/>
      <c r="H696" s="577"/>
      <c r="I696" s="241"/>
      <c r="J696" s="181"/>
      <c r="M696" s="235"/>
    </row>
    <row r="697" spans="1:13">
      <c r="A697" s="292"/>
      <c r="B697" s="292"/>
      <c r="C697" s="292"/>
      <c r="D697" s="292"/>
      <c r="E697" s="292"/>
      <c r="F697" s="292"/>
      <c r="G697" s="293"/>
      <c r="H697" s="577"/>
      <c r="I697" s="241"/>
      <c r="J697" s="181"/>
      <c r="M697" s="235"/>
    </row>
    <row r="698" spans="1:13">
      <c r="A698" s="292"/>
      <c r="B698" s="292"/>
      <c r="C698" s="292"/>
      <c r="D698" s="292"/>
      <c r="E698" s="292"/>
      <c r="F698" s="292"/>
      <c r="G698" s="293"/>
      <c r="H698" s="577"/>
      <c r="I698" s="241"/>
      <c r="J698" s="181"/>
      <c r="M698" s="235"/>
    </row>
    <row r="699" spans="1:13">
      <c r="A699" s="292"/>
      <c r="B699" s="292"/>
      <c r="C699" s="292"/>
      <c r="D699" s="292"/>
      <c r="E699" s="292"/>
      <c r="F699" s="292"/>
      <c r="G699" s="293"/>
      <c r="H699" s="577"/>
      <c r="I699" s="241"/>
      <c r="J699" s="181"/>
      <c r="M699" s="235"/>
    </row>
    <row r="700" spans="1:13">
      <c r="A700" s="292"/>
      <c r="B700" s="292"/>
      <c r="C700" s="292"/>
      <c r="D700" s="292"/>
      <c r="E700" s="292"/>
      <c r="F700" s="292"/>
      <c r="G700" s="293"/>
      <c r="H700" s="577"/>
      <c r="I700" s="241"/>
      <c r="J700" s="181"/>
      <c r="M700" s="235"/>
    </row>
    <row r="701" spans="1:13">
      <c r="A701" s="292"/>
      <c r="B701" s="292"/>
      <c r="C701" s="292"/>
      <c r="D701" s="292"/>
      <c r="E701" s="292"/>
      <c r="F701" s="292"/>
      <c r="G701" s="293"/>
      <c r="H701" s="577"/>
      <c r="I701" s="241"/>
      <c r="J701" s="181"/>
      <c r="M701" s="235"/>
    </row>
    <row r="702" spans="1:13">
      <c r="A702" s="292"/>
      <c r="B702" s="292"/>
      <c r="C702" s="292"/>
      <c r="D702" s="292"/>
      <c r="E702" s="292"/>
      <c r="F702" s="292"/>
      <c r="G702" s="293"/>
      <c r="H702" s="577"/>
      <c r="I702" s="241"/>
      <c r="J702" s="181"/>
      <c r="M702" s="235"/>
    </row>
    <row r="703" spans="1:13">
      <c r="A703" s="292"/>
      <c r="B703" s="292"/>
      <c r="C703" s="292"/>
      <c r="D703" s="292"/>
      <c r="E703" s="292"/>
      <c r="F703" s="292"/>
      <c r="G703" s="293"/>
      <c r="H703" s="577"/>
      <c r="I703" s="241"/>
      <c r="J703" s="181"/>
      <c r="M703" s="235"/>
    </row>
    <row r="704" spans="1:13">
      <c r="A704" s="292"/>
      <c r="B704" s="292"/>
      <c r="C704" s="292"/>
      <c r="D704" s="292"/>
      <c r="E704" s="292"/>
      <c r="F704" s="292"/>
      <c r="G704" s="293"/>
      <c r="H704" s="577"/>
      <c r="I704" s="241"/>
      <c r="J704" s="181"/>
      <c r="M704" s="235"/>
    </row>
    <row r="705" spans="1:13">
      <c r="A705" s="292"/>
      <c r="B705" s="292"/>
      <c r="C705" s="292"/>
      <c r="D705" s="292"/>
      <c r="E705" s="292"/>
      <c r="F705" s="292"/>
      <c r="G705" s="293"/>
      <c r="H705" s="577"/>
      <c r="I705" s="241"/>
      <c r="J705" s="181"/>
      <c r="M705" s="235"/>
    </row>
    <row r="706" spans="1:13">
      <c r="A706" s="292"/>
      <c r="B706" s="292"/>
      <c r="C706" s="292"/>
      <c r="D706" s="292"/>
      <c r="E706" s="292"/>
      <c r="F706" s="292"/>
      <c r="G706" s="293"/>
      <c r="H706" s="577"/>
      <c r="I706" s="241"/>
      <c r="J706" s="181"/>
      <c r="M706" s="235"/>
    </row>
    <row r="707" spans="1:13">
      <c r="A707" s="292"/>
      <c r="B707" s="292"/>
      <c r="C707" s="292"/>
      <c r="D707" s="292"/>
      <c r="E707" s="292"/>
      <c r="F707" s="292"/>
      <c r="G707" s="293"/>
      <c r="H707" s="577"/>
      <c r="I707" s="241"/>
      <c r="J707" s="181"/>
      <c r="M707" s="235"/>
    </row>
    <row r="708" spans="1:13">
      <c r="A708" s="292"/>
      <c r="B708" s="292"/>
      <c r="C708" s="292"/>
      <c r="D708" s="292"/>
      <c r="E708" s="292"/>
      <c r="F708" s="292"/>
      <c r="G708" s="293"/>
      <c r="H708" s="577"/>
      <c r="I708" s="241"/>
      <c r="J708" s="181"/>
      <c r="M708" s="235"/>
    </row>
    <row r="709" spans="1:13">
      <c r="A709" s="292"/>
      <c r="B709" s="292"/>
      <c r="C709" s="292"/>
      <c r="D709" s="292"/>
      <c r="E709" s="292"/>
      <c r="F709" s="292"/>
      <c r="G709" s="293"/>
      <c r="H709" s="577"/>
      <c r="I709" s="241"/>
      <c r="J709" s="181"/>
      <c r="M709" s="235"/>
    </row>
    <row r="710" spans="1:13">
      <c r="A710" s="292"/>
      <c r="B710" s="292"/>
      <c r="C710" s="292"/>
      <c r="D710" s="292"/>
      <c r="E710" s="292"/>
      <c r="F710" s="292"/>
      <c r="G710" s="293"/>
      <c r="H710" s="577"/>
      <c r="I710" s="241"/>
      <c r="J710" s="181"/>
      <c r="M710" s="235"/>
    </row>
    <row r="711" spans="1:13">
      <c r="A711" s="292"/>
      <c r="B711" s="292"/>
      <c r="C711" s="292"/>
      <c r="D711" s="292"/>
      <c r="E711" s="292"/>
      <c r="F711" s="292"/>
      <c r="G711" s="293"/>
      <c r="H711" s="577"/>
      <c r="I711" s="241"/>
      <c r="J711" s="181"/>
      <c r="M711" s="235"/>
    </row>
    <row r="712" spans="1:13">
      <c r="A712" s="292"/>
      <c r="B712" s="292"/>
      <c r="C712" s="292"/>
      <c r="D712" s="292"/>
      <c r="E712" s="292"/>
      <c r="F712" s="292"/>
      <c r="G712" s="293"/>
      <c r="H712" s="577"/>
      <c r="I712" s="241"/>
      <c r="J712" s="181"/>
      <c r="M712" s="235"/>
    </row>
    <row r="713" spans="1:13">
      <c r="A713" s="181"/>
      <c r="B713" s="181"/>
      <c r="C713" s="181"/>
      <c r="D713" s="181"/>
      <c r="E713" s="181"/>
      <c r="F713" s="181"/>
      <c r="G713" s="241"/>
      <c r="I713" s="241"/>
      <c r="J713" s="181"/>
    </row>
    <row r="714" spans="1:13">
      <c r="A714" s="181"/>
      <c r="B714" s="181"/>
      <c r="C714" s="181"/>
      <c r="D714" s="181"/>
      <c r="E714" s="181"/>
      <c r="F714" s="181"/>
      <c r="G714" s="241"/>
      <c r="I714" s="241"/>
      <c r="J714" s="181"/>
    </row>
    <row r="715" spans="1:13">
      <c r="A715" s="181"/>
      <c r="B715" s="181"/>
      <c r="C715" s="181"/>
      <c r="D715" s="181"/>
      <c r="E715" s="181"/>
      <c r="F715" s="181"/>
      <c r="G715" s="241"/>
      <c r="I715" s="241"/>
      <c r="J715" s="181"/>
    </row>
    <row r="716" spans="1:13">
      <c r="A716" s="181"/>
      <c r="B716" s="181"/>
      <c r="C716" s="181"/>
      <c r="D716" s="181"/>
      <c r="E716" s="181"/>
      <c r="F716" s="181"/>
      <c r="G716" s="241"/>
      <c r="I716" s="241"/>
      <c r="J716" s="181"/>
    </row>
    <row r="717" spans="1:13">
      <c r="A717" s="181"/>
      <c r="B717" s="181"/>
      <c r="C717" s="181"/>
      <c r="D717" s="181"/>
      <c r="E717" s="181"/>
      <c r="F717" s="181"/>
      <c r="G717" s="241"/>
      <c r="I717" s="241"/>
      <c r="J717" s="181"/>
    </row>
    <row r="718" spans="1:13">
      <c r="A718" s="181"/>
      <c r="B718" s="181"/>
      <c r="C718" s="181"/>
      <c r="D718" s="181"/>
      <c r="E718" s="181"/>
      <c r="F718" s="181"/>
      <c r="G718" s="241"/>
      <c r="I718" s="241"/>
      <c r="J718" s="181"/>
    </row>
    <row r="719" spans="1:13">
      <c r="A719" s="181"/>
      <c r="B719" s="181"/>
      <c r="C719" s="181"/>
      <c r="D719" s="181"/>
      <c r="E719" s="181"/>
      <c r="F719" s="181"/>
      <c r="G719" s="241"/>
      <c r="I719" s="241"/>
      <c r="J719" s="181"/>
    </row>
    <row r="720" spans="1:13">
      <c r="A720" s="181"/>
      <c r="B720" s="181"/>
      <c r="C720" s="181"/>
      <c r="D720" s="181"/>
      <c r="E720" s="181"/>
      <c r="F720" s="181"/>
      <c r="G720" s="241"/>
      <c r="I720" s="241"/>
      <c r="J720" s="181"/>
    </row>
    <row r="725" spans="1:10">
      <c r="A725" s="51"/>
      <c r="B725" s="51"/>
      <c r="C725" s="51"/>
      <c r="D725" s="51"/>
      <c r="E725" s="51"/>
      <c r="F725" s="51"/>
      <c r="G725" s="242"/>
      <c r="H725" s="578"/>
      <c r="I725" s="70" t="str">
        <f>IFERROR(AVERAGEIFS($G:$G,$E:$E,$E725),"-")</f>
        <v>-</v>
      </c>
      <c r="J725" s="71" t="str">
        <f>IF($C725="Voice QA",$C725,"resource")</f>
        <v>resource</v>
      </c>
    </row>
    <row r="726" spans="1:10">
      <c r="A726" s="51"/>
      <c r="B726" s="51"/>
      <c r="C726" s="51"/>
      <c r="D726" s="51"/>
      <c r="E726" s="51"/>
      <c r="F726" s="51"/>
      <c r="G726" s="242"/>
      <c r="H726" s="578"/>
      <c r="I726" s="70"/>
      <c r="J726" s="71"/>
    </row>
    <row r="727" spans="1:10">
      <c r="A727" s="51"/>
      <c r="B727" s="51"/>
      <c r="C727" s="51"/>
      <c r="D727" s="51"/>
      <c r="E727" s="51"/>
      <c r="F727" s="51"/>
      <c r="G727" s="242"/>
      <c r="H727" s="578"/>
      <c r="I727" s="70"/>
      <c r="J727" s="71"/>
    </row>
    <row r="728" spans="1:10">
      <c r="A728" s="51"/>
      <c r="B728" s="51"/>
      <c r="C728" s="51"/>
      <c r="D728" s="51"/>
      <c r="E728" s="51"/>
      <c r="F728" s="51"/>
      <c r="G728" s="242"/>
      <c r="H728" s="578"/>
      <c r="I728" s="70"/>
      <c r="J728" s="71"/>
    </row>
    <row r="729" spans="1:10">
      <c r="A729" s="51"/>
      <c r="B729" s="51"/>
      <c r="C729" s="51"/>
      <c r="D729" s="51"/>
      <c r="E729" s="51"/>
      <c r="F729" s="51"/>
      <c r="G729" s="242"/>
      <c r="H729" s="578"/>
      <c r="I729" s="70"/>
      <c r="J729" s="71"/>
    </row>
  </sheetData>
  <autoFilter ref="A1:J661"/>
  <mergeCells count="8">
    <mergeCell ref="AJ11:AJ12"/>
    <mergeCell ref="AF4:AF7"/>
    <mergeCell ref="AH4:AH7"/>
    <mergeCell ref="AI4:AI5"/>
    <mergeCell ref="AI6:AI7"/>
    <mergeCell ref="AF10:AF12"/>
    <mergeCell ref="AH10:AI10"/>
    <mergeCell ref="AH11:AI12"/>
  </mergeCells>
  <conditionalFormatting sqref="E661">
    <cfRule type="duplicateValues" dxfId="15" priority="12"/>
  </conditionalFormatting>
  <conditionalFormatting sqref="E21:E60">
    <cfRule type="duplicateValues" dxfId="14" priority="10"/>
  </conditionalFormatting>
  <conditionalFormatting sqref="E15:E16">
    <cfRule type="duplicateValues" dxfId="13" priority="9"/>
  </conditionalFormatting>
  <conditionalFormatting sqref="E17:E60">
    <cfRule type="duplicateValues" dxfId="12" priority="8"/>
  </conditionalFormatting>
  <conditionalFormatting sqref="E66">
    <cfRule type="duplicateValues" dxfId="11" priority="4"/>
  </conditionalFormatting>
  <conditionalFormatting sqref="E66">
    <cfRule type="duplicateValues" dxfId="10" priority="1"/>
    <cfRule type="duplicateValues" dxfId="9" priority="2"/>
    <cfRule type="duplicateValues" dxfId="8" priority="3"/>
  </conditionalFormatting>
  <conditionalFormatting sqref="E662:E1048576 E1:E65 E147:E660 E67:E136">
    <cfRule type="duplicateValues" dxfId="7" priority="114"/>
  </conditionalFormatting>
  <conditionalFormatting sqref="E1:E65 E147:E1048576 E67:E136">
    <cfRule type="duplicateValues" dxfId="6" priority="120"/>
    <cfRule type="duplicateValues" dxfId="5" priority="121"/>
    <cfRule type="duplicateValues" dxfId="4" priority="122"/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B0F0"/>
  </sheetPr>
  <dimension ref="A1:S29"/>
  <sheetViews>
    <sheetView showGridLines="0" zoomScale="85" zoomScaleNormal="85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6.7109375" style="2" hidden="1" customWidth="1"/>
    <col min="2" max="2" width="25.28515625" style="2" hidden="1" customWidth="1"/>
    <col min="3" max="3" width="26.7109375" style="2" hidden="1" customWidth="1"/>
    <col min="4" max="4" width="28.140625" style="2" bestFit="1" customWidth="1"/>
    <col min="5" max="5" width="14.140625" style="2" bestFit="1" customWidth="1"/>
    <col min="6" max="6" width="6" style="2" hidden="1" customWidth="1"/>
    <col min="7" max="7" width="9.85546875" style="16" bestFit="1" customWidth="1"/>
    <col min="8" max="8" width="11.5703125" style="138" bestFit="1" customWidth="1"/>
    <col min="9" max="9" width="20" customWidth="1"/>
    <col min="10" max="10" width="19" style="2" bestFit="1" customWidth="1"/>
    <col min="11" max="14" width="19" style="2" hidden="1" customWidth="1"/>
    <col min="15" max="15" width="0" style="2" hidden="1" customWidth="1"/>
    <col min="16" max="16" width="9.140625" style="16"/>
    <col min="17" max="17" width="9.140625" style="2"/>
    <col min="18" max="18" width="9.85546875" bestFit="1" customWidth="1"/>
    <col min="19" max="26" width="9.140625" style="2"/>
    <col min="27" max="27" width="23" style="2" bestFit="1" customWidth="1"/>
    <col min="28" max="16384" width="9.140625" style="2"/>
  </cols>
  <sheetData>
    <row r="1" spans="1:19" ht="17.100000000000001" customHeight="1">
      <c r="A1" s="7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725</v>
      </c>
      <c r="H1" s="561" t="s">
        <v>726</v>
      </c>
      <c r="I1" s="560" t="s">
        <v>41</v>
      </c>
      <c r="J1" s="262" t="s">
        <v>599</v>
      </c>
      <c r="K1" s="262">
        <v>1</v>
      </c>
      <c r="L1" s="262">
        <v>2</v>
      </c>
      <c r="M1" s="262">
        <v>3</v>
      </c>
      <c r="N1" s="262">
        <v>4</v>
      </c>
      <c r="O1" s="262">
        <v>5</v>
      </c>
      <c r="P1" s="263" t="s">
        <v>614</v>
      </c>
    </row>
    <row r="2" spans="1:19">
      <c r="B2" s="562"/>
      <c r="C2" s="664"/>
      <c r="D2" s="554" t="s">
        <v>122</v>
      </c>
      <c r="E2" s="562">
        <f>INDEX(RESOURCES!$C:$C,MATCH('CE RAW'!D2,RESOURCES!$D:$D,0))</f>
        <v>10072156</v>
      </c>
      <c r="F2" s="664"/>
      <c r="G2" s="625">
        <v>0.92220000000000002</v>
      </c>
      <c r="H2" s="626" t="s">
        <v>14</v>
      </c>
      <c r="I2" s="527">
        <v>10071245</v>
      </c>
      <c r="J2" s="664" t="s">
        <v>124</v>
      </c>
      <c r="K2" s="31"/>
      <c r="L2" s="31"/>
      <c r="M2" s="31"/>
      <c r="N2" s="31"/>
      <c r="O2" s="31"/>
      <c r="P2" s="388">
        <v>0.97719999999999996</v>
      </c>
      <c r="S2"/>
    </row>
    <row r="3" spans="1:19">
      <c r="B3" s="562"/>
      <c r="C3" s="664"/>
      <c r="D3" s="554" t="s">
        <v>239</v>
      </c>
      <c r="E3" s="562">
        <f>INDEX(RESOURCES!$C:$C,MATCH('CE RAW'!D3,RESOURCES!$D:$D,0))</f>
        <v>10071342</v>
      </c>
      <c r="F3" s="664"/>
      <c r="G3" s="625">
        <v>0.94230000000000003</v>
      </c>
      <c r="H3" s="626">
        <v>1</v>
      </c>
      <c r="I3" s="527">
        <v>10071256</v>
      </c>
      <c r="J3" s="664" t="s">
        <v>227</v>
      </c>
      <c r="K3" s="31"/>
      <c r="L3" s="31"/>
      <c r="M3" s="31"/>
      <c r="N3" s="31"/>
      <c r="O3" s="31"/>
      <c r="P3" s="388">
        <v>0.97119999999999995</v>
      </c>
      <c r="S3"/>
    </row>
    <row r="4" spans="1:19">
      <c r="B4" s="562"/>
      <c r="C4" s="664"/>
      <c r="D4" s="554" t="s">
        <v>126</v>
      </c>
      <c r="E4" s="562">
        <f>INDEX(RESOURCES!$C:$C,MATCH('CE RAW'!D4,RESOURCES!$D:$D,0))</f>
        <v>10071278</v>
      </c>
      <c r="F4" s="664"/>
      <c r="G4" s="625">
        <v>0.96819999999999995</v>
      </c>
      <c r="H4" s="626">
        <v>1</v>
      </c>
      <c r="I4" s="2"/>
      <c r="K4" s="16"/>
      <c r="L4" s="16"/>
      <c r="M4" s="16"/>
      <c r="N4" s="16"/>
      <c r="O4" s="16"/>
      <c r="S4"/>
    </row>
    <row r="5" spans="1:19">
      <c r="B5" s="562"/>
      <c r="C5" s="664"/>
      <c r="D5" s="554" t="s">
        <v>127</v>
      </c>
      <c r="E5" s="562">
        <f>INDEX(RESOURCES!$C:$C,MATCH('CE RAW'!D5,RESOURCES!$D:$D,0))</f>
        <v>10072207</v>
      </c>
      <c r="F5" s="664"/>
      <c r="G5" s="625">
        <v>1</v>
      </c>
      <c r="H5" s="626">
        <v>1</v>
      </c>
      <c r="I5" s="2"/>
      <c r="K5" s="16"/>
      <c r="L5" s="16"/>
      <c r="M5" s="16"/>
      <c r="N5" s="16"/>
      <c r="O5" s="16"/>
      <c r="S5"/>
    </row>
    <row r="6" spans="1:19">
      <c r="B6" s="562"/>
      <c r="C6" s="664"/>
      <c r="D6" s="554" t="s">
        <v>128</v>
      </c>
      <c r="E6" s="562">
        <f>INDEX(RESOURCES!$C:$C,MATCH('CE RAW'!D6,RESOURCES!$D:$D,0))</f>
        <v>10071198</v>
      </c>
      <c r="F6" s="664"/>
      <c r="G6" s="625">
        <v>0.95450000000000002</v>
      </c>
      <c r="H6" s="626">
        <v>1</v>
      </c>
      <c r="I6" s="235" t="s">
        <v>106</v>
      </c>
      <c r="J6" s="264" t="s">
        <v>274</v>
      </c>
      <c r="K6" s="265"/>
      <c r="L6" s="265"/>
      <c r="M6" s="265"/>
      <c r="N6" s="265"/>
      <c r="O6" s="265"/>
      <c r="P6" s="265">
        <v>0.97399999999999998</v>
      </c>
      <c r="S6"/>
    </row>
    <row r="7" spans="1:19">
      <c r="B7" s="562"/>
      <c r="C7" s="664"/>
      <c r="D7" s="554" t="s">
        <v>130</v>
      </c>
      <c r="E7" s="562">
        <f>INDEX(RESOURCES!$C:$C,MATCH('CE RAW'!D7,RESOURCES!$D:$D,0))</f>
        <v>10071199</v>
      </c>
      <c r="F7" s="664"/>
      <c r="G7" s="625">
        <v>0.99050000000000005</v>
      </c>
      <c r="H7" s="626" t="s">
        <v>14</v>
      </c>
      <c r="S7"/>
    </row>
    <row r="8" spans="1:19">
      <c r="B8" s="562"/>
      <c r="C8" s="664"/>
      <c r="D8" s="554" t="s">
        <v>131</v>
      </c>
      <c r="E8" s="562">
        <f>INDEX(RESOURCES!$C:$C,MATCH('CE RAW'!D8,RESOURCES!$D:$D,0))</f>
        <v>10072452</v>
      </c>
      <c r="F8" s="664"/>
      <c r="G8" s="625">
        <v>0.99380000000000002</v>
      </c>
      <c r="H8" s="626">
        <v>1</v>
      </c>
      <c r="S8"/>
    </row>
    <row r="9" spans="1:19">
      <c r="B9" s="562"/>
      <c r="C9" s="664"/>
      <c r="D9" s="554" t="s">
        <v>132</v>
      </c>
      <c r="E9" s="562">
        <f>INDEX(RESOURCES!$C:$C,MATCH('CE RAW'!D9,RESOURCES!$D:$D,0))</f>
        <v>10071178</v>
      </c>
      <c r="F9" s="664"/>
      <c r="G9" s="625">
        <v>1</v>
      </c>
      <c r="H9" s="626">
        <v>1</v>
      </c>
      <c r="S9"/>
    </row>
    <row r="10" spans="1:19">
      <c r="B10" s="562"/>
      <c r="C10" s="664"/>
      <c r="D10" s="554" t="s">
        <v>133</v>
      </c>
      <c r="E10" s="562">
        <f>INDEX(RESOURCES!$C:$C,MATCH('CE RAW'!D10,RESOURCES!$D:$D,0))</f>
        <v>10071439</v>
      </c>
      <c r="F10" s="664"/>
      <c r="G10" s="625">
        <v>0.99170000000000003</v>
      </c>
      <c r="H10" s="626" t="s">
        <v>14</v>
      </c>
      <c r="S10"/>
    </row>
    <row r="11" spans="1:19">
      <c r="B11" s="562"/>
      <c r="C11" s="664"/>
      <c r="D11" s="554" t="s">
        <v>134</v>
      </c>
      <c r="E11" s="562">
        <f>INDEX(RESOURCES!$C:$C,MATCH('CE RAW'!D11,RESOURCES!$D:$D,0))</f>
        <v>10071314</v>
      </c>
      <c r="F11" s="664"/>
      <c r="G11" s="625">
        <v>0.96</v>
      </c>
      <c r="H11" s="626">
        <v>1</v>
      </c>
      <c r="S11"/>
    </row>
    <row r="12" spans="1:19">
      <c r="B12" s="562"/>
      <c r="C12" s="664"/>
      <c r="D12" s="554" t="s">
        <v>129</v>
      </c>
      <c r="E12" s="562">
        <f>INDEX(RESOURCES!$C:$C,MATCH('CE RAW'!D12,RESOURCES!$D:$D,0))</f>
        <v>10072040</v>
      </c>
      <c r="F12" s="664"/>
      <c r="G12" s="625">
        <v>1</v>
      </c>
      <c r="H12" s="626">
        <v>1</v>
      </c>
      <c r="S12"/>
    </row>
    <row r="13" spans="1:19">
      <c r="B13" s="562"/>
      <c r="C13" s="664"/>
      <c r="D13" s="554" t="s">
        <v>125</v>
      </c>
      <c r="E13" s="562">
        <f>INDEX(RESOURCES!$C:$C,MATCH('CE RAW'!D13,RESOURCES!$D:$D,0))</f>
        <v>10072301</v>
      </c>
      <c r="F13" s="664"/>
      <c r="G13" s="625">
        <v>0.98260000000000003</v>
      </c>
      <c r="H13" s="626">
        <v>1</v>
      </c>
      <c r="S13"/>
    </row>
    <row r="14" spans="1:19">
      <c r="B14" s="562"/>
      <c r="C14" s="664"/>
      <c r="D14" s="554" t="s">
        <v>135</v>
      </c>
      <c r="E14" s="562">
        <f>INDEX(RESOURCES!$C:$C,MATCH('CE RAW'!D14,RESOURCES!$D:$D,0))</f>
        <v>10071904</v>
      </c>
      <c r="F14" s="664"/>
      <c r="G14" s="625">
        <v>0.96109999999999995</v>
      </c>
      <c r="H14" s="626" t="s">
        <v>14</v>
      </c>
      <c r="S14"/>
    </row>
    <row r="15" spans="1:19">
      <c r="B15" s="562"/>
      <c r="C15" s="664"/>
      <c r="D15" s="554" t="s">
        <v>231</v>
      </c>
      <c r="E15" s="562">
        <f>INDEX(RESOURCES!$C:$C,MATCH('CE RAW'!D15,RESOURCES!$D:$D,0))</f>
        <v>10072224</v>
      </c>
      <c r="F15" s="664"/>
      <c r="G15" s="625">
        <v>0.96060000000000001</v>
      </c>
      <c r="H15" s="626">
        <v>1</v>
      </c>
      <c r="S15"/>
    </row>
    <row r="16" spans="1:19">
      <c r="B16" s="562"/>
      <c r="C16" s="664"/>
      <c r="D16" s="554" t="s">
        <v>232</v>
      </c>
      <c r="E16" s="562">
        <f>INDEX(RESOURCES!$C:$C,MATCH('CE RAW'!D16,RESOURCES!$D:$D,0))</f>
        <v>10071356</v>
      </c>
      <c r="F16" s="664"/>
      <c r="G16" s="625">
        <v>0.99199999999999999</v>
      </c>
      <c r="H16" s="626">
        <v>1</v>
      </c>
      <c r="S16"/>
    </row>
    <row r="17" spans="2:19">
      <c r="B17" s="562"/>
      <c r="C17" s="664"/>
      <c r="D17" s="554" t="s">
        <v>234</v>
      </c>
      <c r="E17" s="562">
        <f>INDEX(RESOURCES!$C:$C,MATCH('CE RAW'!D17,RESOURCES!$D:$D,0))</f>
        <v>10071411</v>
      </c>
      <c r="F17" s="664"/>
      <c r="G17" s="625">
        <v>0.99209999999999998</v>
      </c>
      <c r="H17" s="626">
        <v>1</v>
      </c>
      <c r="S17"/>
    </row>
    <row r="18" spans="2:19">
      <c r="B18" s="562"/>
      <c r="C18" s="664"/>
      <c r="D18" s="554" t="s">
        <v>237</v>
      </c>
      <c r="E18" s="562">
        <f>INDEX(RESOURCES!$C:$C,MATCH('CE RAW'!D18,RESOURCES!$D:$D,0))</f>
        <v>10071151</v>
      </c>
      <c r="F18" s="664"/>
      <c r="G18" s="625">
        <v>0.91849999999999998</v>
      </c>
      <c r="H18" s="626" t="s">
        <v>14</v>
      </c>
      <c r="S18"/>
    </row>
    <row r="19" spans="2:19">
      <c r="B19" s="562"/>
      <c r="C19" s="664"/>
      <c r="D19" s="554" t="s">
        <v>238</v>
      </c>
      <c r="E19" s="562">
        <f>INDEX(RESOURCES!$C:$C,MATCH('CE RAW'!D19,RESOURCES!$D:$D,0))</f>
        <v>10072439</v>
      </c>
      <c r="F19" s="664"/>
      <c r="G19" s="625">
        <v>0.98570000000000002</v>
      </c>
      <c r="H19" s="626">
        <v>1</v>
      </c>
      <c r="S19"/>
    </row>
    <row r="20" spans="2:19">
      <c r="B20" s="562"/>
      <c r="C20" s="664"/>
      <c r="D20" s="554" t="s">
        <v>233</v>
      </c>
      <c r="E20" s="562">
        <f>INDEX(RESOURCES!$C:$C,MATCH('CE RAW'!D20,RESOURCES!$D:$D,0))</f>
        <v>10072032</v>
      </c>
      <c r="F20" s="664"/>
      <c r="G20" s="625">
        <v>0.97689999999999999</v>
      </c>
      <c r="H20" s="626">
        <v>1</v>
      </c>
      <c r="S20"/>
    </row>
    <row r="21" spans="2:19">
      <c r="B21" s="562"/>
      <c r="C21" s="664"/>
      <c r="D21" s="554" t="s">
        <v>235</v>
      </c>
      <c r="E21" s="562">
        <f>INDEX(RESOURCES!$C:$C,MATCH('CE RAW'!D21,RESOURCES!$D:$D,0))</f>
        <v>10071946</v>
      </c>
      <c r="F21" s="664"/>
      <c r="G21" s="625">
        <v>0.94189999999999996</v>
      </c>
      <c r="H21" s="626">
        <v>1</v>
      </c>
      <c r="S21"/>
    </row>
    <row r="22" spans="2:19">
      <c r="B22" s="562"/>
      <c r="C22" s="664"/>
      <c r="D22" s="554" t="s">
        <v>236</v>
      </c>
      <c r="E22" s="562">
        <f>INDEX(RESOURCES!$C:$C,MATCH('CE RAW'!D22,RESOURCES!$D:$D,0))</f>
        <v>10071729</v>
      </c>
      <c r="F22" s="664"/>
      <c r="G22" s="625">
        <v>0.98519999999999996</v>
      </c>
      <c r="H22" s="626" t="s">
        <v>14</v>
      </c>
      <c r="S22"/>
    </row>
    <row r="23" spans="2:19">
      <c r="B23" s="562"/>
      <c r="C23" s="664"/>
      <c r="D23" s="554" t="s">
        <v>226</v>
      </c>
      <c r="E23" s="562">
        <f>INDEX(RESOURCES!$C:$C,MATCH('CE RAW'!D23,RESOURCES!$D:$D,0))</f>
        <v>10071908</v>
      </c>
      <c r="F23" s="664"/>
      <c r="G23" s="625">
        <v>0.98619999999999997</v>
      </c>
      <c r="H23" s="626">
        <v>1</v>
      </c>
      <c r="S23"/>
    </row>
    <row r="24" spans="2:19">
      <c r="B24" s="562"/>
      <c r="C24" s="664"/>
      <c r="D24" s="554" t="s">
        <v>229</v>
      </c>
      <c r="E24" s="562">
        <f>INDEX(RESOURCES!$C:$C,MATCH('CE RAW'!D24,RESOURCES!$D:$D,0))</f>
        <v>10072220</v>
      </c>
      <c r="F24" s="664"/>
      <c r="G24" s="625">
        <v>1</v>
      </c>
      <c r="H24" s="626">
        <v>1</v>
      </c>
    </row>
    <row r="25" spans="2:19">
      <c r="B25" s="562"/>
      <c r="C25" s="664"/>
      <c r="D25" s="554" t="s">
        <v>228</v>
      </c>
      <c r="E25" s="562">
        <f>INDEX(RESOURCES!$C:$C,MATCH('CE RAW'!D25,RESOURCES!$D:$D,0))</f>
        <v>10071600</v>
      </c>
      <c r="F25" s="664"/>
      <c r="G25" s="625">
        <v>1</v>
      </c>
      <c r="H25" s="626" t="s">
        <v>14</v>
      </c>
    </row>
    <row r="26" spans="2:19">
      <c r="B26" s="562"/>
      <c r="C26" s="664"/>
      <c r="D26" s="554"/>
      <c r="E26" s="562"/>
      <c r="F26" s="664"/>
      <c r="G26" s="388"/>
      <c r="H26" s="381"/>
    </row>
    <row r="27" spans="2:19">
      <c r="B27" s="562"/>
      <c r="C27" s="664"/>
      <c r="D27" s="554"/>
      <c r="E27" s="562"/>
      <c r="F27" s="664"/>
      <c r="G27" s="388"/>
      <c r="H27" s="381"/>
    </row>
    <row r="28" spans="2:19">
      <c r="B28" s="562"/>
      <c r="C28" s="664"/>
      <c r="D28" s="554"/>
      <c r="E28" s="562"/>
      <c r="F28" s="664"/>
      <c r="G28" s="388"/>
      <c r="H28" s="381"/>
    </row>
    <row r="29" spans="2:19">
      <c r="B29" s="562"/>
      <c r="C29" s="664"/>
      <c r="D29" s="554"/>
      <c r="E29" s="562"/>
      <c r="F29" s="664"/>
      <c r="G29" s="388"/>
      <c r="H29" s="38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660033"/>
  </sheetPr>
  <dimension ref="A1:Z201"/>
  <sheetViews>
    <sheetView showGridLines="0" zoomScale="85" zoomScaleNormal="85" workbookViewId="0">
      <pane xSplit="5" topLeftCell="F1" activePane="topRight" state="frozen"/>
      <selection pane="topRight" activeCell="B3" sqref="B3"/>
    </sheetView>
  </sheetViews>
  <sheetFormatPr defaultRowHeight="15"/>
  <cols>
    <col min="1" max="1" width="6" style="2" bestFit="1" customWidth="1"/>
    <col min="2" max="2" width="12.42578125" style="2" bestFit="1" customWidth="1"/>
    <col min="3" max="3" width="28.140625" style="2" bestFit="1" customWidth="1"/>
    <col min="4" max="4" width="26.7109375" style="2" bestFit="1" customWidth="1"/>
    <col min="5" max="5" width="25.28515625" style="2" bestFit="1" customWidth="1"/>
    <col min="6" max="6" width="22.42578125" style="2" bestFit="1" customWidth="1"/>
    <col min="7" max="7" width="18" style="2" bestFit="1" customWidth="1"/>
    <col min="8" max="8" width="18" style="16" customWidth="1"/>
    <col min="9" max="10" width="9.140625" style="2"/>
    <col min="11" max="12" width="9.140625" style="16"/>
    <col min="13" max="13" width="11" style="2" bestFit="1" customWidth="1"/>
    <col min="14" max="14" width="45.7109375" style="324" bestFit="1" customWidth="1"/>
    <col min="15" max="15" width="10" style="181" bestFit="1" customWidth="1"/>
    <col min="16" max="16" width="18.140625" style="2" bestFit="1" customWidth="1"/>
    <col min="17" max="17" width="18.140625" style="2" customWidth="1"/>
    <col min="18" max="18" width="11.42578125" style="2" bestFit="1" customWidth="1"/>
    <col min="19" max="20" width="11.42578125" style="2" customWidth="1"/>
    <col min="21" max="21" width="11.42578125" style="2" bestFit="1" customWidth="1"/>
    <col min="22" max="22" width="35" style="2" bestFit="1" customWidth="1"/>
    <col min="23" max="23" width="13.7109375" style="2" bestFit="1" customWidth="1"/>
    <col min="25" max="25" width="15.5703125" bestFit="1" customWidth="1"/>
    <col min="26" max="26" width="21.7109375" bestFit="1" customWidth="1"/>
  </cols>
  <sheetData>
    <row r="1" spans="1:26">
      <c r="M1" s="515">
        <v>3.24</v>
      </c>
      <c r="N1" s="437">
        <v>2</v>
      </c>
      <c r="O1" s="516">
        <v>1.67</v>
      </c>
      <c r="P1" s="434">
        <v>1</v>
      </c>
      <c r="Q1" s="434"/>
      <c r="R1" s="434">
        <v>2</v>
      </c>
      <c r="S1" s="434">
        <v>3</v>
      </c>
      <c r="T1" s="434"/>
      <c r="U1" s="434">
        <v>25</v>
      </c>
      <c r="V1" s="434">
        <v>50</v>
      </c>
    </row>
    <row r="2" spans="1:26" ht="15.75" thickBot="1">
      <c r="G2" s="675" t="s">
        <v>38</v>
      </c>
      <c r="H2" s="675"/>
      <c r="I2" s="675"/>
      <c r="J2" s="675"/>
      <c r="K2" s="675"/>
      <c r="L2" s="675"/>
      <c r="M2" s="675"/>
      <c r="N2" s="675"/>
      <c r="P2" s="676" t="s">
        <v>39</v>
      </c>
      <c r="Q2" s="676"/>
      <c r="R2" s="676"/>
      <c r="S2" s="676"/>
      <c r="T2" s="676"/>
      <c r="U2" s="676"/>
      <c r="V2" s="676"/>
      <c r="W2" s="676"/>
    </row>
    <row r="3" spans="1:26" ht="22.5" thickBot="1">
      <c r="A3" s="425" t="s">
        <v>40</v>
      </c>
      <c r="B3" s="425" t="s">
        <v>41</v>
      </c>
      <c r="C3" s="425" t="s">
        <v>42</v>
      </c>
      <c r="D3" s="425" t="s">
        <v>43</v>
      </c>
      <c r="E3" s="425" t="s">
        <v>44</v>
      </c>
      <c r="F3" s="425" t="s">
        <v>45</v>
      </c>
      <c r="G3" s="426" t="s">
        <v>46</v>
      </c>
      <c r="H3" s="435" t="s">
        <v>47</v>
      </c>
      <c r="I3" s="426" t="s">
        <v>48</v>
      </c>
      <c r="J3" s="426" t="s">
        <v>49</v>
      </c>
      <c r="K3" s="435" t="s">
        <v>50</v>
      </c>
      <c r="L3" s="435" t="s">
        <v>51</v>
      </c>
      <c r="M3" s="426" t="s">
        <v>52</v>
      </c>
      <c r="N3" s="438" t="s">
        <v>53</v>
      </c>
      <c r="O3" s="427" t="s">
        <v>54</v>
      </c>
      <c r="P3" s="428" t="s">
        <v>55</v>
      </c>
      <c r="Q3" s="428" t="s">
        <v>47</v>
      </c>
      <c r="R3" s="428" t="s">
        <v>48</v>
      </c>
      <c r="S3" s="428" t="s">
        <v>49</v>
      </c>
      <c r="T3" s="428" t="s">
        <v>50</v>
      </c>
      <c r="U3" s="428" t="s">
        <v>52</v>
      </c>
      <c r="V3" s="428" t="s">
        <v>56</v>
      </c>
      <c r="W3" s="428" t="s">
        <v>57</v>
      </c>
      <c r="Y3" s="429" t="s">
        <v>58</v>
      </c>
      <c r="Z3" s="430">
        <f>SUM($W:$W)</f>
        <v>86085.66</v>
      </c>
    </row>
    <row r="4" spans="1:26">
      <c r="A4" s="2">
        <f>RESOURCES!B4</f>
        <v>1</v>
      </c>
      <c r="B4" s="431">
        <f>RESOURCES!C4</f>
        <v>10071775</v>
      </c>
      <c r="C4" s="431" t="str">
        <f>RESOURCES!D4</f>
        <v>FABICON, JOHN GABRIEL T.</v>
      </c>
      <c r="D4" s="2" t="str">
        <f>RESOURCES!E4</f>
        <v>Web Designer</v>
      </c>
      <c r="E4" s="2" t="str">
        <f>RESOURCES!F4</f>
        <v>REYES, Arthur</v>
      </c>
      <c r="F4" s="2" t="str">
        <f>RESOURCES!G4</f>
        <v>MENDOZA, Carlo</v>
      </c>
      <c r="G4" s="2">
        <f>ROUNDUP(SUMIFS('PRODUCTIVITY RAW'!$L:$L,'PRODUCTIVITY RAW'!$B:$B,BIDWARS!$B4),0)</f>
        <v>133</v>
      </c>
      <c r="H4" s="16">
        <f>IFERROR(IF($D4="Proofreader",INDEX('CHURN RAW'!$H:$H,MATCH("SITE LEVEL",'CHURN RAW'!$C:$C,0)),IF($D4="Internal Mods (PSI)","-",INDEX(RESOURCES!$X:$X,MATCH(BIDWARS!$B4,RESOURCES!$C:$C,0)))),"-")</f>
        <v>0.9</v>
      </c>
      <c r="I4" s="16">
        <f>IFERROR(ROUNDUP(INDEX(RESOURCES!$Y:$Y,MATCH(BIDWARS!$B4,RESOURCES!$C:$C,0)),2),"-")</f>
        <v>1</v>
      </c>
      <c r="J4" s="16" t="str">
        <f>IFERROR(ROUNDUP(INDEX(RESOURCES!$AA:$AA,MATCH(BIDWARS!$B4,RESOURCES!$C:$C,0)),2),"-")</f>
        <v>-</v>
      </c>
      <c r="K4" s="16" t="str">
        <f>IFERROR(VLOOKUP($C4,'CE RAW'!$D:$H,4,FALSE),"-")</f>
        <v>-</v>
      </c>
      <c r="L4" s="16" t="str">
        <f>IFERROR(VLOOKUP($C4,'CE RAW'!$D:$H,5,FALSE),"-")</f>
        <v>-</v>
      </c>
      <c r="M4" s="2">
        <f>COUNTIFS('BONUS RAW'!$D:$D,BIDWARS!$B4,'BONUS RAW'!$J:$J,"KUDOS")</f>
        <v>0</v>
      </c>
      <c r="N4" s="324">
        <f>IF(AND(SUMIFS('ATTENDANCE RAW'!$I:$I,'ATTENDANCE RAW'!$E:$E,BIDWARS!$B4)=0,SUMIFS('ATTENDANCE RAW'!$J:$J,'ATTENDANCE RAW'!$E:$E,BIDWARS!$B4)=0),1,0)</f>
        <v>1</v>
      </c>
      <c r="O4" s="241" t="str">
        <f>IF(ISERROR(VLOOKUP($B4,'ATTRITION RAW'!$E:$E,1,0)),"ACTIVE","INACTIVE")</f>
        <v>ACTIVE</v>
      </c>
      <c r="P4" s="432">
        <f>IFERROR(IF($D4="Proofreader",ROUNDUP(($G4*$O$1),0),IF($D4="DBA",ROUNDUP(($G4*$N$1*5.21),0),IF($D4="Voice QA",ROUNDUP(($G4*$M$1),0),$G4))),"-")</f>
        <v>133</v>
      </c>
      <c r="Q4" s="432">
        <f>IFERROR(IF($H4=100%,$H4*4,IF($H4&gt;=90%,$H4*3,$H4*2))*100,"-")</f>
        <v>270</v>
      </c>
      <c r="R4" s="432">
        <f>IFERROR((I4*100)*R$1,"-")</f>
        <v>200</v>
      </c>
      <c r="S4" s="432" t="str">
        <f>IFERROR((J4*100)*S$1,"-")</f>
        <v>-</v>
      </c>
      <c r="T4" s="432" t="str">
        <f>IFERROR(IF($L4&gt;=90%,ROUNDUP($K4,2)*2,IF($L4&gt;=80%,ROUNDUP($K4,2)*1.5,ROUNDUP($K4,2)*1))*100,"-")</f>
        <v>-</v>
      </c>
      <c r="U4" s="432">
        <f t="shared" ref="U4:U35" si="0">IFERROR(M4*U$1,"-")</f>
        <v>0</v>
      </c>
      <c r="V4" s="432">
        <f t="shared" ref="V4:V35" si="1">IFERROR(N4*V$1,"-")</f>
        <v>50</v>
      </c>
      <c r="W4" s="433">
        <f>SUM(P4:V4)</f>
        <v>653</v>
      </c>
    </row>
    <row r="5" spans="1:26">
      <c r="A5" s="2">
        <f>RESOURCES!B5</f>
        <v>2</v>
      </c>
      <c r="B5" s="431">
        <f>RESOURCES!C5</f>
        <v>10072158</v>
      </c>
      <c r="C5" s="431" t="str">
        <f>RESOURCES!D5</f>
        <v>CONSTANTINO, DIANA ROSE C.</v>
      </c>
      <c r="D5" s="2" t="str">
        <f>RESOURCES!E5</f>
        <v>Web Designer</v>
      </c>
      <c r="E5" s="2" t="str">
        <f>RESOURCES!F5</f>
        <v>REYES, Arthur</v>
      </c>
      <c r="F5" s="2" t="str">
        <f>RESOURCES!G5</f>
        <v>MENDOZA, Carlo</v>
      </c>
      <c r="G5" s="2">
        <f>ROUNDUP(SUMIFS('PRODUCTIVITY RAW'!$L:$L,'PRODUCTIVITY RAW'!$B:$B,BIDWARS!$B5),0)</f>
        <v>136</v>
      </c>
      <c r="H5" s="16">
        <f>IFERROR(IF($D5="Proofreader",INDEX('CHURN RAW'!$H:$H,MATCH("SITE LEVEL",'CHURN RAW'!$C:$C,0)),IF($D5="Internal Mods (PSI)","-",INDEX(RESOURCES!$X:$X,MATCH(BIDWARS!$B5,RESOURCES!$C:$C,0)))),"-")</f>
        <v>0.9</v>
      </c>
      <c r="I5" s="16">
        <f>IFERROR(ROUNDUP(INDEX(RESOURCES!$Y:$Y,MATCH(BIDWARS!$B5,RESOURCES!$C:$C,0)),2),"-")</f>
        <v>1</v>
      </c>
      <c r="J5" s="16" t="str">
        <f>IFERROR(ROUNDUP(INDEX(RESOURCES!$AA:$AA,MATCH(BIDWARS!$B5,RESOURCES!$C:$C,0)),2),"-")</f>
        <v>-</v>
      </c>
      <c r="K5" s="16" t="str">
        <f>IFERROR(VLOOKUP($C5,'CE RAW'!$D:$H,4,FALSE),"-")</f>
        <v>-</v>
      </c>
      <c r="L5" s="16" t="str">
        <f>IFERROR(VLOOKUP($C5,'CE RAW'!$D:$H,5,FALSE),"-")</f>
        <v>-</v>
      </c>
      <c r="M5" s="2">
        <f>COUNTIFS('BONUS RAW'!$D:$D,BIDWARS!$B5,'BONUS RAW'!$J:$J,"KUDOS")</f>
        <v>0</v>
      </c>
      <c r="N5" s="324">
        <f>IF(AND(SUMIFS('ATTENDANCE RAW'!$I:$I,'ATTENDANCE RAW'!$E:$E,BIDWARS!$B5)=0,SUMIFS('ATTENDANCE RAW'!$J:$J,'ATTENDANCE RAW'!$E:$E,BIDWARS!$B5)=0),1,0)</f>
        <v>0</v>
      </c>
      <c r="O5" s="241" t="str">
        <f>IF(ISERROR(VLOOKUP($B5,'ATTRITION RAW'!$E:$E,1,0)),"ACTIVE","INACTIVE")</f>
        <v>ACTIVE</v>
      </c>
      <c r="P5" s="432">
        <f t="shared" ref="P5:P68" si="2">IFERROR(IF($D5="Proofreader",ROUNDUP(($G5*$O$1),0),IF($D5="DBA",ROUNDUP(($G5*$N$1*5.21),0),IF($D5="Voice QA",ROUNDUP(($G5*$M$1),0),$G5))),"-")</f>
        <v>136</v>
      </c>
      <c r="Q5" s="432">
        <f t="shared" ref="Q5:Q68" si="3">IFERROR(IF($H5=100%,$H5*4,IF($H5&gt;=90%,$H5*3,$H5*2))*100,"-")</f>
        <v>270</v>
      </c>
      <c r="R5" s="432">
        <f t="shared" ref="R5:R68" si="4">IFERROR((I5*100)*R$1,"-")</f>
        <v>200</v>
      </c>
      <c r="S5" s="432" t="str">
        <f t="shared" ref="S5:S68" si="5">IFERROR((J5*100)*S$1,"-")</f>
        <v>-</v>
      </c>
      <c r="T5" s="432" t="str">
        <f t="shared" ref="T5:T68" si="6">IFERROR(IF($L5&gt;=90%,ROUNDUP($K5,2)*2,IF($L5&gt;=80%,ROUNDUP($K5,2)*1.5,ROUNDUP($K5,2)*1))*100,"-")</f>
        <v>-</v>
      </c>
      <c r="U5" s="432">
        <f t="shared" si="0"/>
        <v>0</v>
      </c>
      <c r="V5" s="432">
        <f t="shared" si="1"/>
        <v>0</v>
      </c>
      <c r="W5" s="433">
        <f t="shared" ref="W5:W68" si="7">SUM(P5:V5)</f>
        <v>606</v>
      </c>
    </row>
    <row r="6" spans="1:26">
      <c r="A6" s="2">
        <f>RESOURCES!B6</f>
        <v>3</v>
      </c>
      <c r="B6" s="431">
        <f>RESOURCES!C6</f>
        <v>10071899</v>
      </c>
      <c r="C6" s="431" t="str">
        <f>RESOURCES!D6</f>
        <v>CRUZ, MA.BETTINA M.</v>
      </c>
      <c r="D6" s="2" t="str">
        <f>RESOURCES!E6</f>
        <v>Web Designer</v>
      </c>
      <c r="E6" s="2" t="str">
        <f>RESOURCES!F6</f>
        <v>REYES, Arthur</v>
      </c>
      <c r="F6" s="2" t="str">
        <f>RESOURCES!G6</f>
        <v>MENDOZA, Carlo</v>
      </c>
      <c r="G6" s="2">
        <f>ROUNDUP(SUMIFS('PRODUCTIVITY RAW'!$L:$L,'PRODUCTIVITY RAW'!$B:$B,BIDWARS!$B6),0)</f>
        <v>62</v>
      </c>
      <c r="H6" s="16">
        <f>IFERROR(IF($D6="Proofreader",INDEX('CHURN RAW'!$H:$H,MATCH("SITE LEVEL",'CHURN RAW'!$C:$C,0)),IF($D6="Internal Mods (PSI)","-",INDEX(RESOURCES!$X:$X,MATCH(BIDWARS!$B6,RESOURCES!$C:$C,0)))),"-")</f>
        <v>0.8</v>
      </c>
      <c r="I6" s="16">
        <f>IFERROR(ROUNDUP(INDEX(RESOURCES!$Y:$Y,MATCH(BIDWARS!$B6,RESOURCES!$C:$C,0)),2),"-")</f>
        <v>1</v>
      </c>
      <c r="J6" s="16" t="str">
        <f>IFERROR(ROUNDUP(INDEX(RESOURCES!$AA:$AA,MATCH(BIDWARS!$B6,RESOURCES!$C:$C,0)),2),"-")</f>
        <v>-</v>
      </c>
      <c r="K6" s="16" t="str">
        <f>IFERROR(VLOOKUP($C6,'CE RAW'!$D:$H,4,FALSE),"-")</f>
        <v>-</v>
      </c>
      <c r="L6" s="16" t="str">
        <f>IFERROR(VLOOKUP($C6,'CE RAW'!$D:$H,5,FALSE),"-")</f>
        <v>-</v>
      </c>
      <c r="M6" s="2">
        <f>COUNTIFS('BONUS RAW'!$D:$D,BIDWARS!$B6,'BONUS RAW'!$J:$J,"KUDOS")</f>
        <v>0</v>
      </c>
      <c r="N6" s="324">
        <f>IF(AND(SUMIFS('ATTENDANCE RAW'!$I:$I,'ATTENDANCE RAW'!$E:$E,BIDWARS!$B6)=0,SUMIFS('ATTENDANCE RAW'!$J:$J,'ATTENDANCE RAW'!$E:$E,BIDWARS!$B6)=0),1,0)</f>
        <v>1</v>
      </c>
      <c r="O6" s="241" t="str">
        <f>IF(ISERROR(VLOOKUP($B6,'ATTRITION RAW'!$E:$E,1,0)),"ACTIVE","INACTIVE")</f>
        <v>ACTIVE</v>
      </c>
      <c r="P6" s="432">
        <f t="shared" si="2"/>
        <v>62</v>
      </c>
      <c r="Q6" s="432">
        <f t="shared" si="3"/>
        <v>160</v>
      </c>
      <c r="R6" s="432">
        <f t="shared" si="4"/>
        <v>200</v>
      </c>
      <c r="S6" s="432" t="str">
        <f t="shared" si="5"/>
        <v>-</v>
      </c>
      <c r="T6" s="432" t="str">
        <f t="shared" si="6"/>
        <v>-</v>
      </c>
      <c r="U6" s="432">
        <f t="shared" si="0"/>
        <v>0</v>
      </c>
      <c r="V6" s="432">
        <f t="shared" si="1"/>
        <v>50</v>
      </c>
      <c r="W6" s="433">
        <f t="shared" si="7"/>
        <v>472</v>
      </c>
    </row>
    <row r="7" spans="1:26">
      <c r="A7" s="2">
        <f>RESOURCES!B7</f>
        <v>4</v>
      </c>
      <c r="B7" s="431">
        <f>RESOURCES!C7</f>
        <v>10071594</v>
      </c>
      <c r="C7" s="431" t="str">
        <f>RESOURCES!D7</f>
        <v>DICTADO, FRANCISMEL M.</v>
      </c>
      <c r="D7" s="2" t="str">
        <f>RESOURCES!E7</f>
        <v>Web Designer</v>
      </c>
      <c r="E7" s="2" t="str">
        <f>RESOURCES!F7</f>
        <v>REYES, Arthur</v>
      </c>
      <c r="F7" s="2" t="str">
        <f>RESOURCES!G7</f>
        <v>MENDOZA, Carlo</v>
      </c>
      <c r="G7" s="2">
        <f>ROUNDUP(SUMIFS('PRODUCTIVITY RAW'!$L:$L,'PRODUCTIVITY RAW'!$B:$B,BIDWARS!$B7),0)</f>
        <v>109</v>
      </c>
      <c r="H7" s="16">
        <f>IFERROR(IF($D7="Proofreader",INDEX('CHURN RAW'!$H:$H,MATCH("SITE LEVEL",'CHURN RAW'!$C:$C,0)),IF($D7="Internal Mods (PSI)","-",INDEX(RESOURCES!$X:$X,MATCH(BIDWARS!$B7,RESOURCES!$C:$C,0)))),"-")</f>
        <v>0.9</v>
      </c>
      <c r="I7" s="16">
        <f>IFERROR(ROUNDUP(INDEX(RESOURCES!$Y:$Y,MATCH(BIDWARS!$B7,RESOURCES!$C:$C,0)),2),"-")</f>
        <v>1</v>
      </c>
      <c r="J7" s="16" t="str">
        <f>IFERROR(ROUNDUP(INDEX(RESOURCES!$AA:$AA,MATCH(BIDWARS!$B7,RESOURCES!$C:$C,0)),2),"-")</f>
        <v>-</v>
      </c>
      <c r="K7" s="16" t="str">
        <f>IFERROR(VLOOKUP($C7,'CE RAW'!$D:$H,4,FALSE),"-")</f>
        <v>-</v>
      </c>
      <c r="L7" s="16" t="str">
        <f>IFERROR(VLOOKUP($C7,'CE RAW'!$D:$H,5,FALSE),"-")</f>
        <v>-</v>
      </c>
      <c r="M7" s="2">
        <f>COUNTIFS('BONUS RAW'!$D:$D,BIDWARS!$B7,'BONUS RAW'!$J:$J,"KUDOS")</f>
        <v>0</v>
      </c>
      <c r="N7" s="324">
        <f>IF(AND(SUMIFS('ATTENDANCE RAW'!$I:$I,'ATTENDANCE RAW'!$E:$E,BIDWARS!$B7)=0,SUMIFS('ATTENDANCE RAW'!$J:$J,'ATTENDANCE RAW'!$E:$E,BIDWARS!$B7)=0),1,0)</f>
        <v>0</v>
      </c>
      <c r="O7" s="241" t="str">
        <f>IF(ISERROR(VLOOKUP($B7,'ATTRITION RAW'!$E:$E,1,0)),"ACTIVE","INACTIVE")</f>
        <v>ACTIVE</v>
      </c>
      <c r="P7" s="432">
        <f t="shared" si="2"/>
        <v>109</v>
      </c>
      <c r="Q7" s="432">
        <f t="shared" si="3"/>
        <v>270</v>
      </c>
      <c r="R7" s="432">
        <f t="shared" si="4"/>
        <v>200</v>
      </c>
      <c r="S7" s="432" t="str">
        <f t="shared" si="5"/>
        <v>-</v>
      </c>
      <c r="T7" s="432" t="str">
        <f t="shared" si="6"/>
        <v>-</v>
      </c>
      <c r="U7" s="432">
        <f t="shared" si="0"/>
        <v>0</v>
      </c>
      <c r="V7" s="432">
        <f t="shared" si="1"/>
        <v>0</v>
      </c>
      <c r="W7" s="433">
        <f t="shared" si="7"/>
        <v>579</v>
      </c>
    </row>
    <row r="8" spans="1:26">
      <c r="A8" s="2">
        <f>RESOURCES!B8</f>
        <v>5</v>
      </c>
      <c r="B8" s="431">
        <f>RESOURCES!C8</f>
        <v>10071592</v>
      </c>
      <c r="C8" s="431" t="str">
        <f>RESOURCES!D8</f>
        <v>MACALALAD, ANGELICA A.</v>
      </c>
      <c r="D8" s="2" t="str">
        <f>RESOURCES!E8</f>
        <v>Web Designer</v>
      </c>
      <c r="E8" s="2" t="str">
        <f>RESOURCES!F8</f>
        <v>REYES, Arthur</v>
      </c>
      <c r="F8" s="2" t="str">
        <f>RESOURCES!G8</f>
        <v>MENDOZA, Carlo</v>
      </c>
      <c r="G8" s="2">
        <f>ROUNDUP(SUMIFS('PRODUCTIVITY RAW'!$L:$L,'PRODUCTIVITY RAW'!$B:$B,BIDWARS!$B8),0)</f>
        <v>209</v>
      </c>
      <c r="H8" s="16">
        <f>IFERROR(IF($D8="Proofreader",INDEX('CHURN RAW'!$H:$H,MATCH("SITE LEVEL",'CHURN RAW'!$C:$C,0)),IF($D8="Internal Mods (PSI)","-",INDEX(RESOURCES!$X:$X,MATCH(BIDWARS!$B8,RESOURCES!$C:$C,0)))),"-")</f>
        <v>0.8</v>
      </c>
      <c r="I8" s="16">
        <f>IFERROR(ROUNDUP(INDEX(RESOURCES!$Y:$Y,MATCH(BIDWARS!$B8,RESOURCES!$C:$C,0)),2),"-")</f>
        <v>1</v>
      </c>
      <c r="J8" s="16" t="str">
        <f>IFERROR(ROUNDUP(INDEX(RESOURCES!$AA:$AA,MATCH(BIDWARS!$B8,RESOURCES!$C:$C,0)),2),"-")</f>
        <v>-</v>
      </c>
      <c r="K8" s="16" t="str">
        <f>IFERROR(VLOOKUP($C8,'CE RAW'!$D:$H,4,FALSE),"-")</f>
        <v>-</v>
      </c>
      <c r="L8" s="16" t="str">
        <f>IFERROR(VLOOKUP($C8,'CE RAW'!$D:$H,5,FALSE),"-")</f>
        <v>-</v>
      </c>
      <c r="M8" s="2">
        <f>COUNTIFS('BONUS RAW'!$D:$D,BIDWARS!$B8,'BONUS RAW'!$J:$J,"KUDOS")</f>
        <v>0</v>
      </c>
      <c r="N8" s="324">
        <f>IF(AND(SUMIFS('ATTENDANCE RAW'!$I:$I,'ATTENDANCE RAW'!$E:$E,BIDWARS!$B8)=0,SUMIFS('ATTENDANCE RAW'!$J:$J,'ATTENDANCE RAW'!$E:$E,BIDWARS!$B8)=0),1,0)</f>
        <v>0</v>
      </c>
      <c r="O8" s="241" t="str">
        <f>IF(ISERROR(VLOOKUP($B8,'ATTRITION RAW'!$E:$E,1,0)),"ACTIVE","INACTIVE")</f>
        <v>ACTIVE</v>
      </c>
      <c r="P8" s="432">
        <f t="shared" si="2"/>
        <v>209</v>
      </c>
      <c r="Q8" s="432">
        <f t="shared" si="3"/>
        <v>160</v>
      </c>
      <c r="R8" s="432">
        <f t="shared" si="4"/>
        <v>200</v>
      </c>
      <c r="S8" s="432" t="str">
        <f t="shared" si="5"/>
        <v>-</v>
      </c>
      <c r="T8" s="432" t="str">
        <f t="shared" si="6"/>
        <v>-</v>
      </c>
      <c r="U8" s="432">
        <f t="shared" si="0"/>
        <v>0</v>
      </c>
      <c r="V8" s="432">
        <f t="shared" si="1"/>
        <v>0</v>
      </c>
      <c r="W8" s="433">
        <f t="shared" si="7"/>
        <v>569</v>
      </c>
    </row>
    <row r="9" spans="1:26">
      <c r="A9" s="2">
        <f>RESOURCES!B9</f>
        <v>6</v>
      </c>
      <c r="B9" s="431">
        <f>RESOURCES!C9</f>
        <v>10072228</v>
      </c>
      <c r="C9" s="431" t="str">
        <f>RESOURCES!D9</f>
        <v>MALIMBAN, ANICA JAHNA B.</v>
      </c>
      <c r="D9" s="2" t="str">
        <f>RESOURCES!E9</f>
        <v>Web Designer</v>
      </c>
      <c r="E9" s="2" t="str">
        <f>RESOURCES!F9</f>
        <v>REYES, Arthur</v>
      </c>
      <c r="F9" s="2" t="str">
        <f>RESOURCES!G9</f>
        <v>MENDOZA, Carlo</v>
      </c>
      <c r="G9" s="2">
        <f>ROUNDUP(SUMIFS('PRODUCTIVITY RAW'!$L:$L,'PRODUCTIVITY RAW'!$B:$B,BIDWARS!$B9),0)</f>
        <v>86</v>
      </c>
      <c r="H9" s="16">
        <f>IFERROR(IF($D9="Proofreader",INDEX('CHURN RAW'!$H:$H,MATCH("SITE LEVEL",'CHURN RAW'!$C:$C,0)),IF($D9="Internal Mods (PSI)","-",INDEX(RESOURCES!$X:$X,MATCH(BIDWARS!$B9,RESOURCES!$C:$C,0)))),"-")</f>
        <v>1</v>
      </c>
      <c r="I9" s="16">
        <f>IFERROR(ROUNDUP(INDEX(RESOURCES!$Y:$Y,MATCH(BIDWARS!$B9,RESOURCES!$C:$C,0)),2),"-")</f>
        <v>1</v>
      </c>
      <c r="J9" s="16" t="str">
        <f>IFERROR(ROUNDUP(INDEX(RESOURCES!$AA:$AA,MATCH(BIDWARS!$B9,RESOURCES!$C:$C,0)),2),"-")</f>
        <v>-</v>
      </c>
      <c r="K9" s="16" t="str">
        <f>IFERROR(VLOOKUP($C9,'CE RAW'!$D:$H,4,FALSE),"-")</f>
        <v>-</v>
      </c>
      <c r="L9" s="16" t="str">
        <f>IFERROR(VLOOKUP($C9,'CE RAW'!$D:$H,5,FALSE),"-")</f>
        <v>-</v>
      </c>
      <c r="M9" s="2">
        <f>COUNTIFS('BONUS RAW'!$D:$D,BIDWARS!$B9,'BONUS RAW'!$J:$J,"KUDOS")</f>
        <v>0</v>
      </c>
      <c r="N9" s="324">
        <f>IF(AND(SUMIFS('ATTENDANCE RAW'!$I:$I,'ATTENDANCE RAW'!$E:$E,BIDWARS!$B9)=0,SUMIFS('ATTENDANCE RAW'!$J:$J,'ATTENDANCE RAW'!$E:$E,BIDWARS!$B9)=0),1,0)</f>
        <v>0</v>
      </c>
      <c r="O9" s="241" t="str">
        <f>IF(ISERROR(VLOOKUP($B9,'ATTRITION RAW'!$E:$E,1,0)),"ACTIVE","INACTIVE")</f>
        <v>ACTIVE</v>
      </c>
      <c r="P9" s="432">
        <f t="shared" si="2"/>
        <v>86</v>
      </c>
      <c r="Q9" s="432">
        <f t="shared" si="3"/>
        <v>400</v>
      </c>
      <c r="R9" s="432">
        <f t="shared" si="4"/>
        <v>200</v>
      </c>
      <c r="S9" s="432" t="str">
        <f t="shared" si="5"/>
        <v>-</v>
      </c>
      <c r="T9" s="432" t="str">
        <f t="shared" si="6"/>
        <v>-</v>
      </c>
      <c r="U9" s="432">
        <f t="shared" si="0"/>
        <v>0</v>
      </c>
      <c r="V9" s="432">
        <f t="shared" si="1"/>
        <v>0</v>
      </c>
      <c r="W9" s="433">
        <f t="shared" si="7"/>
        <v>686</v>
      </c>
    </row>
    <row r="10" spans="1:26">
      <c r="A10" s="2">
        <f>RESOURCES!B10</f>
        <v>7</v>
      </c>
      <c r="B10" s="431">
        <f>RESOURCES!C10</f>
        <v>10072161</v>
      </c>
      <c r="C10" s="431" t="str">
        <f>RESOURCES!D10</f>
        <v>MEDRANO, ROUSELLE</v>
      </c>
      <c r="D10" s="2" t="str">
        <f>RESOURCES!E10</f>
        <v>Web Designer</v>
      </c>
      <c r="E10" s="2" t="str">
        <f>RESOURCES!F10</f>
        <v>REYES, Arthur</v>
      </c>
      <c r="F10" s="2" t="str">
        <f>RESOURCES!G10</f>
        <v>MENDOZA, Carlo</v>
      </c>
      <c r="G10" s="2">
        <f>ROUNDUP(SUMIFS('PRODUCTIVITY RAW'!$L:$L,'PRODUCTIVITY RAW'!$B:$B,BIDWARS!$B10),0)</f>
        <v>0</v>
      </c>
      <c r="H10" s="16" t="str">
        <f>IFERROR(IF($D10="Proofreader",INDEX('CHURN RAW'!$H:$H,MATCH("SITE LEVEL",'CHURN RAW'!$C:$C,0)),IF($D10="Internal Mods (PSI)","-",INDEX(RESOURCES!$X:$X,MATCH(BIDWARS!$B10,RESOURCES!$C:$C,0)))),"-")</f>
        <v>NO SCORE</v>
      </c>
      <c r="I10" s="16" t="str">
        <f>IFERROR(ROUNDUP(INDEX(RESOURCES!$Y:$Y,MATCH(BIDWARS!$B10,RESOURCES!$C:$C,0)),2),"-")</f>
        <v>-</v>
      </c>
      <c r="J10" s="16" t="str">
        <f>IFERROR(ROUNDUP(INDEX(RESOURCES!$AA:$AA,MATCH(BIDWARS!$B10,RESOURCES!$C:$C,0)),2),"-")</f>
        <v>-</v>
      </c>
      <c r="K10" s="16" t="str">
        <f>IFERROR(VLOOKUP($C10,'CE RAW'!$D:$H,4,FALSE),"-")</f>
        <v>-</v>
      </c>
      <c r="L10" s="16" t="str">
        <f>IFERROR(VLOOKUP($C10,'CE RAW'!$D:$H,5,FALSE),"-")</f>
        <v>-</v>
      </c>
      <c r="M10" s="2">
        <f>COUNTIFS('BONUS RAW'!$D:$D,BIDWARS!$B10,'BONUS RAW'!$J:$J,"KUDOS")</f>
        <v>0</v>
      </c>
      <c r="N10" s="324">
        <f>IF(AND(SUMIFS('ATTENDANCE RAW'!$I:$I,'ATTENDANCE RAW'!$E:$E,BIDWARS!$B10)=0,SUMIFS('ATTENDANCE RAW'!$J:$J,'ATTENDANCE RAW'!$E:$E,BIDWARS!$B10)=0),1,0)</f>
        <v>1</v>
      </c>
      <c r="O10" s="241" t="str">
        <f>IF(ISERROR(VLOOKUP($B10,'ATTRITION RAW'!$E:$E,1,0)),"ACTIVE","INACTIVE")</f>
        <v>ACTIVE</v>
      </c>
      <c r="P10" s="432">
        <f t="shared" si="2"/>
        <v>0</v>
      </c>
      <c r="Q10" s="432" t="str">
        <f t="shared" si="3"/>
        <v>-</v>
      </c>
      <c r="R10" s="432" t="str">
        <f t="shared" si="4"/>
        <v>-</v>
      </c>
      <c r="S10" s="432" t="str">
        <f t="shared" si="5"/>
        <v>-</v>
      </c>
      <c r="T10" s="432" t="str">
        <f t="shared" si="6"/>
        <v>-</v>
      </c>
      <c r="U10" s="432">
        <f t="shared" si="0"/>
        <v>0</v>
      </c>
      <c r="V10" s="432">
        <f t="shared" si="1"/>
        <v>50</v>
      </c>
      <c r="W10" s="433">
        <f t="shared" si="7"/>
        <v>50</v>
      </c>
    </row>
    <row r="11" spans="1:26">
      <c r="A11" s="2">
        <f>RESOURCES!B11</f>
        <v>8</v>
      </c>
      <c r="B11" s="431">
        <f>RESOURCES!C11</f>
        <v>10071147</v>
      </c>
      <c r="C11" s="431" t="str">
        <f>RESOURCES!D11</f>
        <v>MORADA, JEROME F.</v>
      </c>
      <c r="D11" s="2" t="str">
        <f>RESOURCES!E11</f>
        <v>Web Designer</v>
      </c>
      <c r="E11" s="2" t="str">
        <f>RESOURCES!F11</f>
        <v>REYES, Arthur</v>
      </c>
      <c r="F11" s="2" t="str">
        <f>RESOURCES!G11</f>
        <v>MENDOZA, Carlo</v>
      </c>
      <c r="G11" s="2">
        <f>ROUNDUP(SUMIFS('PRODUCTIVITY RAW'!$L:$L,'PRODUCTIVITY RAW'!$B:$B,BIDWARS!$B11),0)</f>
        <v>73</v>
      </c>
      <c r="H11" s="16">
        <f>IFERROR(IF($D11="Proofreader",INDEX('CHURN RAW'!$H:$H,MATCH("SITE LEVEL",'CHURN RAW'!$C:$C,0)),IF($D11="Internal Mods (PSI)","-",INDEX(RESOURCES!$X:$X,MATCH(BIDWARS!$B11,RESOURCES!$C:$C,0)))),"-")</f>
        <v>0.8</v>
      </c>
      <c r="I11" s="16">
        <f>IFERROR(ROUNDUP(INDEX(RESOURCES!$Y:$Y,MATCH(BIDWARS!$B11,RESOURCES!$C:$C,0)),2),"-")</f>
        <v>0.99</v>
      </c>
      <c r="J11" s="16" t="str">
        <f>IFERROR(ROUNDUP(INDEX(RESOURCES!$AA:$AA,MATCH(BIDWARS!$B11,RESOURCES!$C:$C,0)),2),"-")</f>
        <v>-</v>
      </c>
      <c r="K11" s="16" t="str">
        <f>IFERROR(VLOOKUP($C11,'CE RAW'!$D:$H,4,FALSE),"-")</f>
        <v>-</v>
      </c>
      <c r="L11" s="16" t="str">
        <f>IFERROR(VLOOKUP($C11,'CE RAW'!$D:$H,5,FALSE),"-")</f>
        <v>-</v>
      </c>
      <c r="M11" s="2">
        <f>COUNTIFS('BONUS RAW'!$D:$D,BIDWARS!$B11,'BONUS RAW'!$J:$J,"KUDOS")</f>
        <v>0</v>
      </c>
      <c r="N11" s="324">
        <f>IF(AND(SUMIFS('ATTENDANCE RAW'!$I:$I,'ATTENDANCE RAW'!$E:$E,BIDWARS!$B11)=0,SUMIFS('ATTENDANCE RAW'!$J:$J,'ATTENDANCE RAW'!$E:$E,BIDWARS!$B11)=0),1,0)</f>
        <v>0</v>
      </c>
      <c r="O11" s="241" t="str">
        <f>IF(ISERROR(VLOOKUP($B11,'ATTRITION RAW'!$E:$E,1,0)),"ACTIVE","INACTIVE")</f>
        <v>ACTIVE</v>
      </c>
      <c r="P11" s="432">
        <f t="shared" si="2"/>
        <v>73</v>
      </c>
      <c r="Q11" s="432">
        <f t="shared" si="3"/>
        <v>160</v>
      </c>
      <c r="R11" s="432">
        <f t="shared" si="4"/>
        <v>198</v>
      </c>
      <c r="S11" s="432" t="str">
        <f t="shared" si="5"/>
        <v>-</v>
      </c>
      <c r="T11" s="432" t="str">
        <f t="shared" si="6"/>
        <v>-</v>
      </c>
      <c r="U11" s="432">
        <f t="shared" si="0"/>
        <v>0</v>
      </c>
      <c r="V11" s="432">
        <f t="shared" si="1"/>
        <v>0</v>
      </c>
      <c r="W11" s="433">
        <f t="shared" si="7"/>
        <v>431</v>
      </c>
    </row>
    <row r="12" spans="1:26">
      <c r="A12" s="2">
        <f>RESOURCES!B12</f>
        <v>9</v>
      </c>
      <c r="B12" s="431">
        <f>RESOURCES!C12</f>
        <v>10072105</v>
      </c>
      <c r="C12" s="431" t="str">
        <f>RESOURCES!D12</f>
        <v>VILLABRIGA, DARYL E.</v>
      </c>
      <c r="D12" s="2" t="str">
        <f>RESOURCES!E12</f>
        <v>Web Designer</v>
      </c>
      <c r="E12" s="2" t="str">
        <f>RESOURCES!F12</f>
        <v>REYES, Arthur</v>
      </c>
      <c r="F12" s="2" t="str">
        <f>RESOURCES!G12</f>
        <v>MENDOZA, Carlo</v>
      </c>
      <c r="G12" s="2">
        <f>ROUNDUP(SUMIFS('PRODUCTIVITY RAW'!$L:$L,'PRODUCTIVITY RAW'!$B:$B,BIDWARS!$B12),0)</f>
        <v>79</v>
      </c>
      <c r="H12" s="16">
        <f>IFERROR(IF($D12="Proofreader",INDEX('CHURN RAW'!$H:$H,MATCH("SITE LEVEL",'CHURN RAW'!$C:$C,0)),IF($D12="Internal Mods (PSI)","-",INDEX(RESOURCES!$X:$X,MATCH(BIDWARS!$B12,RESOURCES!$C:$C,0)))),"-")</f>
        <v>0</v>
      </c>
      <c r="I12" s="16">
        <f>IFERROR(ROUNDUP(INDEX(RESOURCES!$Y:$Y,MATCH(BIDWARS!$B12,RESOURCES!$C:$C,0)),2),"-")</f>
        <v>1</v>
      </c>
      <c r="J12" s="16" t="str">
        <f>IFERROR(ROUNDUP(INDEX(RESOURCES!$AA:$AA,MATCH(BIDWARS!$B12,RESOURCES!$C:$C,0)),2),"-")</f>
        <v>-</v>
      </c>
      <c r="K12" s="16" t="str">
        <f>IFERROR(VLOOKUP($C12,'CE RAW'!$D:$H,4,FALSE),"-")</f>
        <v>-</v>
      </c>
      <c r="L12" s="16" t="str">
        <f>IFERROR(VLOOKUP($C12,'CE RAW'!$D:$H,5,FALSE),"-")</f>
        <v>-</v>
      </c>
      <c r="M12" s="2">
        <f>COUNTIFS('BONUS RAW'!$D:$D,BIDWARS!$B12,'BONUS RAW'!$J:$J,"KUDOS")</f>
        <v>0</v>
      </c>
      <c r="N12" s="324">
        <f>IF(AND(SUMIFS('ATTENDANCE RAW'!$I:$I,'ATTENDANCE RAW'!$E:$E,BIDWARS!$B12)=0,SUMIFS('ATTENDANCE RAW'!$J:$J,'ATTENDANCE RAW'!$E:$E,BIDWARS!$B12)=0),1,0)</f>
        <v>0</v>
      </c>
      <c r="O12" s="241" t="str">
        <f>IF(ISERROR(VLOOKUP($B12,'ATTRITION RAW'!$E:$E,1,0)),"ACTIVE","INACTIVE")</f>
        <v>ACTIVE</v>
      </c>
      <c r="P12" s="432">
        <f t="shared" si="2"/>
        <v>79</v>
      </c>
      <c r="Q12" s="432">
        <f t="shared" si="3"/>
        <v>0</v>
      </c>
      <c r="R12" s="432">
        <f t="shared" si="4"/>
        <v>200</v>
      </c>
      <c r="S12" s="432" t="str">
        <f t="shared" si="5"/>
        <v>-</v>
      </c>
      <c r="T12" s="432" t="str">
        <f t="shared" si="6"/>
        <v>-</v>
      </c>
      <c r="U12" s="432">
        <f t="shared" si="0"/>
        <v>0</v>
      </c>
      <c r="V12" s="432">
        <f t="shared" si="1"/>
        <v>0</v>
      </c>
      <c r="W12" s="433">
        <f t="shared" si="7"/>
        <v>279</v>
      </c>
    </row>
    <row r="13" spans="1:26">
      <c r="A13" s="2">
        <f>RESOURCES!B13</f>
        <v>10</v>
      </c>
      <c r="B13" s="431">
        <f>RESOURCES!C13</f>
        <v>10072206</v>
      </c>
      <c r="C13" s="431" t="str">
        <f>RESOURCES!D13</f>
        <v>RABANERA, JOMAR G.</v>
      </c>
      <c r="D13" s="2" t="str">
        <f>RESOURCES!E13</f>
        <v>Web Designer</v>
      </c>
      <c r="E13" s="2" t="str">
        <f>RESOURCES!F13</f>
        <v>REYES, Arthur</v>
      </c>
      <c r="F13" s="2" t="str">
        <f>RESOURCES!G13</f>
        <v>MENDOZA, Carlo</v>
      </c>
      <c r="G13" s="2">
        <f>ROUNDUP(SUMIFS('PRODUCTIVITY RAW'!$L:$L,'PRODUCTIVITY RAW'!$B:$B,BIDWARS!$B13),0)</f>
        <v>110</v>
      </c>
      <c r="H13" s="16">
        <f>IFERROR(IF($D13="Proofreader",INDEX('CHURN RAW'!$H:$H,MATCH("SITE LEVEL",'CHURN RAW'!$C:$C,0)),IF($D13="Internal Mods (PSI)","-",INDEX(RESOURCES!$X:$X,MATCH(BIDWARS!$B13,RESOURCES!$C:$C,0)))),"-")</f>
        <v>0.9</v>
      </c>
      <c r="I13" s="16">
        <f>IFERROR(ROUNDUP(INDEX(RESOURCES!$Y:$Y,MATCH(BIDWARS!$B13,RESOURCES!$C:$C,0)),2),"-")</f>
        <v>1</v>
      </c>
      <c r="J13" s="16" t="str">
        <f>IFERROR(ROUNDUP(INDEX(RESOURCES!$AA:$AA,MATCH(BIDWARS!$B13,RESOURCES!$C:$C,0)),2),"-")</f>
        <v>-</v>
      </c>
      <c r="K13" s="16" t="str">
        <f>IFERROR(VLOOKUP($C13,'CE RAW'!$D:$H,4,FALSE),"-")</f>
        <v>-</v>
      </c>
      <c r="L13" s="16" t="str">
        <f>IFERROR(VLOOKUP($C13,'CE RAW'!$D:$H,5,FALSE),"-")</f>
        <v>-</v>
      </c>
      <c r="M13" s="2">
        <f>COUNTIFS('BONUS RAW'!$D:$D,BIDWARS!$B13,'BONUS RAW'!$J:$J,"KUDOS")</f>
        <v>0</v>
      </c>
      <c r="N13" s="324">
        <f>IF(AND(SUMIFS('ATTENDANCE RAW'!$I:$I,'ATTENDANCE RAW'!$E:$E,BIDWARS!$B13)=0,SUMIFS('ATTENDANCE RAW'!$J:$J,'ATTENDANCE RAW'!$E:$E,BIDWARS!$B13)=0),1,0)</f>
        <v>1</v>
      </c>
      <c r="O13" s="241" t="str">
        <f>IF(ISERROR(VLOOKUP($B13,'ATTRITION RAW'!$E:$E,1,0)),"ACTIVE","INACTIVE")</f>
        <v>ACTIVE</v>
      </c>
      <c r="P13" s="432">
        <f t="shared" si="2"/>
        <v>110</v>
      </c>
      <c r="Q13" s="432">
        <f t="shared" si="3"/>
        <v>270</v>
      </c>
      <c r="R13" s="432">
        <f t="shared" si="4"/>
        <v>200</v>
      </c>
      <c r="S13" s="432" t="str">
        <f t="shared" si="5"/>
        <v>-</v>
      </c>
      <c r="T13" s="432" t="str">
        <f t="shared" si="6"/>
        <v>-</v>
      </c>
      <c r="U13" s="432">
        <f t="shared" si="0"/>
        <v>0</v>
      </c>
      <c r="V13" s="432">
        <f t="shared" si="1"/>
        <v>50</v>
      </c>
      <c r="W13" s="433">
        <f t="shared" si="7"/>
        <v>630</v>
      </c>
    </row>
    <row r="14" spans="1:26">
      <c r="A14" s="2">
        <f>RESOURCES!B14</f>
        <v>11</v>
      </c>
      <c r="B14" s="431">
        <f>RESOURCES!C14</f>
        <v>10072031</v>
      </c>
      <c r="C14" s="431" t="str">
        <f>RESOURCES!D14</f>
        <v>GALANG, CARL ANTHONY M.</v>
      </c>
      <c r="D14" s="2" t="str">
        <f>RESOURCES!E14</f>
        <v>Web Designer</v>
      </c>
      <c r="E14" s="2" t="str">
        <f>RESOURCES!F14</f>
        <v>REYES, Arthur</v>
      </c>
      <c r="F14" s="2" t="str">
        <f>RESOURCES!G14</f>
        <v>MENDOZA, Carlo</v>
      </c>
      <c r="G14" s="2">
        <f>ROUNDUP(SUMIFS('PRODUCTIVITY RAW'!$L:$L,'PRODUCTIVITY RAW'!$B:$B,BIDWARS!$B14),0)</f>
        <v>226</v>
      </c>
      <c r="H14" s="16">
        <f>IFERROR(IF($D14="Proofreader",INDEX('CHURN RAW'!$H:$H,MATCH("SITE LEVEL",'CHURN RAW'!$C:$C,0)),IF($D14="Internal Mods (PSI)","-",INDEX(RESOURCES!$X:$X,MATCH(BIDWARS!$B14,RESOURCES!$C:$C,0)))),"-")</f>
        <v>0.9</v>
      </c>
      <c r="I14" s="16">
        <f>IFERROR(ROUNDUP(INDEX(RESOURCES!$Y:$Y,MATCH(BIDWARS!$B14,RESOURCES!$C:$C,0)),2),"-")</f>
        <v>1</v>
      </c>
      <c r="J14" s="16" t="str">
        <f>IFERROR(ROUNDUP(INDEX(RESOURCES!$AA:$AA,MATCH(BIDWARS!$B14,RESOURCES!$C:$C,0)),2),"-")</f>
        <v>-</v>
      </c>
      <c r="K14" s="16" t="str">
        <f>IFERROR(VLOOKUP($C14,'CE RAW'!$D:$H,4,FALSE),"-")</f>
        <v>-</v>
      </c>
      <c r="L14" s="16" t="str">
        <f>IFERROR(VLOOKUP($C14,'CE RAW'!$D:$H,5,FALSE),"-")</f>
        <v>-</v>
      </c>
      <c r="M14" s="2">
        <f>COUNTIFS('BONUS RAW'!$D:$D,BIDWARS!$B14,'BONUS RAW'!$J:$J,"KUDOS")</f>
        <v>0</v>
      </c>
      <c r="N14" s="324">
        <f>IF(AND(SUMIFS('ATTENDANCE RAW'!$I:$I,'ATTENDANCE RAW'!$E:$E,BIDWARS!$B14)=0,SUMIFS('ATTENDANCE RAW'!$J:$J,'ATTENDANCE RAW'!$E:$E,BIDWARS!$B14)=0),1,0)</f>
        <v>0</v>
      </c>
      <c r="O14" s="241" t="str">
        <f>IF(ISERROR(VLOOKUP($B14,'ATTRITION RAW'!$E:$E,1,0)),"ACTIVE","INACTIVE")</f>
        <v>ACTIVE</v>
      </c>
      <c r="P14" s="432">
        <f t="shared" si="2"/>
        <v>226</v>
      </c>
      <c r="Q14" s="432">
        <f t="shared" si="3"/>
        <v>270</v>
      </c>
      <c r="R14" s="432">
        <f t="shared" si="4"/>
        <v>200</v>
      </c>
      <c r="S14" s="432" t="str">
        <f t="shared" si="5"/>
        <v>-</v>
      </c>
      <c r="T14" s="432" t="str">
        <f t="shared" si="6"/>
        <v>-</v>
      </c>
      <c r="U14" s="432">
        <f t="shared" si="0"/>
        <v>0</v>
      </c>
      <c r="V14" s="432">
        <f t="shared" si="1"/>
        <v>0</v>
      </c>
      <c r="W14" s="433">
        <f t="shared" si="7"/>
        <v>696</v>
      </c>
    </row>
    <row r="15" spans="1:26">
      <c r="A15" s="2">
        <f>RESOURCES!B15</f>
        <v>12</v>
      </c>
      <c r="B15" s="431">
        <f>RESOURCES!C15</f>
        <v>10070976</v>
      </c>
      <c r="C15" s="431" t="str">
        <f>RESOURCES!D15</f>
        <v>TRINIDAD, NESSER CARLO G.</v>
      </c>
      <c r="D15" s="2" t="str">
        <f>RESOURCES!E15</f>
        <v>Web Designer</v>
      </c>
      <c r="E15" s="2" t="str">
        <f>RESOURCES!F15</f>
        <v>REYES, Arthur</v>
      </c>
      <c r="F15" s="2" t="str">
        <f>RESOURCES!G15</f>
        <v>MENDOZA, Carlo</v>
      </c>
      <c r="G15" s="2">
        <f>ROUNDUP(SUMIFS('PRODUCTIVITY RAW'!$L:$L,'PRODUCTIVITY RAW'!$B:$B,BIDWARS!$B15),0)</f>
        <v>108</v>
      </c>
      <c r="H15" s="16">
        <f>IFERROR(IF($D15="Proofreader",INDEX('CHURN RAW'!$H:$H,MATCH("SITE LEVEL",'CHURN RAW'!$C:$C,0)),IF($D15="Internal Mods (PSI)","-",INDEX(RESOURCES!$X:$X,MATCH(BIDWARS!$B15,RESOURCES!$C:$C,0)))),"-")</f>
        <v>0.9</v>
      </c>
      <c r="I15" s="16">
        <f>IFERROR(ROUNDUP(INDEX(RESOURCES!$Y:$Y,MATCH(BIDWARS!$B15,RESOURCES!$C:$C,0)),2),"-")</f>
        <v>1</v>
      </c>
      <c r="J15" s="16" t="str">
        <f>IFERROR(ROUNDUP(INDEX(RESOURCES!$AA:$AA,MATCH(BIDWARS!$B15,RESOURCES!$C:$C,0)),2),"-")</f>
        <v>-</v>
      </c>
      <c r="K15" s="16" t="str">
        <f>IFERROR(VLOOKUP($C15,'CE RAW'!$D:$H,4,FALSE),"-")</f>
        <v>-</v>
      </c>
      <c r="L15" s="16" t="str">
        <f>IFERROR(VLOOKUP($C15,'CE RAW'!$D:$H,5,FALSE),"-")</f>
        <v>-</v>
      </c>
      <c r="M15" s="2">
        <f>COUNTIFS('BONUS RAW'!$D:$D,BIDWARS!$B15,'BONUS RAW'!$J:$J,"KUDOS")</f>
        <v>0</v>
      </c>
      <c r="N15" s="324">
        <f>IF(AND(SUMIFS('ATTENDANCE RAW'!$I:$I,'ATTENDANCE RAW'!$E:$E,BIDWARS!$B15)=0,SUMIFS('ATTENDANCE RAW'!$J:$J,'ATTENDANCE RAW'!$E:$E,BIDWARS!$B15)=0),1,0)</f>
        <v>0</v>
      </c>
      <c r="O15" s="241" t="str">
        <f>IF(ISERROR(VLOOKUP($B15,'ATTRITION RAW'!$E:$E,1,0)),"ACTIVE","INACTIVE")</f>
        <v>ACTIVE</v>
      </c>
      <c r="P15" s="432">
        <f t="shared" si="2"/>
        <v>108</v>
      </c>
      <c r="Q15" s="432">
        <f t="shared" si="3"/>
        <v>270</v>
      </c>
      <c r="R15" s="432">
        <f t="shared" si="4"/>
        <v>200</v>
      </c>
      <c r="S15" s="432" t="str">
        <f t="shared" si="5"/>
        <v>-</v>
      </c>
      <c r="T15" s="432" t="str">
        <f t="shared" si="6"/>
        <v>-</v>
      </c>
      <c r="U15" s="432">
        <f t="shared" si="0"/>
        <v>0</v>
      </c>
      <c r="V15" s="432">
        <f t="shared" si="1"/>
        <v>0</v>
      </c>
      <c r="W15" s="433">
        <f t="shared" si="7"/>
        <v>578</v>
      </c>
    </row>
    <row r="16" spans="1:26">
      <c r="A16" s="2">
        <f>RESOURCES!B16</f>
        <v>13</v>
      </c>
      <c r="B16" s="431">
        <f>RESOURCES!C16</f>
        <v>10072063</v>
      </c>
      <c r="C16" s="431" t="str">
        <f>RESOURCES!D16</f>
        <v>FABURADA, BOOZ JOSHUA V.</v>
      </c>
      <c r="D16" s="2" t="str">
        <f>RESOURCES!E16</f>
        <v>Web Designer</v>
      </c>
      <c r="E16" s="2" t="str">
        <f>RESOURCES!F16</f>
        <v>REYES, Arthur</v>
      </c>
      <c r="F16" s="2" t="str">
        <f>RESOURCES!G16</f>
        <v>MENDOZA, Carlo</v>
      </c>
      <c r="G16" s="2">
        <f>ROUNDUP(SUMIFS('PRODUCTIVITY RAW'!$L:$L,'PRODUCTIVITY RAW'!$B:$B,BIDWARS!$B16),0)</f>
        <v>165</v>
      </c>
      <c r="H16" s="16">
        <f>IFERROR(IF($D16="Proofreader",INDEX('CHURN RAW'!$H:$H,MATCH("SITE LEVEL",'CHURN RAW'!$C:$C,0)),IF($D16="Internal Mods (PSI)","-",INDEX(RESOURCES!$X:$X,MATCH(BIDWARS!$B16,RESOURCES!$C:$C,0)))),"-")</f>
        <v>0.9</v>
      </c>
      <c r="I16" s="16">
        <f>IFERROR(ROUNDUP(INDEX(RESOURCES!$Y:$Y,MATCH(BIDWARS!$B16,RESOURCES!$C:$C,0)),2),"-")</f>
        <v>1</v>
      </c>
      <c r="J16" s="16" t="str">
        <f>IFERROR(ROUNDUP(INDEX(RESOURCES!$AA:$AA,MATCH(BIDWARS!$B16,RESOURCES!$C:$C,0)),2),"-")</f>
        <v>-</v>
      </c>
      <c r="K16" s="16" t="str">
        <f>IFERROR(VLOOKUP($C16,'CE RAW'!$D:$H,4,FALSE),"-")</f>
        <v>-</v>
      </c>
      <c r="L16" s="16" t="str">
        <f>IFERROR(VLOOKUP($C16,'CE RAW'!$D:$H,5,FALSE),"-")</f>
        <v>-</v>
      </c>
      <c r="M16" s="2">
        <f>COUNTIFS('BONUS RAW'!$D:$D,BIDWARS!$B16,'BONUS RAW'!$J:$J,"KUDOS")</f>
        <v>0</v>
      </c>
      <c r="N16" s="324">
        <f>IF(AND(SUMIFS('ATTENDANCE RAW'!$I:$I,'ATTENDANCE RAW'!$E:$E,BIDWARS!$B16)=0,SUMIFS('ATTENDANCE RAW'!$J:$J,'ATTENDANCE RAW'!$E:$E,BIDWARS!$B16)=0),1,0)</f>
        <v>0</v>
      </c>
      <c r="O16" s="241" t="str">
        <f>IF(ISERROR(VLOOKUP($B16,'ATTRITION RAW'!$E:$E,1,0)),"ACTIVE","INACTIVE")</f>
        <v>ACTIVE</v>
      </c>
      <c r="P16" s="432">
        <f t="shared" si="2"/>
        <v>165</v>
      </c>
      <c r="Q16" s="432">
        <f t="shared" si="3"/>
        <v>270</v>
      </c>
      <c r="R16" s="432">
        <f t="shared" si="4"/>
        <v>200</v>
      </c>
      <c r="S16" s="432" t="str">
        <f t="shared" si="5"/>
        <v>-</v>
      </c>
      <c r="T16" s="432" t="str">
        <f t="shared" si="6"/>
        <v>-</v>
      </c>
      <c r="U16" s="432">
        <f t="shared" si="0"/>
        <v>0</v>
      </c>
      <c r="V16" s="432">
        <f t="shared" si="1"/>
        <v>0</v>
      </c>
      <c r="W16" s="433">
        <f t="shared" si="7"/>
        <v>635</v>
      </c>
    </row>
    <row r="17" spans="1:23">
      <c r="A17" s="2">
        <f>RESOURCES!B17</f>
        <v>14</v>
      </c>
      <c r="B17" s="431">
        <f>RESOURCES!C17</f>
        <v>10071750</v>
      </c>
      <c r="C17" s="431" t="str">
        <f>RESOURCES!D17</f>
        <v>VILLARMENTE, KIMBERLY S.</v>
      </c>
      <c r="D17" s="2" t="str">
        <f>RESOURCES!E17</f>
        <v>Web Designer</v>
      </c>
      <c r="E17" s="2" t="str">
        <f>RESOURCES!F17</f>
        <v>REYES, Arthur</v>
      </c>
      <c r="F17" s="2" t="str">
        <f>RESOURCES!G17</f>
        <v>MENDOZA, Carlo</v>
      </c>
      <c r="G17" s="2">
        <f>ROUNDUP(SUMIFS('PRODUCTIVITY RAW'!$L:$L,'PRODUCTIVITY RAW'!$B:$B,BIDWARS!$B17),0)</f>
        <v>199</v>
      </c>
      <c r="H17" s="16">
        <f>IFERROR(IF($D17="Proofreader",INDEX('CHURN RAW'!$H:$H,MATCH("SITE LEVEL",'CHURN RAW'!$C:$C,0)),IF($D17="Internal Mods (PSI)","-",INDEX(RESOURCES!$X:$X,MATCH(BIDWARS!$B17,RESOURCES!$C:$C,0)))),"-")</f>
        <v>0.9</v>
      </c>
      <c r="I17" s="16">
        <f>IFERROR(ROUNDUP(INDEX(RESOURCES!$Y:$Y,MATCH(BIDWARS!$B17,RESOURCES!$C:$C,0)),2),"-")</f>
        <v>1</v>
      </c>
      <c r="J17" s="16" t="str">
        <f>IFERROR(ROUNDUP(INDEX(RESOURCES!$AA:$AA,MATCH(BIDWARS!$B17,RESOURCES!$C:$C,0)),2),"-")</f>
        <v>-</v>
      </c>
      <c r="K17" s="16" t="str">
        <f>IFERROR(VLOOKUP($C17,'CE RAW'!$D:$H,4,FALSE),"-")</f>
        <v>-</v>
      </c>
      <c r="L17" s="16" t="str">
        <f>IFERROR(VLOOKUP($C17,'CE RAW'!$D:$H,5,FALSE),"-")</f>
        <v>-</v>
      </c>
      <c r="M17" s="2">
        <f>COUNTIFS('BONUS RAW'!$D:$D,BIDWARS!$B17,'BONUS RAW'!$J:$J,"KUDOS")</f>
        <v>0</v>
      </c>
      <c r="N17" s="324">
        <f>IF(AND(SUMIFS('ATTENDANCE RAW'!$I:$I,'ATTENDANCE RAW'!$E:$E,BIDWARS!$B17)=0,SUMIFS('ATTENDANCE RAW'!$J:$J,'ATTENDANCE RAW'!$E:$E,BIDWARS!$B17)=0),1,0)</f>
        <v>0</v>
      </c>
      <c r="O17" s="241" t="str">
        <f>IF(ISERROR(VLOOKUP($B17,'ATTRITION RAW'!$E:$E,1,0)),"ACTIVE","INACTIVE")</f>
        <v>ACTIVE</v>
      </c>
      <c r="P17" s="432">
        <f t="shared" si="2"/>
        <v>199</v>
      </c>
      <c r="Q17" s="432">
        <f t="shared" si="3"/>
        <v>270</v>
      </c>
      <c r="R17" s="432">
        <f t="shared" si="4"/>
        <v>200</v>
      </c>
      <c r="S17" s="432" t="str">
        <f t="shared" si="5"/>
        <v>-</v>
      </c>
      <c r="T17" s="432" t="str">
        <f t="shared" si="6"/>
        <v>-</v>
      </c>
      <c r="U17" s="432">
        <f t="shared" si="0"/>
        <v>0</v>
      </c>
      <c r="V17" s="432">
        <f t="shared" si="1"/>
        <v>0</v>
      </c>
      <c r="W17" s="433">
        <f t="shared" si="7"/>
        <v>669</v>
      </c>
    </row>
    <row r="18" spans="1:23">
      <c r="A18" s="2">
        <f>RESOURCES!B18</f>
        <v>15</v>
      </c>
      <c r="B18" s="431">
        <f>RESOURCES!C18</f>
        <v>10071071</v>
      </c>
      <c r="C18" s="431" t="str">
        <f>RESOURCES!D18</f>
        <v>AMON, KATRINA D.</v>
      </c>
      <c r="D18" s="2" t="str">
        <f>RESOURCES!E18</f>
        <v>Proofreader</v>
      </c>
      <c r="E18" s="2" t="str">
        <f>RESOURCES!F18</f>
        <v>REMULLA, Apple</v>
      </c>
      <c r="F18" s="2" t="str">
        <f>RESOURCES!G18</f>
        <v>PASQUIN, Ryan</v>
      </c>
      <c r="G18" s="2">
        <f>ROUNDUP(SUMIFS('PRODUCTIVITY RAW'!$L:$L,'PRODUCTIVITY RAW'!$B:$B,BIDWARS!$B18),0)</f>
        <v>45</v>
      </c>
      <c r="H18" s="16">
        <f>IFERROR(IF($D18="Proofreader",INDEX('CHURN RAW'!$H:$H,MATCH("SITE LEVEL",'CHURN RAW'!$C:$C,0)),IF($D18="Internal Mods (PSI)","-",INDEX(RESOURCES!$X:$X,MATCH(BIDWARS!$B18,RESOURCES!$C:$C,0)))),"-")</f>
        <v>0.9</v>
      </c>
      <c r="I18" s="16">
        <f>IFERROR(ROUNDUP(INDEX(RESOURCES!$Y:$Y,MATCH(BIDWARS!$B18,RESOURCES!$C:$C,0)),2),"-")</f>
        <v>1</v>
      </c>
      <c r="J18" s="16" t="str">
        <f>IFERROR(ROUNDUP(INDEX(RESOURCES!$AA:$AA,MATCH(BIDWARS!$B18,RESOURCES!$C:$C,0)),2),"-")</f>
        <v>-</v>
      </c>
      <c r="K18" s="16" t="str">
        <f>IFERROR(VLOOKUP($C18,'CE RAW'!$D:$H,4,FALSE),"-")</f>
        <v>-</v>
      </c>
      <c r="L18" s="16" t="str">
        <f>IFERROR(VLOOKUP($C18,'CE RAW'!$D:$H,5,FALSE),"-")</f>
        <v>-</v>
      </c>
      <c r="M18" s="2">
        <f>COUNTIFS('BONUS RAW'!$D:$D,BIDWARS!$B18,'BONUS RAW'!$J:$J,"KUDOS")</f>
        <v>0</v>
      </c>
      <c r="N18" s="324">
        <f>IF(AND(SUMIFS('ATTENDANCE RAW'!$I:$I,'ATTENDANCE RAW'!$E:$E,BIDWARS!$B18)=0,SUMIFS('ATTENDANCE RAW'!$J:$J,'ATTENDANCE RAW'!$E:$E,BIDWARS!$B18)=0),1,0)</f>
        <v>0</v>
      </c>
      <c r="O18" s="241" t="str">
        <f>IF(ISERROR(VLOOKUP($B18,'ATTRITION RAW'!$E:$E,1,0)),"ACTIVE","INACTIVE")</f>
        <v>ACTIVE</v>
      </c>
      <c r="P18" s="432">
        <f t="shared" si="2"/>
        <v>76</v>
      </c>
      <c r="Q18" s="432">
        <f t="shared" si="3"/>
        <v>270</v>
      </c>
      <c r="R18" s="432">
        <f t="shared" si="4"/>
        <v>200</v>
      </c>
      <c r="S18" s="432" t="str">
        <f t="shared" si="5"/>
        <v>-</v>
      </c>
      <c r="T18" s="432" t="str">
        <f t="shared" si="6"/>
        <v>-</v>
      </c>
      <c r="U18" s="432">
        <f t="shared" si="0"/>
        <v>0</v>
      </c>
      <c r="V18" s="432">
        <f t="shared" si="1"/>
        <v>0</v>
      </c>
      <c r="W18" s="433">
        <f t="shared" si="7"/>
        <v>546</v>
      </c>
    </row>
    <row r="19" spans="1:23">
      <c r="A19" s="2">
        <f>RESOURCES!B19</f>
        <v>16</v>
      </c>
      <c r="B19" s="431">
        <f>RESOURCES!C19</f>
        <v>10072471</v>
      </c>
      <c r="C19" s="431" t="str">
        <f>RESOURCES!D19</f>
        <v>CONDES, GERALDINE L.</v>
      </c>
      <c r="D19" s="2" t="str">
        <f>RESOURCES!E19</f>
        <v>Proofreader</v>
      </c>
      <c r="E19" s="2" t="str">
        <f>RESOURCES!F19</f>
        <v>REMULLA, Apple</v>
      </c>
      <c r="F19" s="2" t="str">
        <f>RESOURCES!G19</f>
        <v>PASQUIN, Ryan</v>
      </c>
      <c r="G19" s="2">
        <f>ROUNDUP(SUMIFS('PRODUCTIVITY RAW'!$L:$L,'PRODUCTIVITY RAW'!$B:$B,BIDWARS!$B19),0)</f>
        <v>66</v>
      </c>
      <c r="H19" s="16">
        <f>IFERROR(IF($D19="Proofreader",INDEX('CHURN RAW'!$H:$H,MATCH("SITE LEVEL",'CHURN RAW'!$C:$C,0)),IF($D19="Internal Mods (PSI)","-",INDEX(RESOURCES!$X:$X,MATCH(BIDWARS!$B19,RESOURCES!$C:$C,0)))),"-")</f>
        <v>0.9</v>
      </c>
      <c r="I19" s="16">
        <f>IFERROR(ROUNDUP(INDEX(RESOURCES!$Y:$Y,MATCH(BIDWARS!$B19,RESOURCES!$C:$C,0)),2),"-")</f>
        <v>1</v>
      </c>
      <c r="J19" s="16" t="str">
        <f>IFERROR(ROUNDUP(INDEX(RESOURCES!$AA:$AA,MATCH(BIDWARS!$B19,RESOURCES!$C:$C,0)),2),"-")</f>
        <v>-</v>
      </c>
      <c r="K19" s="16" t="str">
        <f>IFERROR(VLOOKUP($C19,'CE RAW'!$D:$H,4,FALSE),"-")</f>
        <v>-</v>
      </c>
      <c r="L19" s="16" t="str">
        <f>IFERROR(VLOOKUP($C19,'CE RAW'!$D:$H,5,FALSE),"-")</f>
        <v>-</v>
      </c>
      <c r="M19" s="2">
        <f>COUNTIFS('BONUS RAW'!$D:$D,BIDWARS!$B19,'BONUS RAW'!$J:$J,"KUDOS")</f>
        <v>0</v>
      </c>
      <c r="N19" s="324">
        <f>IF(AND(SUMIFS('ATTENDANCE RAW'!$I:$I,'ATTENDANCE RAW'!$E:$E,BIDWARS!$B19)=0,SUMIFS('ATTENDANCE RAW'!$J:$J,'ATTENDANCE RAW'!$E:$E,BIDWARS!$B19)=0),1,0)</f>
        <v>1</v>
      </c>
      <c r="O19" s="241" t="str">
        <f>IF(ISERROR(VLOOKUP($B19,'ATTRITION RAW'!$E:$E,1,0)),"ACTIVE","INACTIVE")</f>
        <v>ACTIVE</v>
      </c>
      <c r="P19" s="432">
        <f t="shared" si="2"/>
        <v>111</v>
      </c>
      <c r="Q19" s="432">
        <f t="shared" si="3"/>
        <v>270</v>
      </c>
      <c r="R19" s="432">
        <f t="shared" si="4"/>
        <v>200</v>
      </c>
      <c r="S19" s="432" t="str">
        <f t="shared" si="5"/>
        <v>-</v>
      </c>
      <c r="T19" s="432" t="str">
        <f t="shared" si="6"/>
        <v>-</v>
      </c>
      <c r="U19" s="432">
        <f t="shared" si="0"/>
        <v>0</v>
      </c>
      <c r="V19" s="432">
        <f t="shared" si="1"/>
        <v>50</v>
      </c>
      <c r="W19" s="433">
        <f t="shared" si="7"/>
        <v>631</v>
      </c>
    </row>
    <row r="20" spans="1:23">
      <c r="A20" s="2">
        <f>RESOURCES!B20</f>
        <v>17</v>
      </c>
      <c r="B20" s="431">
        <f>RESOURCES!C20</f>
        <v>10072182</v>
      </c>
      <c r="C20" s="431" t="str">
        <f>RESOURCES!D20</f>
        <v>GONZAGA, AYRA N.</v>
      </c>
      <c r="D20" s="2" t="str">
        <f>RESOURCES!E20</f>
        <v>Proofreader</v>
      </c>
      <c r="E20" s="2" t="str">
        <f>RESOURCES!F20</f>
        <v>REMULLA, Apple</v>
      </c>
      <c r="F20" s="2" t="str">
        <f>RESOURCES!G20</f>
        <v>PASQUIN, Ryan</v>
      </c>
      <c r="G20" s="2">
        <f>ROUNDUP(SUMIFS('PRODUCTIVITY RAW'!$L:$L,'PRODUCTIVITY RAW'!$B:$B,BIDWARS!$B20),0)</f>
        <v>60</v>
      </c>
      <c r="H20" s="16">
        <f>IFERROR(IF($D20="Proofreader",INDEX('CHURN RAW'!$H:$H,MATCH("SITE LEVEL",'CHURN RAW'!$C:$C,0)),IF($D20="Internal Mods (PSI)","-",INDEX(RESOURCES!$X:$X,MATCH(BIDWARS!$B20,RESOURCES!$C:$C,0)))),"-")</f>
        <v>0.9</v>
      </c>
      <c r="I20" s="16">
        <f>IFERROR(ROUNDUP(INDEX(RESOURCES!$Y:$Y,MATCH(BIDWARS!$B20,RESOURCES!$C:$C,0)),2),"-")</f>
        <v>1</v>
      </c>
      <c r="J20" s="16" t="str">
        <f>IFERROR(ROUNDUP(INDEX(RESOURCES!$AA:$AA,MATCH(BIDWARS!$B20,RESOURCES!$C:$C,0)),2),"-")</f>
        <v>-</v>
      </c>
      <c r="K20" s="16" t="str">
        <f>IFERROR(VLOOKUP($C20,'CE RAW'!$D:$H,4,FALSE),"-")</f>
        <v>-</v>
      </c>
      <c r="L20" s="16" t="str">
        <f>IFERROR(VLOOKUP($C20,'CE RAW'!$D:$H,5,FALSE),"-")</f>
        <v>-</v>
      </c>
      <c r="M20" s="2">
        <f>COUNTIFS('BONUS RAW'!$D:$D,BIDWARS!$B20,'BONUS RAW'!$J:$J,"KUDOS")</f>
        <v>0</v>
      </c>
      <c r="N20" s="324">
        <f>IF(AND(SUMIFS('ATTENDANCE RAW'!$I:$I,'ATTENDANCE RAW'!$E:$E,BIDWARS!$B20)=0,SUMIFS('ATTENDANCE RAW'!$J:$J,'ATTENDANCE RAW'!$E:$E,BIDWARS!$B20)=0),1,0)</f>
        <v>0</v>
      </c>
      <c r="O20" s="241" t="str">
        <f>IF(ISERROR(VLOOKUP($B20,'ATTRITION RAW'!$E:$E,1,0)),"ACTIVE","INACTIVE")</f>
        <v>ACTIVE</v>
      </c>
      <c r="P20" s="432">
        <f t="shared" si="2"/>
        <v>101</v>
      </c>
      <c r="Q20" s="432">
        <f t="shared" si="3"/>
        <v>270</v>
      </c>
      <c r="R20" s="432">
        <f t="shared" si="4"/>
        <v>200</v>
      </c>
      <c r="S20" s="432" t="str">
        <f t="shared" si="5"/>
        <v>-</v>
      </c>
      <c r="T20" s="432" t="str">
        <f t="shared" si="6"/>
        <v>-</v>
      </c>
      <c r="U20" s="432">
        <f t="shared" si="0"/>
        <v>0</v>
      </c>
      <c r="V20" s="432">
        <f t="shared" si="1"/>
        <v>0</v>
      </c>
      <c r="W20" s="433">
        <f t="shared" si="7"/>
        <v>571</v>
      </c>
    </row>
    <row r="21" spans="1:23">
      <c r="A21" s="2">
        <f>RESOURCES!B21</f>
        <v>18</v>
      </c>
      <c r="B21" s="431">
        <f>RESOURCES!C21</f>
        <v>10072222</v>
      </c>
      <c r="C21" s="431" t="str">
        <f>RESOURCES!D21</f>
        <v>GUTIERREZ, JOSE ARMANDO K., II</v>
      </c>
      <c r="D21" s="2" t="str">
        <f>RESOURCES!E21</f>
        <v>Proofreader</v>
      </c>
      <c r="E21" s="2" t="str">
        <f>RESOURCES!F21</f>
        <v>REMULLA, Apple</v>
      </c>
      <c r="F21" s="2" t="str">
        <f>RESOURCES!G21</f>
        <v>PASQUIN, Ryan</v>
      </c>
      <c r="G21" s="2">
        <f>ROUNDUP(SUMIFS('PRODUCTIVITY RAW'!$L:$L,'PRODUCTIVITY RAW'!$B:$B,BIDWARS!$B21),0)</f>
        <v>56</v>
      </c>
      <c r="H21" s="16">
        <f>IFERROR(IF($D21="Proofreader",INDEX('CHURN RAW'!$H:$H,MATCH("SITE LEVEL",'CHURN RAW'!$C:$C,0)),IF($D21="Internal Mods (PSI)","-",INDEX(RESOURCES!$X:$X,MATCH(BIDWARS!$B21,RESOURCES!$C:$C,0)))),"-")</f>
        <v>0.9</v>
      </c>
      <c r="I21" s="16">
        <f>IFERROR(ROUNDUP(INDEX(RESOURCES!$Y:$Y,MATCH(BIDWARS!$B21,RESOURCES!$C:$C,0)),2),"-")</f>
        <v>0.9</v>
      </c>
      <c r="J21" s="16" t="str">
        <f>IFERROR(ROUNDUP(INDEX(RESOURCES!$AA:$AA,MATCH(BIDWARS!$B21,RESOURCES!$C:$C,0)),2),"-")</f>
        <v>-</v>
      </c>
      <c r="K21" s="16" t="str">
        <f>IFERROR(VLOOKUP($C21,'CE RAW'!$D:$H,4,FALSE),"-")</f>
        <v>-</v>
      </c>
      <c r="L21" s="16" t="str">
        <f>IFERROR(VLOOKUP($C21,'CE RAW'!$D:$H,5,FALSE),"-")</f>
        <v>-</v>
      </c>
      <c r="M21" s="2">
        <f>COUNTIFS('BONUS RAW'!$D:$D,BIDWARS!$B21,'BONUS RAW'!$J:$J,"KUDOS")</f>
        <v>0</v>
      </c>
      <c r="N21" s="324">
        <f>IF(AND(SUMIFS('ATTENDANCE RAW'!$I:$I,'ATTENDANCE RAW'!$E:$E,BIDWARS!$B21)=0,SUMIFS('ATTENDANCE RAW'!$J:$J,'ATTENDANCE RAW'!$E:$E,BIDWARS!$B21)=0),1,0)</f>
        <v>1</v>
      </c>
      <c r="O21" s="241" t="str">
        <f>IF(ISERROR(VLOOKUP($B21,'ATTRITION RAW'!$E:$E,1,0)),"ACTIVE","INACTIVE")</f>
        <v>ACTIVE</v>
      </c>
      <c r="P21" s="432">
        <f t="shared" si="2"/>
        <v>94</v>
      </c>
      <c r="Q21" s="432">
        <f t="shared" si="3"/>
        <v>270</v>
      </c>
      <c r="R21" s="432">
        <f t="shared" si="4"/>
        <v>180</v>
      </c>
      <c r="S21" s="432" t="str">
        <f t="shared" si="5"/>
        <v>-</v>
      </c>
      <c r="T21" s="432" t="str">
        <f t="shared" si="6"/>
        <v>-</v>
      </c>
      <c r="U21" s="432">
        <f t="shared" si="0"/>
        <v>0</v>
      </c>
      <c r="V21" s="432">
        <f t="shared" si="1"/>
        <v>50</v>
      </c>
      <c r="W21" s="433">
        <f t="shared" si="7"/>
        <v>594</v>
      </c>
    </row>
    <row r="22" spans="1:23">
      <c r="A22" s="2">
        <f>RESOURCES!B22</f>
        <v>19</v>
      </c>
      <c r="B22" s="431">
        <f>RESOURCES!C22</f>
        <v>10072472</v>
      </c>
      <c r="C22" s="431" t="str">
        <f>RESOURCES!D22</f>
        <v>LIAD, ANGELICA A.</v>
      </c>
      <c r="D22" s="2" t="str">
        <f>RESOURCES!E22</f>
        <v>Proofreader</v>
      </c>
      <c r="E22" s="2" t="str">
        <f>RESOURCES!F22</f>
        <v>REMULLA, Apple</v>
      </c>
      <c r="F22" s="2" t="str">
        <f>RESOURCES!G22</f>
        <v>PASQUIN, Ryan</v>
      </c>
      <c r="G22" s="2">
        <f>ROUNDUP(SUMIFS('PRODUCTIVITY RAW'!$L:$L,'PRODUCTIVITY RAW'!$B:$B,BIDWARS!$B22),0)</f>
        <v>40</v>
      </c>
      <c r="H22" s="16">
        <f>IFERROR(IF($D22="Proofreader",INDEX('CHURN RAW'!$H:$H,MATCH("SITE LEVEL",'CHURN RAW'!$C:$C,0)),IF($D22="Internal Mods (PSI)","-",INDEX(RESOURCES!$X:$X,MATCH(BIDWARS!$B22,RESOURCES!$C:$C,0)))),"-")</f>
        <v>0.9</v>
      </c>
      <c r="I22" s="16">
        <f>IFERROR(ROUNDUP(INDEX(RESOURCES!$Y:$Y,MATCH(BIDWARS!$B22,RESOURCES!$C:$C,0)),2),"-")</f>
        <v>1</v>
      </c>
      <c r="J22" s="16" t="str">
        <f>IFERROR(ROUNDUP(INDEX(RESOURCES!$AA:$AA,MATCH(BIDWARS!$B22,RESOURCES!$C:$C,0)),2),"-")</f>
        <v>-</v>
      </c>
      <c r="K22" s="16" t="str">
        <f>IFERROR(VLOOKUP($C22,'CE RAW'!$D:$H,4,FALSE),"-")</f>
        <v>-</v>
      </c>
      <c r="L22" s="16" t="str">
        <f>IFERROR(VLOOKUP($C22,'CE RAW'!$D:$H,5,FALSE),"-")</f>
        <v>-</v>
      </c>
      <c r="M22" s="2">
        <f>COUNTIFS('BONUS RAW'!$D:$D,BIDWARS!$B22,'BONUS RAW'!$J:$J,"KUDOS")</f>
        <v>0</v>
      </c>
      <c r="N22" s="324">
        <f>IF(AND(SUMIFS('ATTENDANCE RAW'!$I:$I,'ATTENDANCE RAW'!$E:$E,BIDWARS!$B22)=0,SUMIFS('ATTENDANCE RAW'!$J:$J,'ATTENDANCE RAW'!$E:$E,BIDWARS!$B22)=0),1,0)</f>
        <v>0</v>
      </c>
      <c r="O22" s="241" t="str">
        <f>IF(ISERROR(VLOOKUP($B22,'ATTRITION RAW'!$E:$E,1,0)),"ACTIVE","INACTIVE")</f>
        <v>ACTIVE</v>
      </c>
      <c r="P22" s="432">
        <f t="shared" si="2"/>
        <v>67</v>
      </c>
      <c r="Q22" s="432">
        <f t="shared" si="3"/>
        <v>270</v>
      </c>
      <c r="R22" s="432">
        <f t="shared" si="4"/>
        <v>200</v>
      </c>
      <c r="S22" s="432" t="str">
        <f t="shared" si="5"/>
        <v>-</v>
      </c>
      <c r="T22" s="432" t="str">
        <f t="shared" si="6"/>
        <v>-</v>
      </c>
      <c r="U22" s="432">
        <f t="shared" si="0"/>
        <v>0</v>
      </c>
      <c r="V22" s="432">
        <f t="shared" si="1"/>
        <v>0</v>
      </c>
      <c r="W22" s="433">
        <f t="shared" si="7"/>
        <v>537</v>
      </c>
    </row>
    <row r="23" spans="1:23">
      <c r="A23" s="2">
        <f>RESOURCES!B23</f>
        <v>20</v>
      </c>
      <c r="B23" s="431">
        <f>RESOURCES!C23</f>
        <v>10072069</v>
      </c>
      <c r="C23" s="431" t="str">
        <f>RESOURCES!D23</f>
        <v>MONZON, PAULINE JOYCE A.</v>
      </c>
      <c r="D23" s="2" t="str">
        <f>RESOURCES!E23</f>
        <v>Proofreader</v>
      </c>
      <c r="E23" s="2" t="str">
        <f>RESOURCES!F23</f>
        <v>REMULLA, Apple</v>
      </c>
      <c r="F23" s="2" t="str">
        <f>RESOURCES!G23</f>
        <v>PASQUIN, Ryan</v>
      </c>
      <c r="G23" s="2">
        <f>ROUNDUP(SUMIFS('PRODUCTIVITY RAW'!$L:$L,'PRODUCTIVITY RAW'!$B:$B,BIDWARS!$B23),0)</f>
        <v>35</v>
      </c>
      <c r="H23" s="16">
        <f>IFERROR(IF($D23="Proofreader",INDEX('CHURN RAW'!$H:$H,MATCH("SITE LEVEL",'CHURN RAW'!$C:$C,0)),IF($D23="Internal Mods (PSI)","-",INDEX(RESOURCES!$X:$X,MATCH(BIDWARS!$B23,RESOURCES!$C:$C,0)))),"-")</f>
        <v>0.9</v>
      </c>
      <c r="I23" s="16">
        <f>IFERROR(ROUNDUP(INDEX(RESOURCES!$Y:$Y,MATCH(BIDWARS!$B23,RESOURCES!$C:$C,0)),2),"-")</f>
        <v>1</v>
      </c>
      <c r="J23" s="16" t="str">
        <f>IFERROR(ROUNDUP(INDEX(RESOURCES!$AA:$AA,MATCH(BIDWARS!$B23,RESOURCES!$C:$C,0)),2),"-")</f>
        <v>-</v>
      </c>
      <c r="K23" s="16" t="str">
        <f>IFERROR(VLOOKUP($C23,'CE RAW'!$D:$H,4,FALSE),"-")</f>
        <v>-</v>
      </c>
      <c r="L23" s="16" t="str">
        <f>IFERROR(VLOOKUP($C23,'CE RAW'!$D:$H,5,FALSE),"-")</f>
        <v>-</v>
      </c>
      <c r="M23" s="2">
        <f>COUNTIFS('BONUS RAW'!$D:$D,BIDWARS!$B23,'BONUS RAW'!$J:$J,"KUDOS")</f>
        <v>0</v>
      </c>
      <c r="N23" s="324">
        <f>IF(AND(SUMIFS('ATTENDANCE RAW'!$I:$I,'ATTENDANCE RAW'!$E:$E,BIDWARS!$B23)=0,SUMIFS('ATTENDANCE RAW'!$J:$J,'ATTENDANCE RAW'!$E:$E,BIDWARS!$B23)=0),1,0)</f>
        <v>0</v>
      </c>
      <c r="O23" s="241" t="str">
        <f>IF(ISERROR(VLOOKUP($B23,'ATTRITION RAW'!$E:$E,1,0)),"ACTIVE","INACTIVE")</f>
        <v>ACTIVE</v>
      </c>
      <c r="P23" s="432">
        <f t="shared" si="2"/>
        <v>59</v>
      </c>
      <c r="Q23" s="432">
        <f t="shared" si="3"/>
        <v>270</v>
      </c>
      <c r="R23" s="432">
        <f t="shared" si="4"/>
        <v>200</v>
      </c>
      <c r="S23" s="432" t="str">
        <f t="shared" si="5"/>
        <v>-</v>
      </c>
      <c r="T23" s="432" t="str">
        <f t="shared" si="6"/>
        <v>-</v>
      </c>
      <c r="U23" s="432">
        <f t="shared" si="0"/>
        <v>0</v>
      </c>
      <c r="V23" s="432">
        <f t="shared" si="1"/>
        <v>0</v>
      </c>
      <c r="W23" s="433">
        <f t="shared" si="7"/>
        <v>529</v>
      </c>
    </row>
    <row r="24" spans="1:23">
      <c r="A24" s="2">
        <f>RESOURCES!B24</f>
        <v>21</v>
      </c>
      <c r="B24" s="431">
        <f>RESOURCES!C24</f>
        <v>10072097</v>
      </c>
      <c r="C24" s="431" t="str">
        <f>RESOURCES!D24</f>
        <v>NAVAL, MARY GRACE M.</v>
      </c>
      <c r="D24" s="2" t="str">
        <f>RESOURCES!E24</f>
        <v>Proofreader</v>
      </c>
      <c r="E24" s="2" t="str">
        <f>RESOURCES!F24</f>
        <v>REMULLA, Apple</v>
      </c>
      <c r="F24" s="2" t="str">
        <f>RESOURCES!G24</f>
        <v>PASQUIN, Ryan</v>
      </c>
      <c r="G24" s="2">
        <f>ROUNDUP(SUMIFS('PRODUCTIVITY RAW'!$L:$L,'PRODUCTIVITY RAW'!$B:$B,BIDWARS!$B24),0)</f>
        <v>52</v>
      </c>
      <c r="H24" s="16">
        <f>IFERROR(IF($D24="Proofreader",INDEX('CHURN RAW'!$H:$H,MATCH("SITE LEVEL",'CHURN RAW'!$C:$C,0)),IF($D24="Internal Mods (PSI)","-",INDEX(RESOURCES!$X:$X,MATCH(BIDWARS!$B24,RESOURCES!$C:$C,0)))),"-")</f>
        <v>0.9</v>
      </c>
      <c r="I24" s="16">
        <f>IFERROR(ROUNDUP(INDEX(RESOURCES!$Y:$Y,MATCH(BIDWARS!$B24,RESOURCES!$C:$C,0)),2),"-")</f>
        <v>1</v>
      </c>
      <c r="J24" s="16" t="str">
        <f>IFERROR(ROUNDUP(INDEX(RESOURCES!$AA:$AA,MATCH(BIDWARS!$B24,RESOURCES!$C:$C,0)),2),"-")</f>
        <v>-</v>
      </c>
      <c r="K24" s="16" t="str">
        <f>IFERROR(VLOOKUP($C24,'CE RAW'!$D:$H,4,FALSE),"-")</f>
        <v>-</v>
      </c>
      <c r="L24" s="16" t="str">
        <f>IFERROR(VLOOKUP($C24,'CE RAW'!$D:$H,5,FALSE),"-")</f>
        <v>-</v>
      </c>
      <c r="M24" s="2">
        <f>COUNTIFS('BONUS RAW'!$D:$D,BIDWARS!$B24,'BONUS RAW'!$J:$J,"KUDOS")</f>
        <v>0</v>
      </c>
      <c r="N24" s="324">
        <f>IF(AND(SUMIFS('ATTENDANCE RAW'!$I:$I,'ATTENDANCE RAW'!$E:$E,BIDWARS!$B24)=0,SUMIFS('ATTENDANCE RAW'!$J:$J,'ATTENDANCE RAW'!$E:$E,BIDWARS!$B24)=0),1,0)</f>
        <v>0</v>
      </c>
      <c r="O24" s="241" t="str">
        <f>IF(ISERROR(VLOOKUP($B24,'ATTRITION RAW'!$E:$E,1,0)),"ACTIVE","INACTIVE")</f>
        <v>ACTIVE</v>
      </c>
      <c r="P24" s="432">
        <f t="shared" si="2"/>
        <v>87</v>
      </c>
      <c r="Q24" s="432">
        <f t="shared" si="3"/>
        <v>270</v>
      </c>
      <c r="R24" s="432">
        <f t="shared" si="4"/>
        <v>200</v>
      </c>
      <c r="S24" s="432" t="str">
        <f t="shared" si="5"/>
        <v>-</v>
      </c>
      <c r="T24" s="432" t="str">
        <f t="shared" si="6"/>
        <v>-</v>
      </c>
      <c r="U24" s="432">
        <f t="shared" si="0"/>
        <v>0</v>
      </c>
      <c r="V24" s="432">
        <f t="shared" si="1"/>
        <v>0</v>
      </c>
      <c r="W24" s="433">
        <f t="shared" si="7"/>
        <v>557</v>
      </c>
    </row>
    <row r="25" spans="1:23">
      <c r="A25" s="2">
        <f>RESOURCES!B25</f>
        <v>22</v>
      </c>
      <c r="B25" s="431">
        <f>RESOURCES!C25</f>
        <v>10072077</v>
      </c>
      <c r="C25" s="431" t="str">
        <f>RESOURCES!D25</f>
        <v>OMAMBAC, JIMSEN P.</v>
      </c>
      <c r="D25" s="2" t="str">
        <f>RESOURCES!E25</f>
        <v>Proofreader</v>
      </c>
      <c r="E25" s="2" t="str">
        <f>RESOURCES!F25</f>
        <v>REMULLA, Apple</v>
      </c>
      <c r="F25" s="2" t="str">
        <f>RESOURCES!G25</f>
        <v>PASQUIN, Ryan</v>
      </c>
      <c r="G25" s="2">
        <f>ROUNDUP(SUMIFS('PRODUCTIVITY RAW'!$L:$L,'PRODUCTIVITY RAW'!$B:$B,BIDWARS!$B25),0)</f>
        <v>71</v>
      </c>
      <c r="H25" s="16">
        <f>IFERROR(IF($D25="Proofreader",INDEX('CHURN RAW'!$H:$H,MATCH("SITE LEVEL",'CHURN RAW'!$C:$C,0)),IF($D25="Internal Mods (PSI)","-",INDEX(RESOURCES!$X:$X,MATCH(BIDWARS!$B25,RESOURCES!$C:$C,0)))),"-")</f>
        <v>0.9</v>
      </c>
      <c r="I25" s="16">
        <f>IFERROR(ROUNDUP(INDEX(RESOURCES!$Y:$Y,MATCH(BIDWARS!$B25,RESOURCES!$C:$C,0)),2),"-")</f>
        <v>0.9</v>
      </c>
      <c r="J25" s="16" t="str">
        <f>IFERROR(ROUNDUP(INDEX(RESOURCES!$AA:$AA,MATCH(BIDWARS!$B25,RESOURCES!$C:$C,0)),2),"-")</f>
        <v>-</v>
      </c>
      <c r="K25" s="16" t="str">
        <f>IFERROR(VLOOKUP($C25,'CE RAW'!$D:$H,4,FALSE),"-")</f>
        <v>-</v>
      </c>
      <c r="L25" s="16" t="str">
        <f>IFERROR(VLOOKUP($C25,'CE RAW'!$D:$H,5,FALSE),"-")</f>
        <v>-</v>
      </c>
      <c r="M25" s="2">
        <f>COUNTIFS('BONUS RAW'!$D:$D,BIDWARS!$B25,'BONUS RAW'!$J:$J,"KUDOS")</f>
        <v>0</v>
      </c>
      <c r="N25" s="324">
        <f>IF(AND(SUMIFS('ATTENDANCE RAW'!$I:$I,'ATTENDANCE RAW'!$E:$E,BIDWARS!$B25)=0,SUMIFS('ATTENDANCE RAW'!$J:$J,'ATTENDANCE RAW'!$E:$E,BIDWARS!$B25)=0),1,0)</f>
        <v>1</v>
      </c>
      <c r="O25" s="241" t="str">
        <f>IF(ISERROR(VLOOKUP($B25,'ATTRITION RAW'!$E:$E,1,0)),"ACTIVE","INACTIVE")</f>
        <v>ACTIVE</v>
      </c>
      <c r="P25" s="432">
        <f t="shared" si="2"/>
        <v>119</v>
      </c>
      <c r="Q25" s="432">
        <f t="shared" si="3"/>
        <v>270</v>
      </c>
      <c r="R25" s="432">
        <f t="shared" si="4"/>
        <v>180</v>
      </c>
      <c r="S25" s="432" t="str">
        <f t="shared" si="5"/>
        <v>-</v>
      </c>
      <c r="T25" s="432" t="str">
        <f t="shared" si="6"/>
        <v>-</v>
      </c>
      <c r="U25" s="432">
        <f t="shared" si="0"/>
        <v>0</v>
      </c>
      <c r="V25" s="432">
        <f t="shared" si="1"/>
        <v>50</v>
      </c>
      <c r="W25" s="433">
        <f t="shared" si="7"/>
        <v>619</v>
      </c>
    </row>
    <row r="26" spans="1:23">
      <c r="A26" s="2">
        <f>RESOURCES!B26</f>
        <v>23</v>
      </c>
      <c r="B26" s="431">
        <f>RESOURCES!C26</f>
        <v>10071617</v>
      </c>
      <c r="C26" s="431" t="str">
        <f>RESOURCES!D26</f>
        <v>PARRILLA, CRISTINA MAY E.</v>
      </c>
      <c r="D26" s="2" t="str">
        <f>RESOURCES!E26</f>
        <v>Proofreader</v>
      </c>
      <c r="E26" s="2" t="str">
        <f>RESOURCES!F26</f>
        <v>REMULLA, Apple</v>
      </c>
      <c r="F26" s="2" t="str">
        <f>RESOURCES!G26</f>
        <v>PASQUIN, Ryan</v>
      </c>
      <c r="G26" s="2">
        <f>ROUNDUP(SUMIFS('PRODUCTIVITY RAW'!$L:$L,'PRODUCTIVITY RAW'!$B:$B,BIDWARS!$B26),0)</f>
        <v>46</v>
      </c>
      <c r="H26" s="16">
        <f>IFERROR(IF($D26="Proofreader",INDEX('CHURN RAW'!$H:$H,MATCH("SITE LEVEL",'CHURN RAW'!$C:$C,0)),IF($D26="Internal Mods (PSI)","-",INDEX(RESOURCES!$X:$X,MATCH(BIDWARS!$B26,RESOURCES!$C:$C,0)))),"-")</f>
        <v>0.9</v>
      </c>
      <c r="I26" s="16">
        <f>IFERROR(ROUNDUP(INDEX(RESOURCES!$Y:$Y,MATCH(BIDWARS!$B26,RESOURCES!$C:$C,0)),2),"-")</f>
        <v>1</v>
      </c>
      <c r="J26" s="16" t="str">
        <f>IFERROR(ROUNDUP(INDEX(RESOURCES!$AA:$AA,MATCH(BIDWARS!$B26,RESOURCES!$C:$C,0)),2),"-")</f>
        <v>-</v>
      </c>
      <c r="K26" s="16" t="str">
        <f>IFERROR(VLOOKUP($C26,'CE RAW'!$D:$H,4,FALSE),"-")</f>
        <v>-</v>
      </c>
      <c r="L26" s="16" t="str">
        <f>IFERROR(VLOOKUP($C26,'CE RAW'!$D:$H,5,FALSE),"-")</f>
        <v>-</v>
      </c>
      <c r="M26" s="2">
        <f>COUNTIFS('BONUS RAW'!$D:$D,BIDWARS!$B26,'BONUS RAW'!$J:$J,"KUDOS")</f>
        <v>0</v>
      </c>
      <c r="N26" s="324">
        <f>IF(AND(SUMIFS('ATTENDANCE RAW'!$I:$I,'ATTENDANCE RAW'!$E:$E,BIDWARS!$B26)=0,SUMIFS('ATTENDANCE RAW'!$J:$J,'ATTENDANCE RAW'!$E:$E,BIDWARS!$B26)=0),1,0)</f>
        <v>0</v>
      </c>
      <c r="O26" s="241" t="str">
        <f>IF(ISERROR(VLOOKUP($B26,'ATTRITION RAW'!$E:$E,1,0)),"ACTIVE","INACTIVE")</f>
        <v>ACTIVE</v>
      </c>
      <c r="P26" s="432">
        <f t="shared" si="2"/>
        <v>77</v>
      </c>
      <c r="Q26" s="432">
        <f t="shared" si="3"/>
        <v>270</v>
      </c>
      <c r="R26" s="432">
        <f t="shared" si="4"/>
        <v>200</v>
      </c>
      <c r="S26" s="432" t="str">
        <f t="shared" si="5"/>
        <v>-</v>
      </c>
      <c r="T26" s="432" t="str">
        <f t="shared" si="6"/>
        <v>-</v>
      </c>
      <c r="U26" s="432">
        <f t="shared" si="0"/>
        <v>0</v>
      </c>
      <c r="V26" s="432">
        <f t="shared" si="1"/>
        <v>0</v>
      </c>
      <c r="W26" s="433">
        <f t="shared" si="7"/>
        <v>547</v>
      </c>
    </row>
    <row r="27" spans="1:23">
      <c r="A27" s="2">
        <f>RESOURCES!B27</f>
        <v>24</v>
      </c>
      <c r="B27" s="431">
        <f>RESOURCES!C27</f>
        <v>10072215</v>
      </c>
      <c r="C27" s="431" t="str">
        <f>RESOURCES!D27</f>
        <v>PASCUAL, CATHERINE A.</v>
      </c>
      <c r="D27" s="2" t="str">
        <f>RESOURCES!E27</f>
        <v>Proofreader</v>
      </c>
      <c r="E27" s="2" t="str">
        <f>RESOURCES!F27</f>
        <v>REMULLA, Apple</v>
      </c>
      <c r="F27" s="2" t="str">
        <f>RESOURCES!G27</f>
        <v>PASQUIN, Ryan</v>
      </c>
      <c r="G27" s="2">
        <f>ROUNDUP(SUMIFS('PRODUCTIVITY RAW'!$L:$L,'PRODUCTIVITY RAW'!$B:$B,BIDWARS!$B27),0)</f>
        <v>54</v>
      </c>
      <c r="H27" s="16">
        <f>IFERROR(IF($D27="Proofreader",INDEX('CHURN RAW'!$H:$H,MATCH("SITE LEVEL",'CHURN RAW'!$C:$C,0)),IF($D27="Internal Mods (PSI)","-",INDEX(RESOURCES!$X:$X,MATCH(BIDWARS!$B27,RESOURCES!$C:$C,0)))),"-")</f>
        <v>0.9</v>
      </c>
      <c r="I27" s="16">
        <f>IFERROR(ROUNDUP(INDEX(RESOURCES!$Y:$Y,MATCH(BIDWARS!$B27,RESOURCES!$C:$C,0)),2),"-")</f>
        <v>1</v>
      </c>
      <c r="J27" s="16" t="str">
        <f>IFERROR(ROUNDUP(INDEX(RESOURCES!$AA:$AA,MATCH(BIDWARS!$B27,RESOURCES!$C:$C,0)),2),"-")</f>
        <v>-</v>
      </c>
      <c r="K27" s="16" t="str">
        <f>IFERROR(VLOOKUP($C27,'CE RAW'!$D:$H,4,FALSE),"-")</f>
        <v>-</v>
      </c>
      <c r="L27" s="16" t="str">
        <f>IFERROR(VLOOKUP($C27,'CE RAW'!$D:$H,5,FALSE),"-")</f>
        <v>-</v>
      </c>
      <c r="M27" s="2">
        <f>COUNTIFS('BONUS RAW'!$D:$D,BIDWARS!$B27,'BONUS RAW'!$J:$J,"KUDOS")</f>
        <v>0</v>
      </c>
      <c r="N27" s="324">
        <f>IF(AND(SUMIFS('ATTENDANCE RAW'!$I:$I,'ATTENDANCE RAW'!$E:$E,BIDWARS!$B27)=0,SUMIFS('ATTENDANCE RAW'!$J:$J,'ATTENDANCE RAW'!$E:$E,BIDWARS!$B27)=0),1,0)</f>
        <v>0</v>
      </c>
      <c r="O27" s="241" t="str">
        <f>IF(ISERROR(VLOOKUP($B27,'ATTRITION RAW'!$E:$E,1,0)),"ACTIVE","INACTIVE")</f>
        <v>ACTIVE</v>
      </c>
      <c r="P27" s="432">
        <f t="shared" si="2"/>
        <v>91</v>
      </c>
      <c r="Q27" s="432">
        <f t="shared" si="3"/>
        <v>270</v>
      </c>
      <c r="R27" s="432">
        <f t="shared" si="4"/>
        <v>200</v>
      </c>
      <c r="S27" s="432" t="str">
        <f t="shared" si="5"/>
        <v>-</v>
      </c>
      <c r="T27" s="432" t="str">
        <f t="shared" si="6"/>
        <v>-</v>
      </c>
      <c r="U27" s="432">
        <f t="shared" si="0"/>
        <v>0</v>
      </c>
      <c r="V27" s="432">
        <f t="shared" si="1"/>
        <v>0</v>
      </c>
      <c r="W27" s="433">
        <f t="shared" si="7"/>
        <v>561</v>
      </c>
    </row>
    <row r="28" spans="1:23">
      <c r="A28" s="2">
        <f>RESOURCES!B28</f>
        <v>25</v>
      </c>
      <c r="B28" s="431">
        <f>RESOURCES!C28</f>
        <v>10072213</v>
      </c>
      <c r="C28" s="431" t="str">
        <f>RESOURCES!D28</f>
        <v>RALLECA, MARY CARL DOROTEA M.</v>
      </c>
      <c r="D28" s="2" t="str">
        <f>RESOURCES!E28</f>
        <v>Proofreader</v>
      </c>
      <c r="E28" s="2" t="str">
        <f>RESOURCES!F28</f>
        <v>REMULLA, Apple</v>
      </c>
      <c r="F28" s="2" t="str">
        <f>RESOURCES!G28</f>
        <v>PASQUIN, Ryan</v>
      </c>
      <c r="G28" s="2">
        <f>ROUNDUP(SUMIFS('PRODUCTIVITY RAW'!$L:$L,'PRODUCTIVITY RAW'!$B:$B,BIDWARS!$B28),0)</f>
        <v>55</v>
      </c>
      <c r="H28" s="16">
        <f>IFERROR(IF($D28="Proofreader",INDEX('CHURN RAW'!$H:$H,MATCH("SITE LEVEL",'CHURN RAW'!$C:$C,0)),IF($D28="Internal Mods (PSI)","-",INDEX(RESOURCES!$X:$X,MATCH(BIDWARS!$B28,RESOURCES!$C:$C,0)))),"-")</f>
        <v>0.9</v>
      </c>
      <c r="I28" s="16">
        <f>IFERROR(ROUNDUP(INDEX(RESOURCES!$Y:$Y,MATCH(BIDWARS!$B28,RESOURCES!$C:$C,0)),2),"-")</f>
        <v>0.9</v>
      </c>
      <c r="J28" s="16" t="str">
        <f>IFERROR(ROUNDUP(INDEX(RESOURCES!$AA:$AA,MATCH(BIDWARS!$B28,RESOURCES!$C:$C,0)),2),"-")</f>
        <v>-</v>
      </c>
      <c r="K28" s="16" t="str">
        <f>IFERROR(VLOOKUP($C28,'CE RAW'!$D:$H,4,FALSE),"-")</f>
        <v>-</v>
      </c>
      <c r="L28" s="16" t="str">
        <f>IFERROR(VLOOKUP($C28,'CE RAW'!$D:$H,5,FALSE),"-")</f>
        <v>-</v>
      </c>
      <c r="M28" s="2">
        <f>COUNTIFS('BONUS RAW'!$D:$D,BIDWARS!$B28,'BONUS RAW'!$J:$J,"KUDOS")</f>
        <v>0</v>
      </c>
      <c r="N28" s="324">
        <f>IF(AND(SUMIFS('ATTENDANCE RAW'!$I:$I,'ATTENDANCE RAW'!$E:$E,BIDWARS!$B28)=0,SUMIFS('ATTENDANCE RAW'!$J:$J,'ATTENDANCE RAW'!$E:$E,BIDWARS!$B28)=0),1,0)</f>
        <v>0</v>
      </c>
      <c r="O28" s="241" t="str">
        <f>IF(ISERROR(VLOOKUP($B28,'ATTRITION RAW'!$E:$E,1,0)),"ACTIVE","INACTIVE")</f>
        <v>ACTIVE</v>
      </c>
      <c r="P28" s="432">
        <f t="shared" si="2"/>
        <v>92</v>
      </c>
      <c r="Q28" s="432">
        <f t="shared" si="3"/>
        <v>270</v>
      </c>
      <c r="R28" s="432">
        <f t="shared" si="4"/>
        <v>180</v>
      </c>
      <c r="S28" s="432" t="str">
        <f t="shared" si="5"/>
        <v>-</v>
      </c>
      <c r="T28" s="432" t="str">
        <f t="shared" si="6"/>
        <v>-</v>
      </c>
      <c r="U28" s="432">
        <f t="shared" si="0"/>
        <v>0</v>
      </c>
      <c r="V28" s="432">
        <f t="shared" si="1"/>
        <v>0</v>
      </c>
      <c r="W28" s="433">
        <f t="shared" si="7"/>
        <v>542</v>
      </c>
    </row>
    <row r="29" spans="1:23">
      <c r="A29" s="2">
        <f>RESOURCES!B29</f>
        <v>26</v>
      </c>
      <c r="B29" s="431">
        <f>RESOURCES!C29</f>
        <v>10071055</v>
      </c>
      <c r="C29" s="431" t="str">
        <f>RESOURCES!D29</f>
        <v>SUAREZ, DANTE V.</v>
      </c>
      <c r="D29" s="2" t="str">
        <f>RESOURCES!E29</f>
        <v>Proofreader</v>
      </c>
      <c r="E29" s="2" t="str">
        <f>RESOURCES!F29</f>
        <v>REMULLA, Apple</v>
      </c>
      <c r="F29" s="2" t="str">
        <f>RESOURCES!G29</f>
        <v>PASQUIN, Ryan</v>
      </c>
      <c r="G29" s="2">
        <f>ROUNDUP(SUMIFS('PRODUCTIVITY RAW'!$L:$L,'PRODUCTIVITY RAW'!$B:$B,BIDWARS!$B29),0)</f>
        <v>59</v>
      </c>
      <c r="H29" s="16">
        <f>IFERROR(IF($D29="Proofreader",INDEX('CHURN RAW'!$H:$H,MATCH("SITE LEVEL",'CHURN RAW'!$C:$C,0)),IF($D29="Internal Mods (PSI)","-",INDEX(RESOURCES!$X:$X,MATCH(BIDWARS!$B29,RESOURCES!$C:$C,0)))),"-")</f>
        <v>0.9</v>
      </c>
      <c r="I29" s="16">
        <f>IFERROR(ROUNDUP(INDEX(RESOURCES!$Y:$Y,MATCH(BIDWARS!$B29,RESOURCES!$C:$C,0)),2),"-")</f>
        <v>1</v>
      </c>
      <c r="J29" s="16" t="str">
        <f>IFERROR(ROUNDUP(INDEX(RESOURCES!$AA:$AA,MATCH(BIDWARS!$B29,RESOURCES!$C:$C,0)),2),"-")</f>
        <v>-</v>
      </c>
      <c r="K29" s="16" t="str">
        <f>IFERROR(VLOOKUP($C29,'CE RAW'!$D:$H,4,FALSE),"-")</f>
        <v>-</v>
      </c>
      <c r="L29" s="16" t="str">
        <f>IFERROR(VLOOKUP($C29,'CE RAW'!$D:$H,5,FALSE),"-")</f>
        <v>-</v>
      </c>
      <c r="M29" s="2">
        <f>COUNTIFS('BONUS RAW'!$D:$D,BIDWARS!$B29,'BONUS RAW'!$J:$J,"KUDOS")</f>
        <v>0</v>
      </c>
      <c r="N29" s="324">
        <f>IF(AND(SUMIFS('ATTENDANCE RAW'!$I:$I,'ATTENDANCE RAW'!$E:$E,BIDWARS!$B29)=0,SUMIFS('ATTENDANCE RAW'!$J:$J,'ATTENDANCE RAW'!$E:$E,BIDWARS!$B29)=0),1,0)</f>
        <v>0</v>
      </c>
      <c r="O29" s="241" t="str">
        <f>IF(ISERROR(VLOOKUP($B29,'ATTRITION RAW'!$E:$E,1,0)),"ACTIVE","INACTIVE")</f>
        <v>ACTIVE</v>
      </c>
      <c r="P29" s="432">
        <f t="shared" si="2"/>
        <v>99</v>
      </c>
      <c r="Q29" s="432">
        <f t="shared" si="3"/>
        <v>270</v>
      </c>
      <c r="R29" s="432">
        <f t="shared" si="4"/>
        <v>200</v>
      </c>
      <c r="S29" s="432" t="str">
        <f t="shared" si="5"/>
        <v>-</v>
      </c>
      <c r="T29" s="432" t="str">
        <f t="shared" si="6"/>
        <v>-</v>
      </c>
      <c r="U29" s="432">
        <f t="shared" si="0"/>
        <v>0</v>
      </c>
      <c r="V29" s="432">
        <f t="shared" si="1"/>
        <v>0</v>
      </c>
      <c r="W29" s="433">
        <f t="shared" si="7"/>
        <v>569</v>
      </c>
    </row>
    <row r="30" spans="1:23">
      <c r="A30" s="2">
        <f>RESOURCES!B30</f>
        <v>27</v>
      </c>
      <c r="B30" s="431">
        <f>RESOURCES!C30</f>
        <v>10070996</v>
      </c>
      <c r="C30" s="431" t="str">
        <f>RESOURCES!D30</f>
        <v>SURBONA, SEAN S.</v>
      </c>
      <c r="D30" s="2" t="str">
        <f>RESOURCES!E30</f>
        <v>Proofreader</v>
      </c>
      <c r="E30" s="2" t="str">
        <f>RESOURCES!F30</f>
        <v>REMULLA, Apple</v>
      </c>
      <c r="F30" s="2" t="str">
        <f>RESOURCES!G30</f>
        <v>PASQUIN, Ryan</v>
      </c>
      <c r="G30" s="2">
        <f>ROUNDUP(SUMIFS('PRODUCTIVITY RAW'!$L:$L,'PRODUCTIVITY RAW'!$B:$B,BIDWARS!$B30),0)</f>
        <v>54</v>
      </c>
      <c r="H30" s="16">
        <f>IFERROR(IF($D30="Proofreader",INDEX('CHURN RAW'!$H:$H,MATCH("SITE LEVEL",'CHURN RAW'!$C:$C,0)),IF($D30="Internal Mods (PSI)","-",INDEX(RESOURCES!$X:$X,MATCH(BIDWARS!$B30,RESOURCES!$C:$C,0)))),"-")</f>
        <v>0.9</v>
      </c>
      <c r="I30" s="16">
        <f>IFERROR(ROUNDUP(INDEX(RESOURCES!$Y:$Y,MATCH(BIDWARS!$B30,RESOURCES!$C:$C,0)),2),"-")</f>
        <v>1</v>
      </c>
      <c r="J30" s="16" t="str">
        <f>IFERROR(ROUNDUP(INDEX(RESOURCES!$AA:$AA,MATCH(BIDWARS!$B30,RESOURCES!$C:$C,0)),2),"-")</f>
        <v>-</v>
      </c>
      <c r="K30" s="16" t="str">
        <f>IFERROR(VLOOKUP($C30,'CE RAW'!$D:$H,4,FALSE),"-")</f>
        <v>-</v>
      </c>
      <c r="L30" s="16" t="str">
        <f>IFERROR(VLOOKUP($C30,'CE RAW'!$D:$H,5,FALSE),"-")</f>
        <v>-</v>
      </c>
      <c r="M30" s="2">
        <f>COUNTIFS('BONUS RAW'!$D:$D,BIDWARS!$B30,'BONUS RAW'!$J:$J,"KUDOS")</f>
        <v>0</v>
      </c>
      <c r="N30" s="324">
        <f>IF(AND(SUMIFS('ATTENDANCE RAW'!$I:$I,'ATTENDANCE RAW'!$E:$E,BIDWARS!$B30)=0,SUMIFS('ATTENDANCE RAW'!$J:$J,'ATTENDANCE RAW'!$E:$E,BIDWARS!$B30)=0),1,0)</f>
        <v>0</v>
      </c>
      <c r="O30" s="241" t="str">
        <f>IF(ISERROR(VLOOKUP($B30,'ATTRITION RAW'!$E:$E,1,0)),"ACTIVE","INACTIVE")</f>
        <v>ACTIVE</v>
      </c>
      <c r="P30" s="432">
        <f t="shared" si="2"/>
        <v>91</v>
      </c>
      <c r="Q30" s="432">
        <f t="shared" si="3"/>
        <v>270</v>
      </c>
      <c r="R30" s="432">
        <f t="shared" si="4"/>
        <v>200</v>
      </c>
      <c r="S30" s="432" t="str">
        <f t="shared" si="5"/>
        <v>-</v>
      </c>
      <c r="T30" s="432" t="str">
        <f t="shared" si="6"/>
        <v>-</v>
      </c>
      <c r="U30" s="432">
        <f t="shared" si="0"/>
        <v>0</v>
      </c>
      <c r="V30" s="432">
        <f t="shared" si="1"/>
        <v>0</v>
      </c>
      <c r="W30" s="433">
        <f t="shared" si="7"/>
        <v>561</v>
      </c>
    </row>
    <row r="31" spans="1:23">
      <c r="A31" s="2">
        <f>RESOURCES!B31</f>
        <v>28</v>
      </c>
      <c r="B31" s="431">
        <f>RESOURCES!C31</f>
        <v>10072184</v>
      </c>
      <c r="C31" s="431" t="str">
        <f>RESOURCES!D31</f>
        <v>VARGAS, WINNIE I.</v>
      </c>
      <c r="D31" s="2" t="str">
        <f>RESOURCES!E31</f>
        <v>Proofreader</v>
      </c>
      <c r="E31" s="2" t="str">
        <f>RESOURCES!F31</f>
        <v>REMULLA, Apple</v>
      </c>
      <c r="F31" s="2" t="str">
        <f>RESOURCES!G31</f>
        <v>PASQUIN, Ryan</v>
      </c>
      <c r="G31" s="2">
        <f>ROUNDUP(SUMIFS('PRODUCTIVITY RAW'!$L:$L,'PRODUCTIVITY RAW'!$B:$B,BIDWARS!$B31),0)</f>
        <v>66</v>
      </c>
      <c r="H31" s="16">
        <f>IFERROR(IF($D31="Proofreader",INDEX('CHURN RAW'!$H:$H,MATCH("SITE LEVEL",'CHURN RAW'!$C:$C,0)),IF($D31="Internal Mods (PSI)","-",INDEX(RESOURCES!$X:$X,MATCH(BIDWARS!$B31,RESOURCES!$C:$C,0)))),"-")</f>
        <v>0.9</v>
      </c>
      <c r="I31" s="16">
        <f>IFERROR(ROUNDUP(INDEX(RESOURCES!$Y:$Y,MATCH(BIDWARS!$B31,RESOURCES!$C:$C,0)),2),"-")</f>
        <v>1</v>
      </c>
      <c r="J31" s="16" t="str">
        <f>IFERROR(ROUNDUP(INDEX(RESOURCES!$AA:$AA,MATCH(BIDWARS!$B31,RESOURCES!$C:$C,0)),2),"-")</f>
        <v>-</v>
      </c>
      <c r="K31" s="16" t="str">
        <f>IFERROR(VLOOKUP($C31,'CE RAW'!$D:$H,4,FALSE),"-")</f>
        <v>-</v>
      </c>
      <c r="L31" s="16" t="str">
        <f>IFERROR(VLOOKUP($C31,'CE RAW'!$D:$H,5,FALSE),"-")</f>
        <v>-</v>
      </c>
      <c r="M31" s="2">
        <f>COUNTIFS('BONUS RAW'!$D:$D,BIDWARS!$B31,'BONUS RAW'!$J:$J,"KUDOS")</f>
        <v>0</v>
      </c>
      <c r="N31" s="324">
        <f>IF(AND(SUMIFS('ATTENDANCE RAW'!$I:$I,'ATTENDANCE RAW'!$E:$E,BIDWARS!$B31)=0,SUMIFS('ATTENDANCE RAW'!$J:$J,'ATTENDANCE RAW'!$E:$E,BIDWARS!$B31)=0),1,0)</f>
        <v>1</v>
      </c>
      <c r="O31" s="241" t="str">
        <f>IF(ISERROR(VLOOKUP($B31,'ATTRITION RAW'!$E:$E,1,0)),"ACTIVE","INACTIVE")</f>
        <v>ACTIVE</v>
      </c>
      <c r="P31" s="432">
        <f t="shared" si="2"/>
        <v>111</v>
      </c>
      <c r="Q31" s="432">
        <f t="shared" si="3"/>
        <v>270</v>
      </c>
      <c r="R31" s="432">
        <f t="shared" si="4"/>
        <v>200</v>
      </c>
      <c r="S31" s="432" t="str">
        <f t="shared" si="5"/>
        <v>-</v>
      </c>
      <c r="T31" s="432" t="str">
        <f t="shared" si="6"/>
        <v>-</v>
      </c>
      <c r="U31" s="432">
        <f t="shared" si="0"/>
        <v>0</v>
      </c>
      <c r="V31" s="432">
        <f t="shared" si="1"/>
        <v>50</v>
      </c>
      <c r="W31" s="433">
        <f t="shared" si="7"/>
        <v>631</v>
      </c>
    </row>
    <row r="32" spans="1:23">
      <c r="A32" s="2">
        <f>RESOURCES!B32</f>
        <v>29</v>
      </c>
      <c r="B32" s="431">
        <f>RESOURCES!C32</f>
        <v>10071355</v>
      </c>
      <c r="C32" s="431" t="str">
        <f>RESOURCES!D32</f>
        <v>TEODOSIO, ERISE G.</v>
      </c>
      <c r="D32" s="2" t="str">
        <f>RESOURCES!E32</f>
        <v>Proofreader</v>
      </c>
      <c r="E32" s="2" t="str">
        <f>RESOURCES!F32</f>
        <v>REMULLA, Apple</v>
      </c>
      <c r="F32" s="2" t="str">
        <f>RESOURCES!G32</f>
        <v>PASQUIN, Ryan</v>
      </c>
      <c r="G32" s="2">
        <f>ROUNDUP(SUMIFS('PRODUCTIVITY RAW'!$L:$L,'PRODUCTIVITY RAW'!$B:$B,BIDWARS!$B32),0)</f>
        <v>56</v>
      </c>
      <c r="H32" s="16">
        <f>IFERROR(IF($D32="Proofreader",INDEX('CHURN RAW'!$H:$H,MATCH("SITE LEVEL",'CHURN RAW'!$C:$C,0)),IF($D32="Internal Mods (PSI)","-",INDEX(RESOURCES!$X:$X,MATCH(BIDWARS!$B32,RESOURCES!$C:$C,0)))),"-")</f>
        <v>0.9</v>
      </c>
      <c r="I32" s="16">
        <f>IFERROR(ROUNDUP(INDEX(RESOURCES!$Y:$Y,MATCH(BIDWARS!$B32,RESOURCES!$C:$C,0)),2),"-")</f>
        <v>1</v>
      </c>
      <c r="J32" s="16" t="str">
        <f>IFERROR(ROUNDUP(INDEX(RESOURCES!$AA:$AA,MATCH(BIDWARS!$B32,RESOURCES!$C:$C,0)),2),"-")</f>
        <v>-</v>
      </c>
      <c r="K32" s="16" t="str">
        <f>IFERROR(VLOOKUP($C32,'CE RAW'!$D:$H,4,FALSE),"-")</f>
        <v>-</v>
      </c>
      <c r="L32" s="16" t="str">
        <f>IFERROR(VLOOKUP($C32,'CE RAW'!$D:$H,5,FALSE),"-")</f>
        <v>-</v>
      </c>
      <c r="M32" s="2">
        <f>COUNTIFS('BONUS RAW'!$D:$D,BIDWARS!$B32,'BONUS RAW'!$J:$J,"KUDOS")</f>
        <v>0</v>
      </c>
      <c r="N32" s="324">
        <f>IF(AND(SUMIFS('ATTENDANCE RAW'!$I:$I,'ATTENDANCE RAW'!$E:$E,BIDWARS!$B32)=0,SUMIFS('ATTENDANCE RAW'!$J:$J,'ATTENDANCE RAW'!$E:$E,BIDWARS!$B32)=0),1,0)</f>
        <v>0</v>
      </c>
      <c r="O32" s="241" t="str">
        <f>IF(ISERROR(VLOOKUP($B32,'ATTRITION RAW'!$E:$E,1,0)),"ACTIVE","INACTIVE")</f>
        <v>ACTIVE</v>
      </c>
      <c r="P32" s="432">
        <f t="shared" si="2"/>
        <v>94</v>
      </c>
      <c r="Q32" s="432">
        <f t="shared" si="3"/>
        <v>270</v>
      </c>
      <c r="R32" s="432">
        <f t="shared" si="4"/>
        <v>200</v>
      </c>
      <c r="S32" s="432" t="str">
        <f t="shared" si="5"/>
        <v>-</v>
      </c>
      <c r="T32" s="432" t="str">
        <f t="shared" si="6"/>
        <v>-</v>
      </c>
      <c r="U32" s="432">
        <f t="shared" si="0"/>
        <v>0</v>
      </c>
      <c r="V32" s="432">
        <f t="shared" si="1"/>
        <v>0</v>
      </c>
      <c r="W32" s="433">
        <f t="shared" si="7"/>
        <v>564</v>
      </c>
    </row>
    <row r="33" spans="1:23">
      <c r="A33" s="2">
        <f>RESOURCES!B33</f>
        <v>30</v>
      </c>
      <c r="B33" s="431">
        <f>RESOURCES!C33</f>
        <v>10072007</v>
      </c>
      <c r="C33" s="431" t="str">
        <f>RESOURCES!D33</f>
        <v>TOMO, IRAND ALYSSA B.</v>
      </c>
      <c r="D33" s="2" t="str">
        <f>RESOURCES!E33</f>
        <v>Proofreader</v>
      </c>
      <c r="E33" s="2" t="str">
        <f>RESOURCES!F33</f>
        <v>REMULLA, Apple</v>
      </c>
      <c r="F33" s="2" t="str">
        <f>RESOURCES!G33</f>
        <v>PASQUIN, Ryan</v>
      </c>
      <c r="G33" s="2">
        <f>ROUNDUP(SUMIFS('PRODUCTIVITY RAW'!$L:$L,'PRODUCTIVITY RAW'!$B:$B,BIDWARS!$B33),0)</f>
        <v>52</v>
      </c>
      <c r="H33" s="16">
        <f>IFERROR(IF($D33="Proofreader",INDEX('CHURN RAW'!$H:$H,MATCH("SITE LEVEL",'CHURN RAW'!$C:$C,0)),IF($D33="Internal Mods (PSI)","-",INDEX(RESOURCES!$X:$X,MATCH(BIDWARS!$B33,RESOURCES!$C:$C,0)))),"-")</f>
        <v>0.9</v>
      </c>
      <c r="I33" s="16">
        <f>IFERROR(ROUNDUP(INDEX(RESOURCES!$Y:$Y,MATCH(BIDWARS!$B33,RESOURCES!$C:$C,0)),2),"-")</f>
        <v>1</v>
      </c>
      <c r="J33" s="16" t="str">
        <f>IFERROR(ROUNDUP(INDEX(RESOURCES!$AA:$AA,MATCH(BIDWARS!$B33,RESOURCES!$C:$C,0)),2),"-")</f>
        <v>-</v>
      </c>
      <c r="K33" s="16" t="str">
        <f>IFERROR(VLOOKUP($C33,'CE RAW'!$D:$H,4,FALSE),"-")</f>
        <v>-</v>
      </c>
      <c r="L33" s="16" t="str">
        <f>IFERROR(VLOOKUP($C33,'CE RAW'!$D:$H,5,FALSE),"-")</f>
        <v>-</v>
      </c>
      <c r="M33" s="2">
        <f>COUNTIFS('BONUS RAW'!$D:$D,BIDWARS!$B33,'BONUS RAW'!$J:$J,"KUDOS")</f>
        <v>0</v>
      </c>
      <c r="N33" s="324">
        <f>IF(AND(SUMIFS('ATTENDANCE RAW'!$I:$I,'ATTENDANCE RAW'!$E:$E,BIDWARS!$B33)=0,SUMIFS('ATTENDANCE RAW'!$J:$J,'ATTENDANCE RAW'!$E:$E,BIDWARS!$B33)=0),1,0)</f>
        <v>1</v>
      </c>
      <c r="O33" s="241" t="str">
        <f>IF(ISERROR(VLOOKUP($B33,'ATTRITION RAW'!$E:$E,1,0)),"ACTIVE","INACTIVE")</f>
        <v>ACTIVE</v>
      </c>
      <c r="P33" s="432">
        <f t="shared" si="2"/>
        <v>87</v>
      </c>
      <c r="Q33" s="432">
        <f t="shared" si="3"/>
        <v>270</v>
      </c>
      <c r="R33" s="432">
        <f t="shared" si="4"/>
        <v>200</v>
      </c>
      <c r="S33" s="432" t="str">
        <f t="shared" si="5"/>
        <v>-</v>
      </c>
      <c r="T33" s="432" t="str">
        <f t="shared" si="6"/>
        <v>-</v>
      </c>
      <c r="U33" s="432">
        <f t="shared" si="0"/>
        <v>0</v>
      </c>
      <c r="V33" s="432">
        <f t="shared" si="1"/>
        <v>50</v>
      </c>
      <c r="W33" s="433">
        <f t="shared" si="7"/>
        <v>607</v>
      </c>
    </row>
    <row r="34" spans="1:23">
      <c r="A34" s="2">
        <f>RESOURCES!B34</f>
        <v>31</v>
      </c>
      <c r="B34" s="431">
        <f>RESOURCES!C34</f>
        <v>10072156</v>
      </c>
      <c r="C34" s="431" t="str">
        <f>RESOURCES!D34</f>
        <v>ANASTACIO, NICHOLE JAN A.</v>
      </c>
      <c r="D34" s="2" t="str">
        <f>RESOURCES!E34</f>
        <v>Internal Mods (PSI)</v>
      </c>
      <c r="E34" s="2" t="str">
        <f>RESOURCES!F34</f>
        <v>REGENCIA, Reymark</v>
      </c>
      <c r="F34" s="2" t="str">
        <f>RESOURCES!G34</f>
        <v>PASQUIN, Ryan</v>
      </c>
      <c r="G34" s="2">
        <f>ROUNDUP(SUMIFS('PRODUCTIVITY RAW'!$L:$L,'PRODUCTIVITY RAW'!$B:$B,BIDWARS!$B34),0)</f>
        <v>126</v>
      </c>
      <c r="H34" s="16" t="str">
        <f>IFERROR(IF($D34="Proofreader",INDEX('CHURN RAW'!$H:$H,MATCH("SITE LEVEL",'CHURN RAW'!$C:$C,0)),IF($D34="Internal Mods (PSI)","-",INDEX(RESOURCES!$X:$X,MATCH(BIDWARS!$B34,RESOURCES!$C:$C,0)))),"-")</f>
        <v>-</v>
      </c>
      <c r="I34" s="16">
        <f>IFERROR(ROUNDUP(INDEX(RESOURCES!$Y:$Y,MATCH(BIDWARS!$B34,RESOURCES!$C:$C,0)),2),"-")</f>
        <v>1</v>
      </c>
      <c r="J34" s="16" t="str">
        <f>IFERROR(ROUNDUP(INDEX(RESOURCES!$AA:$AA,MATCH(BIDWARS!$B34,RESOURCES!$C:$C,0)),2),"-")</f>
        <v>-</v>
      </c>
      <c r="K34" s="16">
        <f>IFERROR(VLOOKUP($C34,'CE RAW'!$D:$H,4,FALSE),"-")</f>
        <v>0.92220000000000002</v>
      </c>
      <c r="L34" s="16" t="str">
        <f>IFERROR(VLOOKUP($C34,'CE RAW'!$D:$H,5,FALSE),"-")</f>
        <v>-</v>
      </c>
      <c r="M34" s="2">
        <f>COUNTIFS('BONUS RAW'!$D:$D,BIDWARS!$B34,'BONUS RAW'!$J:$J,"KUDOS")</f>
        <v>0</v>
      </c>
      <c r="N34" s="324">
        <f>IF(AND(SUMIFS('ATTENDANCE RAW'!$I:$I,'ATTENDANCE RAW'!$E:$E,BIDWARS!$B34)=0,SUMIFS('ATTENDANCE RAW'!$J:$J,'ATTENDANCE RAW'!$E:$E,BIDWARS!$B34)=0),1,0)</f>
        <v>0</v>
      </c>
      <c r="O34" s="241" t="str">
        <f>IF(ISERROR(VLOOKUP($B34,'ATTRITION RAW'!$E:$E,1,0)),"ACTIVE","INACTIVE")</f>
        <v>ACTIVE</v>
      </c>
      <c r="P34" s="432">
        <f t="shared" si="2"/>
        <v>126</v>
      </c>
      <c r="Q34" s="432" t="str">
        <f t="shared" si="3"/>
        <v>-</v>
      </c>
      <c r="R34" s="432">
        <f t="shared" si="4"/>
        <v>200</v>
      </c>
      <c r="S34" s="432" t="str">
        <f t="shared" si="5"/>
        <v>-</v>
      </c>
      <c r="T34" s="432">
        <f t="shared" si="6"/>
        <v>186</v>
      </c>
      <c r="U34" s="432">
        <f t="shared" si="0"/>
        <v>0</v>
      </c>
      <c r="V34" s="432">
        <f t="shared" si="1"/>
        <v>0</v>
      </c>
      <c r="W34" s="433">
        <f t="shared" si="7"/>
        <v>512</v>
      </c>
    </row>
    <row r="35" spans="1:23">
      <c r="A35" s="2">
        <f>RESOURCES!B35</f>
        <v>32</v>
      </c>
      <c r="B35" s="431">
        <f>RESOURCES!C35</f>
        <v>10072301</v>
      </c>
      <c r="C35" s="431" t="str">
        <f>RESOURCES!D35</f>
        <v>ARCEO, LUKE ARVIN B.</v>
      </c>
      <c r="D35" s="2" t="str">
        <f>RESOURCES!E35</f>
        <v>Internal Mods (PSI)</v>
      </c>
      <c r="E35" s="2" t="str">
        <f>RESOURCES!F35</f>
        <v>REGENCIA, Reymark</v>
      </c>
      <c r="F35" s="2" t="str">
        <f>RESOURCES!G35</f>
        <v>PASQUIN, Ryan</v>
      </c>
      <c r="G35" s="2">
        <f>ROUNDUP(SUMIFS('PRODUCTIVITY RAW'!$L:$L,'PRODUCTIVITY RAW'!$B:$B,BIDWARS!$B35),0)</f>
        <v>183</v>
      </c>
      <c r="H35" s="16" t="str">
        <f>IFERROR(IF($D35="Proofreader",INDEX('CHURN RAW'!$H:$H,MATCH("SITE LEVEL",'CHURN RAW'!$C:$C,0)),IF($D35="Internal Mods (PSI)","-",INDEX(RESOURCES!$X:$X,MATCH(BIDWARS!$B35,RESOURCES!$C:$C,0)))),"-")</f>
        <v>-</v>
      </c>
      <c r="I35" s="16">
        <f>IFERROR(ROUNDUP(INDEX(RESOURCES!$Y:$Y,MATCH(BIDWARS!$B35,RESOURCES!$C:$C,0)),2),"-")</f>
        <v>1</v>
      </c>
      <c r="J35" s="16" t="str">
        <f>IFERROR(ROUNDUP(INDEX(RESOURCES!$AA:$AA,MATCH(BIDWARS!$B35,RESOURCES!$C:$C,0)),2),"-")</f>
        <v>-</v>
      </c>
      <c r="K35" s="16">
        <f>IFERROR(VLOOKUP($C35,'CE RAW'!$D:$H,4,FALSE),"-")</f>
        <v>0.98260000000000003</v>
      </c>
      <c r="L35" s="16">
        <f>IFERROR(VLOOKUP($C35,'CE RAW'!$D:$H,5,FALSE),"-")</f>
        <v>1</v>
      </c>
      <c r="M35" s="2">
        <f>COUNTIFS('BONUS RAW'!$D:$D,BIDWARS!$B35,'BONUS RAW'!$J:$J,"KUDOS")</f>
        <v>0</v>
      </c>
      <c r="N35" s="324">
        <f>IF(AND(SUMIFS('ATTENDANCE RAW'!$I:$I,'ATTENDANCE RAW'!$E:$E,BIDWARS!$B35)=0,SUMIFS('ATTENDANCE RAW'!$J:$J,'ATTENDANCE RAW'!$E:$E,BIDWARS!$B35)=0),1,0)</f>
        <v>0</v>
      </c>
      <c r="O35" s="241" t="str">
        <f>IF(ISERROR(VLOOKUP($B35,'ATTRITION RAW'!$E:$E,1,0)),"ACTIVE","INACTIVE")</f>
        <v>ACTIVE</v>
      </c>
      <c r="P35" s="432">
        <f t="shared" si="2"/>
        <v>183</v>
      </c>
      <c r="Q35" s="432" t="str">
        <f t="shared" si="3"/>
        <v>-</v>
      </c>
      <c r="R35" s="432">
        <f t="shared" si="4"/>
        <v>200</v>
      </c>
      <c r="S35" s="432" t="str">
        <f t="shared" si="5"/>
        <v>-</v>
      </c>
      <c r="T35" s="432">
        <f t="shared" si="6"/>
        <v>198</v>
      </c>
      <c r="U35" s="432">
        <f t="shared" si="0"/>
        <v>0</v>
      </c>
      <c r="V35" s="432">
        <f t="shared" si="1"/>
        <v>0</v>
      </c>
      <c r="W35" s="433">
        <f t="shared" si="7"/>
        <v>581</v>
      </c>
    </row>
    <row r="36" spans="1:23">
      <c r="A36" s="2" t="e">
        <f>RESOURCES!#REF!</f>
        <v>#REF!</v>
      </c>
      <c r="B36" s="431" t="e">
        <f>RESOURCES!#REF!</f>
        <v>#REF!</v>
      </c>
      <c r="C36" s="431" t="e">
        <f>RESOURCES!#REF!</f>
        <v>#REF!</v>
      </c>
      <c r="D36" s="2" t="e">
        <f>RESOURCES!#REF!</f>
        <v>#REF!</v>
      </c>
      <c r="E36" s="2" t="e">
        <f>RESOURCES!#REF!</f>
        <v>#REF!</v>
      </c>
      <c r="F36" s="2" t="e">
        <f>RESOURCES!#REF!</f>
        <v>#REF!</v>
      </c>
      <c r="G36" s="2">
        <f>ROUNDUP(SUMIFS('PRODUCTIVITY RAW'!$L:$L,'PRODUCTIVITY RAW'!$B:$B,BIDWARS!$B36),0)</f>
        <v>0</v>
      </c>
      <c r="H36" s="16" t="str">
        <f>IFERROR(IF($D36="Proofreader",INDEX('CHURN RAW'!$H:$H,MATCH("SITE LEVEL",'CHURN RAW'!$C:$C,0)),IF($D36="Internal Mods (PSI)","-",INDEX(RESOURCES!$X:$X,MATCH(BIDWARS!$B36,RESOURCES!$C:$C,0)))),"-")</f>
        <v>-</v>
      </c>
      <c r="I36" s="16" t="str">
        <f>IFERROR(ROUNDUP(INDEX(RESOURCES!$Y:$Y,MATCH(BIDWARS!$B36,RESOURCES!$C:$C,0)),2),"-")</f>
        <v>-</v>
      </c>
      <c r="J36" s="16" t="str">
        <f>IFERROR(ROUNDUP(INDEX(RESOURCES!$AA:$AA,MATCH(BIDWARS!$B36,RESOURCES!$C:$C,0)),2),"-")</f>
        <v>-</v>
      </c>
      <c r="K36" s="16" t="str">
        <f>IFERROR(VLOOKUP($C36,'CE RAW'!$D:$H,4,FALSE),"-")</f>
        <v>-</v>
      </c>
      <c r="L36" s="16" t="str">
        <f>IFERROR(VLOOKUP($C36,'CE RAW'!$D:$H,5,FALSE),"-")</f>
        <v>-</v>
      </c>
      <c r="M36" s="2">
        <f>COUNTIFS('BONUS RAW'!$D:$D,BIDWARS!$B36,'BONUS RAW'!$J:$J,"KUDOS")</f>
        <v>0</v>
      </c>
      <c r="N36" s="324">
        <f>IF(AND(SUMIFS('ATTENDANCE RAW'!$I:$I,'ATTENDANCE RAW'!$E:$E,BIDWARS!$B36)=0,SUMIFS('ATTENDANCE RAW'!$J:$J,'ATTENDANCE RAW'!$E:$E,BIDWARS!$B36)=0),1,0)</f>
        <v>1</v>
      </c>
      <c r="O36" s="241" t="str">
        <f>IF(ISERROR(VLOOKUP($B36,'ATTRITION RAW'!$E:$E,1,0)),"ACTIVE","INACTIVE")</f>
        <v>ACTIVE</v>
      </c>
      <c r="P36" s="432" t="str">
        <f t="shared" si="2"/>
        <v>-</v>
      </c>
      <c r="Q36" s="432" t="str">
        <f t="shared" si="3"/>
        <v>-</v>
      </c>
      <c r="R36" s="432" t="str">
        <f t="shared" si="4"/>
        <v>-</v>
      </c>
      <c r="S36" s="432" t="str">
        <f t="shared" si="5"/>
        <v>-</v>
      </c>
      <c r="T36" s="432" t="str">
        <f t="shared" si="6"/>
        <v>-</v>
      </c>
      <c r="U36" s="432">
        <f t="shared" ref="U36:U67" si="8">IFERROR(M36*U$1,"-")</f>
        <v>0</v>
      </c>
      <c r="V36" s="432">
        <f t="shared" ref="V36:V67" si="9">IFERROR(N36*V$1,"-")</f>
        <v>50</v>
      </c>
      <c r="W36" s="433">
        <f t="shared" si="7"/>
        <v>50</v>
      </c>
    </row>
    <row r="37" spans="1:23">
      <c r="A37" s="2">
        <f>RESOURCES!B36</f>
        <v>33</v>
      </c>
      <c r="B37" s="431">
        <f>RESOURCES!C36</f>
        <v>10071278</v>
      </c>
      <c r="C37" s="431" t="str">
        <f>RESOURCES!D36</f>
        <v>DE LEON, JESSNA MARIE</v>
      </c>
      <c r="D37" s="2" t="str">
        <f>RESOURCES!E36</f>
        <v>Internal Mods (PSI)</v>
      </c>
      <c r="E37" s="2" t="str">
        <f>RESOURCES!F36</f>
        <v>REGENCIA, Reymark</v>
      </c>
      <c r="F37" s="2" t="str">
        <f>RESOURCES!G36</f>
        <v>PASQUIN, Ryan</v>
      </c>
      <c r="G37" s="2">
        <f>ROUNDUP(SUMIFS('PRODUCTIVITY RAW'!$L:$L,'PRODUCTIVITY RAW'!$B:$B,BIDWARS!$B37),0)</f>
        <v>239</v>
      </c>
      <c r="H37" s="16" t="str">
        <f>IFERROR(IF($D37="Proofreader",INDEX('CHURN RAW'!$H:$H,MATCH("SITE LEVEL",'CHURN RAW'!$C:$C,0)),IF($D37="Internal Mods (PSI)","-",INDEX(RESOURCES!$X:$X,MATCH(BIDWARS!$B37,RESOURCES!$C:$C,0)))),"-")</f>
        <v>-</v>
      </c>
      <c r="I37" s="16">
        <f>IFERROR(ROUNDUP(INDEX(RESOURCES!$Y:$Y,MATCH(BIDWARS!$B37,RESOURCES!$C:$C,0)),2),"-")</f>
        <v>1</v>
      </c>
      <c r="J37" s="16" t="str">
        <f>IFERROR(ROUNDUP(INDEX(RESOURCES!$AA:$AA,MATCH(BIDWARS!$B37,RESOURCES!$C:$C,0)),2),"-")</f>
        <v>-</v>
      </c>
      <c r="K37" s="16">
        <f>IFERROR(VLOOKUP($C37,'CE RAW'!$D:$H,4,FALSE),"-")</f>
        <v>0.96819999999999995</v>
      </c>
      <c r="L37" s="16">
        <f>IFERROR(VLOOKUP($C37,'CE RAW'!$D:$H,5,FALSE),"-")</f>
        <v>1</v>
      </c>
      <c r="M37" s="2">
        <f>COUNTIFS('BONUS RAW'!$D:$D,BIDWARS!$B37,'BONUS RAW'!$J:$J,"KUDOS")</f>
        <v>0</v>
      </c>
      <c r="N37" s="324">
        <f>IF(AND(SUMIFS('ATTENDANCE RAW'!$I:$I,'ATTENDANCE RAW'!$E:$E,BIDWARS!$B37)=0,SUMIFS('ATTENDANCE RAW'!$J:$J,'ATTENDANCE RAW'!$E:$E,BIDWARS!$B37)=0),1,0)</f>
        <v>0</v>
      </c>
      <c r="O37" s="241" t="str">
        <f>IF(ISERROR(VLOOKUP($B37,'ATTRITION RAW'!$E:$E,1,0)),"ACTIVE","INACTIVE")</f>
        <v>ACTIVE</v>
      </c>
      <c r="P37" s="432">
        <f t="shared" si="2"/>
        <v>239</v>
      </c>
      <c r="Q37" s="432" t="str">
        <f t="shared" si="3"/>
        <v>-</v>
      </c>
      <c r="R37" s="432">
        <f t="shared" si="4"/>
        <v>200</v>
      </c>
      <c r="S37" s="432" t="str">
        <f t="shared" si="5"/>
        <v>-</v>
      </c>
      <c r="T37" s="432">
        <f t="shared" si="6"/>
        <v>194</v>
      </c>
      <c r="U37" s="432">
        <f t="shared" si="8"/>
        <v>0</v>
      </c>
      <c r="V37" s="432">
        <f t="shared" si="9"/>
        <v>0</v>
      </c>
      <c r="W37" s="433">
        <f t="shared" si="7"/>
        <v>633</v>
      </c>
    </row>
    <row r="38" spans="1:23">
      <c r="A38" s="2">
        <f>RESOURCES!B37</f>
        <v>34</v>
      </c>
      <c r="B38" s="431">
        <f>RESOURCES!C37</f>
        <v>10072207</v>
      </c>
      <c r="C38" s="431" t="str">
        <f>RESOURCES!D37</f>
        <v>DIAZ, SHIELA MARIE C.</v>
      </c>
      <c r="D38" s="2" t="str">
        <f>RESOURCES!E37</f>
        <v>Internal Mods (PSI)</v>
      </c>
      <c r="E38" s="2" t="str">
        <f>RESOURCES!F37</f>
        <v>REGENCIA, Reymark</v>
      </c>
      <c r="F38" s="2" t="str">
        <f>RESOURCES!G37</f>
        <v>PASQUIN, Ryan</v>
      </c>
      <c r="G38" s="2">
        <f>ROUNDUP(SUMIFS('PRODUCTIVITY RAW'!$L:$L,'PRODUCTIVITY RAW'!$B:$B,BIDWARS!$B38),0)</f>
        <v>202</v>
      </c>
      <c r="H38" s="16" t="str">
        <f>IFERROR(IF($D38="Proofreader",INDEX('CHURN RAW'!$H:$H,MATCH("SITE LEVEL",'CHURN RAW'!$C:$C,0)),IF($D38="Internal Mods (PSI)","-",INDEX(RESOURCES!$X:$X,MATCH(BIDWARS!$B38,RESOURCES!$C:$C,0)))),"-")</f>
        <v>-</v>
      </c>
      <c r="I38" s="16">
        <f>IFERROR(ROUNDUP(INDEX(RESOURCES!$Y:$Y,MATCH(BIDWARS!$B38,RESOURCES!$C:$C,0)),2),"-")</f>
        <v>1</v>
      </c>
      <c r="J38" s="16" t="str">
        <f>IFERROR(ROUNDUP(INDEX(RESOURCES!$AA:$AA,MATCH(BIDWARS!$B38,RESOURCES!$C:$C,0)),2),"-")</f>
        <v>-</v>
      </c>
      <c r="K38" s="16">
        <f>IFERROR(VLOOKUP($C38,'CE RAW'!$D:$H,4,FALSE),"-")</f>
        <v>1</v>
      </c>
      <c r="L38" s="16">
        <f>IFERROR(VLOOKUP($C38,'CE RAW'!$D:$H,5,FALSE),"-")</f>
        <v>1</v>
      </c>
      <c r="M38" s="2">
        <f>COUNTIFS('BONUS RAW'!$D:$D,BIDWARS!$B38,'BONUS RAW'!$J:$J,"KUDOS")</f>
        <v>0</v>
      </c>
      <c r="N38" s="324">
        <f>IF(AND(SUMIFS('ATTENDANCE RAW'!$I:$I,'ATTENDANCE RAW'!$E:$E,BIDWARS!$B38)=0,SUMIFS('ATTENDANCE RAW'!$J:$J,'ATTENDANCE RAW'!$E:$E,BIDWARS!$B38)=0),1,0)</f>
        <v>1</v>
      </c>
      <c r="O38" s="241" t="str">
        <f>IF(ISERROR(VLOOKUP($B38,'ATTRITION RAW'!$E:$E,1,0)),"ACTIVE","INACTIVE")</f>
        <v>ACTIVE</v>
      </c>
      <c r="P38" s="432">
        <f t="shared" si="2"/>
        <v>202</v>
      </c>
      <c r="Q38" s="432" t="str">
        <f t="shared" si="3"/>
        <v>-</v>
      </c>
      <c r="R38" s="432">
        <f t="shared" si="4"/>
        <v>200</v>
      </c>
      <c r="S38" s="432" t="str">
        <f t="shared" si="5"/>
        <v>-</v>
      </c>
      <c r="T38" s="432">
        <f t="shared" si="6"/>
        <v>200</v>
      </c>
      <c r="U38" s="432">
        <f t="shared" si="8"/>
        <v>0</v>
      </c>
      <c r="V38" s="432">
        <f t="shared" si="9"/>
        <v>50</v>
      </c>
      <c r="W38" s="433">
        <f t="shared" si="7"/>
        <v>652</v>
      </c>
    </row>
    <row r="39" spans="1:23">
      <c r="A39" s="2">
        <f>RESOURCES!B38</f>
        <v>35</v>
      </c>
      <c r="B39" s="431">
        <f>RESOURCES!C38</f>
        <v>10071198</v>
      </c>
      <c r="C39" s="431" t="str">
        <f>RESOURCES!D38</f>
        <v>DIKIT, MARICHRIS A.</v>
      </c>
      <c r="D39" s="2" t="str">
        <f>RESOURCES!E38</f>
        <v>Internal Mods (PSI)</v>
      </c>
      <c r="E39" s="2" t="str">
        <f>RESOURCES!F38</f>
        <v>REGENCIA, Reymark</v>
      </c>
      <c r="F39" s="2" t="str">
        <f>RESOURCES!G38</f>
        <v>PASQUIN, Ryan</v>
      </c>
      <c r="G39" s="2">
        <f>ROUNDUP(SUMIFS('PRODUCTIVITY RAW'!$L:$L,'PRODUCTIVITY RAW'!$B:$B,BIDWARS!$B39),0)</f>
        <v>204</v>
      </c>
      <c r="H39" s="16" t="str">
        <f>IFERROR(IF($D39="Proofreader",INDEX('CHURN RAW'!$H:$H,MATCH("SITE LEVEL",'CHURN RAW'!$C:$C,0)),IF($D39="Internal Mods (PSI)","-",INDEX(RESOURCES!$X:$X,MATCH(BIDWARS!$B39,RESOURCES!$C:$C,0)))),"-")</f>
        <v>-</v>
      </c>
      <c r="I39" s="16">
        <f>IFERROR(ROUNDUP(INDEX(RESOURCES!$Y:$Y,MATCH(BIDWARS!$B39,RESOURCES!$C:$C,0)),2),"-")</f>
        <v>1</v>
      </c>
      <c r="J39" s="16" t="str">
        <f>IFERROR(ROUNDUP(INDEX(RESOURCES!$AA:$AA,MATCH(BIDWARS!$B39,RESOURCES!$C:$C,0)),2),"-")</f>
        <v>-</v>
      </c>
      <c r="K39" s="16">
        <f>IFERROR(VLOOKUP($C39,'CE RAW'!$D:$H,4,FALSE),"-")</f>
        <v>0.95450000000000002</v>
      </c>
      <c r="L39" s="16">
        <f>IFERROR(VLOOKUP($C39,'CE RAW'!$D:$H,5,FALSE),"-")</f>
        <v>1</v>
      </c>
      <c r="M39" s="2">
        <f>COUNTIFS('BONUS RAW'!$D:$D,BIDWARS!$B39,'BONUS RAW'!$J:$J,"KUDOS")</f>
        <v>0</v>
      </c>
      <c r="N39" s="324">
        <f>IF(AND(SUMIFS('ATTENDANCE RAW'!$I:$I,'ATTENDANCE RAW'!$E:$E,BIDWARS!$B39)=0,SUMIFS('ATTENDANCE RAW'!$J:$J,'ATTENDANCE RAW'!$E:$E,BIDWARS!$B39)=0),1,0)</f>
        <v>1</v>
      </c>
      <c r="O39" s="241" t="str">
        <f>IF(ISERROR(VLOOKUP($B39,'ATTRITION RAW'!$E:$E,1,0)),"ACTIVE","INACTIVE")</f>
        <v>ACTIVE</v>
      </c>
      <c r="P39" s="432">
        <f t="shared" si="2"/>
        <v>204</v>
      </c>
      <c r="Q39" s="432" t="str">
        <f t="shared" si="3"/>
        <v>-</v>
      </c>
      <c r="R39" s="432">
        <f t="shared" si="4"/>
        <v>200</v>
      </c>
      <c r="S39" s="432" t="str">
        <f t="shared" si="5"/>
        <v>-</v>
      </c>
      <c r="T39" s="432">
        <f t="shared" si="6"/>
        <v>192</v>
      </c>
      <c r="U39" s="432">
        <f t="shared" si="8"/>
        <v>0</v>
      </c>
      <c r="V39" s="432">
        <f t="shared" si="9"/>
        <v>50</v>
      </c>
      <c r="W39" s="433">
        <f t="shared" si="7"/>
        <v>646</v>
      </c>
    </row>
    <row r="40" spans="1:23">
      <c r="A40" s="2">
        <f>RESOURCES!B39</f>
        <v>36</v>
      </c>
      <c r="B40" s="431">
        <f>RESOURCES!C39</f>
        <v>10072040</v>
      </c>
      <c r="C40" s="431" t="str">
        <f>RESOURCES!D39</f>
        <v>FERNANDEZ, RAYMOND O.</v>
      </c>
      <c r="D40" s="2" t="str">
        <f>RESOURCES!E39</f>
        <v>Internal Mods (PSI)</v>
      </c>
      <c r="E40" s="2" t="str">
        <f>RESOURCES!F39</f>
        <v>REGENCIA, Reymark</v>
      </c>
      <c r="F40" s="2" t="str">
        <f>RESOURCES!G39</f>
        <v>PASQUIN, Ryan</v>
      </c>
      <c r="G40" s="2">
        <f>ROUNDUP(SUMIFS('PRODUCTIVITY RAW'!$L:$L,'PRODUCTIVITY RAW'!$B:$B,BIDWARS!$B40),0)</f>
        <v>105</v>
      </c>
      <c r="H40" s="16" t="str">
        <f>IFERROR(IF($D40="Proofreader",INDEX('CHURN RAW'!$H:$H,MATCH("SITE LEVEL",'CHURN RAW'!$C:$C,0)),IF($D40="Internal Mods (PSI)","-",INDEX(RESOURCES!$X:$X,MATCH(BIDWARS!$B40,RESOURCES!$C:$C,0)))),"-")</f>
        <v>-</v>
      </c>
      <c r="I40" s="16" t="str">
        <f>IFERROR(ROUNDUP(INDEX(RESOURCES!$Y:$Y,MATCH(BIDWARS!$B40,RESOURCES!$C:$C,0)),2),"-")</f>
        <v>-</v>
      </c>
      <c r="J40" s="16" t="str">
        <f>IFERROR(ROUNDUP(INDEX(RESOURCES!$AA:$AA,MATCH(BIDWARS!$B40,RESOURCES!$C:$C,0)),2),"-")</f>
        <v>-</v>
      </c>
      <c r="K40" s="16">
        <f>IFERROR(VLOOKUP($C40,'CE RAW'!$D:$H,4,FALSE),"-")</f>
        <v>1</v>
      </c>
      <c r="L40" s="16">
        <f>IFERROR(VLOOKUP($C40,'CE RAW'!$D:$H,5,FALSE),"-")</f>
        <v>1</v>
      </c>
      <c r="M40" s="2">
        <f>COUNTIFS('BONUS RAW'!$D:$D,BIDWARS!$B40,'BONUS RAW'!$J:$J,"KUDOS")</f>
        <v>0</v>
      </c>
      <c r="N40" s="324">
        <f>IF(AND(SUMIFS('ATTENDANCE RAW'!$I:$I,'ATTENDANCE RAW'!$E:$E,BIDWARS!$B40)=0,SUMIFS('ATTENDANCE RAW'!$J:$J,'ATTENDANCE RAW'!$E:$E,BIDWARS!$B40)=0),1,0)</f>
        <v>0</v>
      </c>
      <c r="O40" s="241" t="str">
        <f>IF(ISERROR(VLOOKUP($B40,'ATTRITION RAW'!$E:$E,1,0)),"ACTIVE","INACTIVE")</f>
        <v>ACTIVE</v>
      </c>
      <c r="P40" s="432">
        <f t="shared" si="2"/>
        <v>105</v>
      </c>
      <c r="Q40" s="432" t="str">
        <f t="shared" si="3"/>
        <v>-</v>
      </c>
      <c r="R40" s="432" t="str">
        <f t="shared" si="4"/>
        <v>-</v>
      </c>
      <c r="S40" s="432" t="str">
        <f t="shared" si="5"/>
        <v>-</v>
      </c>
      <c r="T40" s="432">
        <f t="shared" si="6"/>
        <v>200</v>
      </c>
      <c r="U40" s="432">
        <f t="shared" si="8"/>
        <v>0</v>
      </c>
      <c r="V40" s="432">
        <f t="shared" si="9"/>
        <v>0</v>
      </c>
      <c r="W40" s="433">
        <f t="shared" si="7"/>
        <v>305</v>
      </c>
    </row>
    <row r="41" spans="1:23">
      <c r="A41" s="2">
        <f>RESOURCES!B40</f>
        <v>37</v>
      </c>
      <c r="B41" s="431">
        <f>RESOURCES!C40</f>
        <v>10071199</v>
      </c>
      <c r="C41" s="431" t="str">
        <f>RESOURCES!D40</f>
        <v>GONZALES, RENZY ELAINE L.</v>
      </c>
      <c r="D41" s="2" t="str">
        <f>RESOURCES!E40</f>
        <v>Internal Mods (PSI)</v>
      </c>
      <c r="E41" s="2" t="str">
        <f>RESOURCES!F40</f>
        <v>REGENCIA, Reymark</v>
      </c>
      <c r="F41" s="2" t="str">
        <f>RESOURCES!G40</f>
        <v>PASQUIN, Ryan</v>
      </c>
      <c r="G41" s="2">
        <f>ROUNDUP(SUMIFS('PRODUCTIVITY RAW'!$L:$L,'PRODUCTIVITY RAW'!$B:$B,BIDWARS!$B41),0)</f>
        <v>188</v>
      </c>
      <c r="H41" s="16" t="str">
        <f>IFERROR(IF($D41="Proofreader",INDEX('CHURN RAW'!$H:$H,MATCH("SITE LEVEL",'CHURN RAW'!$C:$C,0)),IF($D41="Internal Mods (PSI)","-",INDEX(RESOURCES!$X:$X,MATCH(BIDWARS!$B41,RESOURCES!$C:$C,0)))),"-")</f>
        <v>-</v>
      </c>
      <c r="I41" s="16">
        <f>IFERROR(ROUNDUP(INDEX(RESOURCES!$Y:$Y,MATCH(BIDWARS!$B41,RESOURCES!$C:$C,0)),2),"-")</f>
        <v>1</v>
      </c>
      <c r="J41" s="16" t="str">
        <f>IFERROR(ROUNDUP(INDEX(RESOURCES!$AA:$AA,MATCH(BIDWARS!$B41,RESOURCES!$C:$C,0)),2),"-")</f>
        <v>-</v>
      </c>
      <c r="K41" s="16">
        <f>IFERROR(VLOOKUP($C41,'CE RAW'!$D:$H,4,FALSE),"-")</f>
        <v>0.99050000000000005</v>
      </c>
      <c r="L41" s="16" t="str">
        <f>IFERROR(VLOOKUP($C41,'CE RAW'!$D:$H,5,FALSE),"-")</f>
        <v>-</v>
      </c>
      <c r="M41" s="2">
        <f>COUNTIFS('BONUS RAW'!$D:$D,BIDWARS!$B41,'BONUS RAW'!$J:$J,"KUDOS")</f>
        <v>0</v>
      </c>
      <c r="N41" s="324">
        <f>IF(AND(SUMIFS('ATTENDANCE RAW'!$I:$I,'ATTENDANCE RAW'!$E:$E,BIDWARS!$B41)=0,SUMIFS('ATTENDANCE RAW'!$J:$J,'ATTENDANCE RAW'!$E:$E,BIDWARS!$B41)=0),1,0)</f>
        <v>0</v>
      </c>
      <c r="O41" s="241" t="str">
        <f>IF(ISERROR(VLOOKUP($B41,'ATTRITION RAW'!$E:$E,1,0)),"ACTIVE","INACTIVE")</f>
        <v>ACTIVE</v>
      </c>
      <c r="P41" s="432">
        <f t="shared" si="2"/>
        <v>188</v>
      </c>
      <c r="Q41" s="432" t="str">
        <f t="shared" si="3"/>
        <v>-</v>
      </c>
      <c r="R41" s="432">
        <f t="shared" si="4"/>
        <v>200</v>
      </c>
      <c r="S41" s="432" t="str">
        <f t="shared" si="5"/>
        <v>-</v>
      </c>
      <c r="T41" s="432">
        <f t="shared" si="6"/>
        <v>200</v>
      </c>
      <c r="U41" s="432">
        <f t="shared" si="8"/>
        <v>0</v>
      </c>
      <c r="V41" s="432">
        <f t="shared" si="9"/>
        <v>0</v>
      </c>
      <c r="W41" s="433">
        <f t="shared" si="7"/>
        <v>588</v>
      </c>
    </row>
    <row r="42" spans="1:23">
      <c r="A42" s="2">
        <f>RESOURCES!B41</f>
        <v>38</v>
      </c>
      <c r="B42" s="431">
        <f>RESOURCES!C41</f>
        <v>10072452</v>
      </c>
      <c r="C42" s="431" t="str">
        <f>RESOURCES!D41</f>
        <v>PELAGIO, MICHAEL DOMINIC</v>
      </c>
      <c r="D42" s="2" t="str">
        <f>RESOURCES!E41</f>
        <v>Internal Mods (PSI)</v>
      </c>
      <c r="E42" s="2" t="str">
        <f>RESOURCES!F41</f>
        <v>REGENCIA, Reymark</v>
      </c>
      <c r="F42" s="2" t="str">
        <f>RESOURCES!G41</f>
        <v>PASQUIN, Ryan</v>
      </c>
      <c r="G42" s="2">
        <f>ROUNDUP(SUMIFS('PRODUCTIVITY RAW'!$L:$L,'PRODUCTIVITY RAW'!$B:$B,BIDWARS!$B42),0)</f>
        <v>176</v>
      </c>
      <c r="H42" s="16" t="str">
        <f>IFERROR(IF($D42="Proofreader",INDEX('CHURN RAW'!$H:$H,MATCH("SITE LEVEL",'CHURN RAW'!$C:$C,0)),IF($D42="Internal Mods (PSI)","-",INDEX(RESOURCES!$X:$X,MATCH(BIDWARS!$B42,RESOURCES!$C:$C,0)))),"-")</f>
        <v>-</v>
      </c>
      <c r="I42" s="16" t="str">
        <f>IFERROR(ROUNDUP(INDEX(RESOURCES!$Y:$Y,MATCH(BIDWARS!$B42,RESOURCES!$C:$C,0)),2),"-")</f>
        <v>-</v>
      </c>
      <c r="J42" s="16" t="str">
        <f>IFERROR(ROUNDUP(INDEX(RESOURCES!$AA:$AA,MATCH(BIDWARS!$B42,RESOURCES!$C:$C,0)),2),"-")</f>
        <v>-</v>
      </c>
      <c r="K42" s="16">
        <f>IFERROR(VLOOKUP($C42,'CE RAW'!$D:$H,4,FALSE),"-")</f>
        <v>0.99380000000000002</v>
      </c>
      <c r="L42" s="16">
        <f>IFERROR(VLOOKUP($C42,'CE RAW'!$D:$H,5,FALSE),"-")</f>
        <v>1</v>
      </c>
      <c r="M42" s="2">
        <f>COUNTIFS('BONUS RAW'!$D:$D,BIDWARS!$B42,'BONUS RAW'!$J:$J,"KUDOS")</f>
        <v>0</v>
      </c>
      <c r="N42" s="324">
        <f>IF(AND(SUMIFS('ATTENDANCE RAW'!$I:$I,'ATTENDANCE RAW'!$E:$E,BIDWARS!$B42)=0,SUMIFS('ATTENDANCE RAW'!$J:$J,'ATTENDANCE RAW'!$E:$E,BIDWARS!$B42)=0),1,0)</f>
        <v>1</v>
      </c>
      <c r="O42" s="241" t="str">
        <f>IF(ISERROR(VLOOKUP($B42,'ATTRITION RAW'!$E:$E,1,0)),"ACTIVE","INACTIVE")</f>
        <v>ACTIVE</v>
      </c>
      <c r="P42" s="432">
        <f t="shared" si="2"/>
        <v>176</v>
      </c>
      <c r="Q42" s="432" t="str">
        <f t="shared" si="3"/>
        <v>-</v>
      </c>
      <c r="R42" s="432" t="str">
        <f t="shared" si="4"/>
        <v>-</v>
      </c>
      <c r="S42" s="432" t="str">
        <f t="shared" si="5"/>
        <v>-</v>
      </c>
      <c r="T42" s="432">
        <f t="shared" si="6"/>
        <v>200</v>
      </c>
      <c r="U42" s="432">
        <f t="shared" si="8"/>
        <v>0</v>
      </c>
      <c r="V42" s="432">
        <f t="shared" si="9"/>
        <v>50</v>
      </c>
      <c r="W42" s="433">
        <f t="shared" si="7"/>
        <v>426</v>
      </c>
    </row>
    <row r="43" spans="1:23">
      <c r="A43" s="2">
        <f>RESOURCES!B42</f>
        <v>39</v>
      </c>
      <c r="B43" s="431">
        <f>RESOURCES!C42</f>
        <v>10071178</v>
      </c>
      <c r="C43" s="431" t="str">
        <f>RESOURCES!D42</f>
        <v>PELAYO, ERWIN REINER B.</v>
      </c>
      <c r="D43" s="2" t="str">
        <f>RESOURCES!E42</f>
        <v>Internal Mods (PSI)</v>
      </c>
      <c r="E43" s="2" t="str">
        <f>RESOURCES!F42</f>
        <v>REGENCIA, Reymark</v>
      </c>
      <c r="F43" s="2" t="str">
        <f>RESOURCES!G42</f>
        <v>PASQUIN, Ryan</v>
      </c>
      <c r="G43" s="2">
        <f>ROUNDUP(SUMIFS('PRODUCTIVITY RAW'!$L:$L,'PRODUCTIVITY RAW'!$B:$B,BIDWARS!$B43),0)</f>
        <v>204</v>
      </c>
      <c r="H43" s="16" t="str">
        <f>IFERROR(IF($D43="Proofreader",INDEX('CHURN RAW'!$H:$H,MATCH("SITE LEVEL",'CHURN RAW'!$C:$C,0)),IF($D43="Internal Mods (PSI)","-",INDEX(RESOURCES!$X:$X,MATCH(BIDWARS!$B43,RESOURCES!$C:$C,0)))),"-")</f>
        <v>-</v>
      </c>
      <c r="I43" s="16" t="str">
        <f>IFERROR(ROUNDUP(INDEX(RESOURCES!$Y:$Y,MATCH(BIDWARS!$B43,RESOURCES!$C:$C,0)),2),"-")</f>
        <v>-</v>
      </c>
      <c r="J43" s="16" t="str">
        <f>IFERROR(ROUNDUP(INDEX(RESOURCES!$AA:$AA,MATCH(BIDWARS!$B43,RESOURCES!$C:$C,0)),2),"-")</f>
        <v>-</v>
      </c>
      <c r="K43" s="16">
        <f>IFERROR(VLOOKUP($C43,'CE RAW'!$D:$H,4,FALSE),"-")</f>
        <v>1</v>
      </c>
      <c r="L43" s="16">
        <f>IFERROR(VLOOKUP($C43,'CE RAW'!$D:$H,5,FALSE),"-")</f>
        <v>1</v>
      </c>
      <c r="M43" s="2">
        <f>COUNTIFS('BONUS RAW'!$D:$D,BIDWARS!$B43,'BONUS RAW'!$J:$J,"KUDOS")</f>
        <v>0</v>
      </c>
      <c r="N43" s="324">
        <f>IF(AND(SUMIFS('ATTENDANCE RAW'!$I:$I,'ATTENDANCE RAW'!$E:$E,BIDWARS!$B43)=0,SUMIFS('ATTENDANCE RAW'!$J:$J,'ATTENDANCE RAW'!$E:$E,BIDWARS!$B43)=0),1,0)</f>
        <v>0</v>
      </c>
      <c r="O43" s="241" t="str">
        <f>IF(ISERROR(VLOOKUP($B43,'ATTRITION RAW'!$E:$E,1,0)),"ACTIVE","INACTIVE")</f>
        <v>ACTIVE</v>
      </c>
      <c r="P43" s="432">
        <f t="shared" si="2"/>
        <v>204</v>
      </c>
      <c r="Q43" s="432" t="str">
        <f t="shared" si="3"/>
        <v>-</v>
      </c>
      <c r="R43" s="432" t="str">
        <f t="shared" si="4"/>
        <v>-</v>
      </c>
      <c r="S43" s="432" t="str">
        <f t="shared" si="5"/>
        <v>-</v>
      </c>
      <c r="T43" s="432">
        <f t="shared" si="6"/>
        <v>200</v>
      </c>
      <c r="U43" s="432">
        <f t="shared" si="8"/>
        <v>0</v>
      </c>
      <c r="V43" s="432">
        <f t="shared" si="9"/>
        <v>0</v>
      </c>
      <c r="W43" s="433">
        <f t="shared" si="7"/>
        <v>404</v>
      </c>
    </row>
    <row r="44" spans="1:23">
      <c r="A44" s="2">
        <f>RESOURCES!B43</f>
        <v>40</v>
      </c>
      <c r="B44" s="431">
        <f>RESOURCES!C43</f>
        <v>10071439</v>
      </c>
      <c r="C44" s="431" t="str">
        <f>RESOURCES!D43</f>
        <v>PIMENTEL, STEPHANIE B.</v>
      </c>
      <c r="D44" s="2" t="str">
        <f>RESOURCES!E43</f>
        <v>Internal Mods (PSI)</v>
      </c>
      <c r="E44" s="2" t="str">
        <f>RESOURCES!F43</f>
        <v>REGENCIA, Reymark</v>
      </c>
      <c r="F44" s="2" t="str">
        <f>RESOURCES!G43</f>
        <v>PASQUIN, Ryan</v>
      </c>
      <c r="G44" s="2">
        <f>ROUNDUP(SUMIFS('PRODUCTIVITY RAW'!$L:$L,'PRODUCTIVITY RAW'!$B:$B,BIDWARS!$B44),0)</f>
        <v>242</v>
      </c>
      <c r="H44" s="16" t="str">
        <f>IFERROR(IF($D44="Proofreader",INDEX('CHURN RAW'!$H:$H,MATCH("SITE LEVEL",'CHURN RAW'!$C:$C,0)),IF($D44="Internal Mods (PSI)","-",INDEX(RESOURCES!$X:$X,MATCH(BIDWARS!$B44,RESOURCES!$C:$C,0)))),"-")</f>
        <v>-</v>
      </c>
      <c r="I44" s="16" t="str">
        <f>IFERROR(ROUNDUP(INDEX(RESOURCES!$Y:$Y,MATCH(BIDWARS!$B44,RESOURCES!$C:$C,0)),2),"-")</f>
        <v>-</v>
      </c>
      <c r="J44" s="16" t="str">
        <f>IFERROR(ROUNDUP(INDEX(RESOURCES!$AA:$AA,MATCH(BIDWARS!$B44,RESOURCES!$C:$C,0)),2),"-")</f>
        <v>-</v>
      </c>
      <c r="K44" s="16">
        <f>IFERROR(VLOOKUP($C44,'CE RAW'!$D:$H,4,FALSE),"-")</f>
        <v>0.99170000000000003</v>
      </c>
      <c r="L44" s="16" t="str">
        <f>IFERROR(VLOOKUP($C44,'CE RAW'!$D:$H,5,FALSE),"-")</f>
        <v>-</v>
      </c>
      <c r="M44" s="2">
        <f>COUNTIFS('BONUS RAW'!$D:$D,BIDWARS!$B44,'BONUS RAW'!$J:$J,"KUDOS")</f>
        <v>0</v>
      </c>
      <c r="N44" s="324">
        <f>IF(AND(SUMIFS('ATTENDANCE RAW'!$I:$I,'ATTENDANCE RAW'!$E:$E,BIDWARS!$B44)=0,SUMIFS('ATTENDANCE RAW'!$J:$J,'ATTENDANCE RAW'!$E:$E,BIDWARS!$B44)=0),1,0)</f>
        <v>0</v>
      </c>
      <c r="O44" s="241" t="str">
        <f>IF(ISERROR(VLOOKUP($B44,'ATTRITION RAW'!$E:$E,1,0)),"ACTIVE","INACTIVE")</f>
        <v>ACTIVE</v>
      </c>
      <c r="P44" s="432">
        <f t="shared" si="2"/>
        <v>242</v>
      </c>
      <c r="Q44" s="432" t="str">
        <f t="shared" si="3"/>
        <v>-</v>
      </c>
      <c r="R44" s="432" t="str">
        <f t="shared" si="4"/>
        <v>-</v>
      </c>
      <c r="S44" s="432" t="str">
        <f t="shared" si="5"/>
        <v>-</v>
      </c>
      <c r="T44" s="432">
        <f t="shared" si="6"/>
        <v>200</v>
      </c>
      <c r="U44" s="432">
        <f t="shared" si="8"/>
        <v>0</v>
      </c>
      <c r="V44" s="432">
        <f t="shared" si="9"/>
        <v>0</v>
      </c>
      <c r="W44" s="433">
        <f t="shared" si="7"/>
        <v>442</v>
      </c>
    </row>
    <row r="45" spans="1:23">
      <c r="A45" s="2">
        <f>RESOURCES!B44</f>
        <v>41</v>
      </c>
      <c r="B45" s="431">
        <f>RESOURCES!C44</f>
        <v>10071314</v>
      </c>
      <c r="C45" s="431" t="str">
        <f>RESOURCES!D44</f>
        <v>TORRES, SHEENA C.</v>
      </c>
      <c r="D45" s="2" t="str">
        <f>RESOURCES!E44</f>
        <v>Internal Mods (PSI)</v>
      </c>
      <c r="E45" s="2" t="str">
        <f>RESOURCES!F44</f>
        <v>REGENCIA, Reymark</v>
      </c>
      <c r="F45" s="2" t="str">
        <f>RESOURCES!G44</f>
        <v>PASQUIN, Ryan</v>
      </c>
      <c r="G45" s="2">
        <f>ROUNDUP(SUMIFS('PRODUCTIVITY RAW'!$L:$L,'PRODUCTIVITY RAW'!$B:$B,BIDWARS!$B45),0)</f>
        <v>190</v>
      </c>
      <c r="H45" s="16" t="str">
        <f>IFERROR(IF($D45="Proofreader",INDEX('CHURN RAW'!$H:$H,MATCH("SITE LEVEL",'CHURN RAW'!$C:$C,0)),IF($D45="Internal Mods (PSI)","-",INDEX(RESOURCES!$X:$X,MATCH(BIDWARS!$B45,RESOURCES!$C:$C,0)))),"-")</f>
        <v>-</v>
      </c>
      <c r="I45" s="16">
        <f>IFERROR(ROUNDUP(INDEX(RESOURCES!$Y:$Y,MATCH(BIDWARS!$B45,RESOURCES!$C:$C,0)),2),"-")</f>
        <v>1</v>
      </c>
      <c r="J45" s="16" t="str">
        <f>IFERROR(ROUNDUP(INDEX(RESOURCES!$AA:$AA,MATCH(BIDWARS!$B45,RESOURCES!$C:$C,0)),2),"-")</f>
        <v>-</v>
      </c>
      <c r="K45" s="16">
        <f>IFERROR(VLOOKUP($C45,'CE RAW'!$D:$H,4,FALSE),"-")</f>
        <v>0.96</v>
      </c>
      <c r="L45" s="16">
        <f>IFERROR(VLOOKUP($C45,'CE RAW'!$D:$H,5,FALSE),"-")</f>
        <v>1</v>
      </c>
      <c r="M45" s="2">
        <f>COUNTIFS('BONUS RAW'!$D:$D,BIDWARS!$B45,'BONUS RAW'!$J:$J,"KUDOS")</f>
        <v>0</v>
      </c>
      <c r="N45" s="324">
        <f>IF(AND(SUMIFS('ATTENDANCE RAW'!$I:$I,'ATTENDANCE RAW'!$E:$E,BIDWARS!$B45)=0,SUMIFS('ATTENDANCE RAW'!$J:$J,'ATTENDANCE RAW'!$E:$E,BIDWARS!$B45)=0),1,0)</f>
        <v>0</v>
      </c>
      <c r="O45" s="241" t="str">
        <f>IF(ISERROR(VLOOKUP($B45,'ATTRITION RAW'!$E:$E,1,0)),"ACTIVE","INACTIVE")</f>
        <v>ACTIVE</v>
      </c>
      <c r="P45" s="432">
        <f t="shared" si="2"/>
        <v>190</v>
      </c>
      <c r="Q45" s="432" t="str">
        <f t="shared" si="3"/>
        <v>-</v>
      </c>
      <c r="R45" s="432">
        <f t="shared" si="4"/>
        <v>200</v>
      </c>
      <c r="S45" s="432" t="str">
        <f t="shared" si="5"/>
        <v>-</v>
      </c>
      <c r="T45" s="432">
        <f t="shared" si="6"/>
        <v>192</v>
      </c>
      <c r="U45" s="432">
        <f t="shared" si="8"/>
        <v>0</v>
      </c>
      <c r="V45" s="432">
        <f t="shared" si="9"/>
        <v>0</v>
      </c>
      <c r="W45" s="433">
        <f t="shared" si="7"/>
        <v>582</v>
      </c>
    </row>
    <row r="46" spans="1:23">
      <c r="A46" s="2">
        <f>RESOURCES!B45</f>
        <v>42</v>
      </c>
      <c r="B46" s="431">
        <f>RESOURCES!C45</f>
        <v>10071904</v>
      </c>
      <c r="C46" s="431" t="str">
        <f>RESOURCES!D45</f>
        <v>BORELA, SHAIRA MAE C.</v>
      </c>
      <c r="D46" s="2" t="str">
        <f>RESOURCES!E45</f>
        <v>Internal Mods (PSI)</v>
      </c>
      <c r="E46" s="2" t="str">
        <f>RESOURCES!F45</f>
        <v>REGENCIA, Reymark</v>
      </c>
      <c r="F46" s="2" t="str">
        <f>RESOURCES!G45</f>
        <v>PASQUIN, Ryan</v>
      </c>
      <c r="G46" s="2">
        <f>ROUNDUP(SUMIFS('PRODUCTIVITY RAW'!$L:$L,'PRODUCTIVITY RAW'!$B:$B,BIDWARS!$B46),0)</f>
        <v>198</v>
      </c>
      <c r="H46" s="16" t="str">
        <f>IFERROR(IF($D46="Proofreader",INDEX('CHURN RAW'!$H:$H,MATCH("SITE LEVEL",'CHURN RAW'!$C:$C,0)),IF($D46="Internal Mods (PSI)","-",INDEX(RESOURCES!$X:$X,MATCH(BIDWARS!$B46,RESOURCES!$C:$C,0)))),"-")</f>
        <v>-</v>
      </c>
      <c r="I46" s="16">
        <f>IFERROR(ROUNDUP(INDEX(RESOURCES!$Y:$Y,MATCH(BIDWARS!$B46,RESOURCES!$C:$C,0)),2),"-")</f>
        <v>1</v>
      </c>
      <c r="J46" s="16" t="str">
        <f>IFERROR(ROUNDUP(INDEX(RESOURCES!$AA:$AA,MATCH(BIDWARS!$B46,RESOURCES!$C:$C,0)),2),"-")</f>
        <v>-</v>
      </c>
      <c r="K46" s="16">
        <f>IFERROR(VLOOKUP($C46,'CE RAW'!$D:$H,4,FALSE),"-")</f>
        <v>0.96109999999999995</v>
      </c>
      <c r="L46" s="16" t="str">
        <f>IFERROR(VLOOKUP($C46,'CE RAW'!$D:$H,5,FALSE),"-")</f>
        <v>-</v>
      </c>
      <c r="M46" s="2">
        <f>COUNTIFS('BONUS RAW'!$D:$D,BIDWARS!$B46,'BONUS RAW'!$J:$J,"KUDOS")</f>
        <v>0</v>
      </c>
      <c r="N46" s="324">
        <f>IF(AND(SUMIFS('ATTENDANCE RAW'!$I:$I,'ATTENDANCE RAW'!$E:$E,BIDWARS!$B46)=0,SUMIFS('ATTENDANCE RAW'!$J:$J,'ATTENDANCE RAW'!$E:$E,BIDWARS!$B46)=0),1,0)</f>
        <v>0</v>
      </c>
      <c r="O46" s="241" t="str">
        <f>IF(ISERROR(VLOOKUP($B46,'ATTRITION RAW'!$E:$E,1,0)),"ACTIVE","INACTIVE")</f>
        <v>ACTIVE</v>
      </c>
      <c r="P46" s="432">
        <f t="shared" si="2"/>
        <v>198</v>
      </c>
      <c r="Q46" s="432" t="str">
        <f t="shared" si="3"/>
        <v>-</v>
      </c>
      <c r="R46" s="432">
        <f t="shared" si="4"/>
        <v>200</v>
      </c>
      <c r="S46" s="432" t="str">
        <f t="shared" si="5"/>
        <v>-</v>
      </c>
      <c r="T46" s="432">
        <f t="shared" si="6"/>
        <v>194</v>
      </c>
      <c r="U46" s="432">
        <f t="shared" si="8"/>
        <v>0</v>
      </c>
      <c r="V46" s="432">
        <f t="shared" si="9"/>
        <v>0</v>
      </c>
      <c r="W46" s="433">
        <f t="shared" si="7"/>
        <v>592</v>
      </c>
    </row>
    <row r="47" spans="1:23">
      <c r="A47" s="2">
        <f>RESOURCES!B46</f>
        <v>43</v>
      </c>
      <c r="B47" s="431">
        <f>RESOURCES!C46</f>
        <v>10072201</v>
      </c>
      <c r="C47" s="431" t="str">
        <f>RESOURCES!D46</f>
        <v>ARGAO, PAUL CHRISTIAN L.</v>
      </c>
      <c r="D47" s="2" t="str">
        <f>RESOURCES!E46</f>
        <v>Web Designer</v>
      </c>
      <c r="E47" s="2" t="str">
        <f>RESOURCES!F46</f>
        <v>LAPASTORA, Mark Anthony</v>
      </c>
      <c r="F47" s="2" t="str">
        <f>RESOURCES!G46</f>
        <v>MENDOZA, Carlo</v>
      </c>
      <c r="G47" s="2">
        <f>ROUNDUP(SUMIFS('PRODUCTIVITY RAW'!$L:$L,'PRODUCTIVITY RAW'!$B:$B,BIDWARS!$B47),0)</f>
        <v>162</v>
      </c>
      <c r="H47" s="16">
        <f>IFERROR(IF($D47="Proofreader",INDEX('CHURN RAW'!$H:$H,MATCH("SITE LEVEL",'CHURN RAW'!$C:$C,0)),IF($D47="Internal Mods (PSI)","-",INDEX(RESOURCES!$X:$X,MATCH(BIDWARS!$B47,RESOURCES!$C:$C,0)))),"-")</f>
        <v>1</v>
      </c>
      <c r="I47" s="16">
        <f>IFERROR(ROUNDUP(INDEX(RESOURCES!$Y:$Y,MATCH(BIDWARS!$B47,RESOURCES!$C:$C,0)),2),"-")</f>
        <v>1</v>
      </c>
      <c r="J47" s="16" t="str">
        <f>IFERROR(ROUNDUP(INDEX(RESOURCES!$AA:$AA,MATCH(BIDWARS!$B47,RESOURCES!$C:$C,0)),2),"-")</f>
        <v>-</v>
      </c>
      <c r="K47" s="16" t="str">
        <f>IFERROR(VLOOKUP($C47,'CE RAW'!$D:$H,4,FALSE),"-")</f>
        <v>-</v>
      </c>
      <c r="L47" s="16" t="str">
        <f>IFERROR(VLOOKUP($C47,'CE RAW'!$D:$H,5,FALSE),"-")</f>
        <v>-</v>
      </c>
      <c r="M47" s="2">
        <f>COUNTIFS('BONUS RAW'!$D:$D,BIDWARS!$B47,'BONUS RAW'!$J:$J,"KUDOS")</f>
        <v>0</v>
      </c>
      <c r="N47" s="324">
        <f>IF(AND(SUMIFS('ATTENDANCE RAW'!$I:$I,'ATTENDANCE RAW'!$E:$E,BIDWARS!$B47)=0,SUMIFS('ATTENDANCE RAW'!$J:$J,'ATTENDANCE RAW'!$E:$E,BIDWARS!$B47)=0),1,0)</f>
        <v>1</v>
      </c>
      <c r="O47" s="241" t="str">
        <f>IF(ISERROR(VLOOKUP($B47,'ATTRITION RAW'!$E:$E,1,0)),"ACTIVE","INACTIVE")</f>
        <v>ACTIVE</v>
      </c>
      <c r="P47" s="432">
        <f t="shared" si="2"/>
        <v>162</v>
      </c>
      <c r="Q47" s="432">
        <f t="shared" si="3"/>
        <v>400</v>
      </c>
      <c r="R47" s="432">
        <f t="shared" si="4"/>
        <v>200</v>
      </c>
      <c r="S47" s="432" t="str">
        <f t="shared" si="5"/>
        <v>-</v>
      </c>
      <c r="T47" s="432" t="str">
        <f t="shared" si="6"/>
        <v>-</v>
      </c>
      <c r="U47" s="432">
        <f t="shared" si="8"/>
        <v>0</v>
      </c>
      <c r="V47" s="432">
        <f t="shared" si="9"/>
        <v>50</v>
      </c>
      <c r="W47" s="433">
        <f t="shared" si="7"/>
        <v>812</v>
      </c>
    </row>
    <row r="48" spans="1:23">
      <c r="A48" s="2">
        <f>RESOURCES!B47</f>
        <v>44</v>
      </c>
      <c r="B48" s="431">
        <f>RESOURCES!C47</f>
        <v>10071631</v>
      </c>
      <c r="C48" s="431" t="str">
        <f>RESOURCES!D47</f>
        <v>ASERON, RHYALYN P.</v>
      </c>
      <c r="D48" s="2" t="str">
        <f>RESOURCES!E47</f>
        <v>Web Designer</v>
      </c>
      <c r="E48" s="2" t="str">
        <f>RESOURCES!F47</f>
        <v>LAPASTORA, Mark Anthony</v>
      </c>
      <c r="F48" s="2" t="str">
        <f>RESOURCES!G47</f>
        <v>MENDOZA, Carlo</v>
      </c>
      <c r="G48" s="2">
        <f>ROUNDUP(SUMIFS('PRODUCTIVITY RAW'!$L:$L,'PRODUCTIVITY RAW'!$B:$B,BIDWARS!$B48),0)</f>
        <v>180</v>
      </c>
      <c r="H48" s="16">
        <f>IFERROR(IF($D48="Proofreader",INDEX('CHURN RAW'!$H:$H,MATCH("SITE LEVEL",'CHURN RAW'!$C:$C,0)),IF($D48="Internal Mods (PSI)","-",INDEX(RESOURCES!$X:$X,MATCH(BIDWARS!$B48,RESOURCES!$C:$C,0)))),"-")</f>
        <v>0.9</v>
      </c>
      <c r="I48" s="16">
        <f>IFERROR(ROUNDUP(INDEX(RESOURCES!$Y:$Y,MATCH(BIDWARS!$B48,RESOURCES!$C:$C,0)),2),"-")</f>
        <v>1</v>
      </c>
      <c r="J48" s="16" t="str">
        <f>IFERROR(ROUNDUP(INDEX(RESOURCES!$AA:$AA,MATCH(BIDWARS!$B48,RESOURCES!$C:$C,0)),2),"-")</f>
        <v>-</v>
      </c>
      <c r="K48" s="16" t="str">
        <f>IFERROR(VLOOKUP($C48,'CE RAW'!$D:$H,4,FALSE),"-")</f>
        <v>-</v>
      </c>
      <c r="L48" s="16" t="str">
        <f>IFERROR(VLOOKUP($C48,'CE RAW'!$D:$H,5,FALSE),"-")</f>
        <v>-</v>
      </c>
      <c r="M48" s="2">
        <f>COUNTIFS('BONUS RAW'!$D:$D,BIDWARS!$B48,'BONUS RAW'!$J:$J,"KUDOS")</f>
        <v>0</v>
      </c>
      <c r="N48" s="324">
        <f>IF(AND(SUMIFS('ATTENDANCE RAW'!$I:$I,'ATTENDANCE RAW'!$E:$E,BIDWARS!$B48)=0,SUMIFS('ATTENDANCE RAW'!$J:$J,'ATTENDANCE RAW'!$E:$E,BIDWARS!$B48)=0),1,0)</f>
        <v>0</v>
      </c>
      <c r="O48" s="241" t="str">
        <f>IF(ISERROR(VLOOKUP($B48,'ATTRITION RAW'!$E:$E,1,0)),"ACTIVE","INACTIVE")</f>
        <v>ACTIVE</v>
      </c>
      <c r="P48" s="432">
        <f t="shared" si="2"/>
        <v>180</v>
      </c>
      <c r="Q48" s="432">
        <f t="shared" si="3"/>
        <v>270</v>
      </c>
      <c r="R48" s="432">
        <f t="shared" si="4"/>
        <v>200</v>
      </c>
      <c r="S48" s="432" t="str">
        <f t="shared" si="5"/>
        <v>-</v>
      </c>
      <c r="T48" s="432" t="str">
        <f t="shared" si="6"/>
        <v>-</v>
      </c>
      <c r="U48" s="432">
        <f t="shared" si="8"/>
        <v>0</v>
      </c>
      <c r="V48" s="432">
        <f t="shared" si="9"/>
        <v>0</v>
      </c>
      <c r="W48" s="433">
        <f t="shared" si="7"/>
        <v>650</v>
      </c>
    </row>
    <row r="49" spans="1:23">
      <c r="A49" s="2">
        <f>RESOURCES!B48</f>
        <v>45</v>
      </c>
      <c r="B49" s="431">
        <f>RESOURCES!C48</f>
        <v>10072157</v>
      </c>
      <c r="C49" s="431" t="str">
        <f>RESOURCES!D48</f>
        <v>BLANCAFLOR, KIM BRYAN M.</v>
      </c>
      <c r="D49" s="2" t="str">
        <f>RESOURCES!E48</f>
        <v>Web Designer</v>
      </c>
      <c r="E49" s="2" t="str">
        <f>RESOURCES!F48</f>
        <v>LAPASTORA, Mark Anthony</v>
      </c>
      <c r="F49" s="2" t="str">
        <f>RESOURCES!G48</f>
        <v>MENDOZA, Carlo</v>
      </c>
      <c r="G49" s="2">
        <f>ROUNDUP(SUMIFS('PRODUCTIVITY RAW'!$L:$L,'PRODUCTIVITY RAW'!$B:$B,BIDWARS!$B49),0)</f>
        <v>164</v>
      </c>
      <c r="H49" s="16">
        <f>IFERROR(IF($D49="Proofreader",INDEX('CHURN RAW'!$H:$H,MATCH("SITE LEVEL",'CHURN RAW'!$C:$C,0)),IF($D49="Internal Mods (PSI)","-",INDEX(RESOURCES!$X:$X,MATCH(BIDWARS!$B49,RESOURCES!$C:$C,0)))),"-")</f>
        <v>0.9</v>
      </c>
      <c r="I49" s="16">
        <f>IFERROR(ROUNDUP(INDEX(RESOURCES!$Y:$Y,MATCH(BIDWARS!$B49,RESOURCES!$C:$C,0)),2),"-")</f>
        <v>1</v>
      </c>
      <c r="J49" s="16" t="str">
        <f>IFERROR(ROUNDUP(INDEX(RESOURCES!$AA:$AA,MATCH(BIDWARS!$B49,RESOURCES!$C:$C,0)),2),"-")</f>
        <v>-</v>
      </c>
      <c r="K49" s="16" t="str">
        <f>IFERROR(VLOOKUP($C49,'CE RAW'!$D:$H,4,FALSE),"-")</f>
        <v>-</v>
      </c>
      <c r="L49" s="16" t="str">
        <f>IFERROR(VLOOKUP($C49,'CE RAW'!$D:$H,5,FALSE),"-")</f>
        <v>-</v>
      </c>
      <c r="M49" s="2">
        <f>COUNTIFS('BONUS RAW'!$D:$D,BIDWARS!$B49,'BONUS RAW'!$J:$J,"KUDOS")</f>
        <v>0</v>
      </c>
      <c r="N49" s="324">
        <f>IF(AND(SUMIFS('ATTENDANCE RAW'!$I:$I,'ATTENDANCE RAW'!$E:$E,BIDWARS!$B49)=0,SUMIFS('ATTENDANCE RAW'!$J:$J,'ATTENDANCE RAW'!$E:$E,BIDWARS!$B49)=0),1,0)</f>
        <v>1</v>
      </c>
      <c r="O49" s="241" t="str">
        <f>IF(ISERROR(VLOOKUP($B49,'ATTRITION RAW'!$E:$E,1,0)),"ACTIVE","INACTIVE")</f>
        <v>ACTIVE</v>
      </c>
      <c r="P49" s="432">
        <f t="shared" si="2"/>
        <v>164</v>
      </c>
      <c r="Q49" s="432">
        <f t="shared" si="3"/>
        <v>270</v>
      </c>
      <c r="R49" s="432">
        <f t="shared" si="4"/>
        <v>200</v>
      </c>
      <c r="S49" s="432" t="str">
        <f t="shared" si="5"/>
        <v>-</v>
      </c>
      <c r="T49" s="432" t="str">
        <f t="shared" si="6"/>
        <v>-</v>
      </c>
      <c r="U49" s="432">
        <f t="shared" si="8"/>
        <v>0</v>
      </c>
      <c r="V49" s="432">
        <f t="shared" si="9"/>
        <v>50</v>
      </c>
      <c r="W49" s="433">
        <f t="shared" si="7"/>
        <v>684</v>
      </c>
    </row>
    <row r="50" spans="1:23">
      <c r="A50" s="2" t="e">
        <f>RESOURCES!#REF!</f>
        <v>#REF!</v>
      </c>
      <c r="B50" s="431" t="e">
        <f>RESOURCES!#REF!</f>
        <v>#REF!</v>
      </c>
      <c r="C50" s="431" t="e">
        <f>RESOURCES!#REF!</f>
        <v>#REF!</v>
      </c>
      <c r="D50" s="2" t="e">
        <f>RESOURCES!#REF!</f>
        <v>#REF!</v>
      </c>
      <c r="E50" s="2" t="e">
        <f>RESOURCES!#REF!</f>
        <v>#REF!</v>
      </c>
      <c r="F50" s="2" t="e">
        <f>RESOURCES!#REF!</f>
        <v>#REF!</v>
      </c>
      <c r="G50" s="2">
        <f>ROUNDUP(SUMIFS('PRODUCTIVITY RAW'!$L:$L,'PRODUCTIVITY RAW'!$B:$B,BIDWARS!$B50),0)</f>
        <v>0</v>
      </c>
      <c r="H50" s="16" t="str">
        <f>IFERROR(IF($D50="Proofreader",INDEX('CHURN RAW'!$H:$H,MATCH("SITE LEVEL",'CHURN RAW'!$C:$C,0)),IF($D50="Internal Mods (PSI)","-",INDEX(RESOURCES!$X:$X,MATCH(BIDWARS!$B50,RESOURCES!$C:$C,0)))),"-")</f>
        <v>-</v>
      </c>
      <c r="I50" s="16" t="str">
        <f>IFERROR(ROUNDUP(INDEX(RESOURCES!$Y:$Y,MATCH(BIDWARS!$B50,RESOURCES!$C:$C,0)),2),"-")</f>
        <v>-</v>
      </c>
      <c r="J50" s="16" t="str">
        <f>IFERROR(ROUNDUP(INDEX(RESOURCES!$AA:$AA,MATCH(BIDWARS!$B50,RESOURCES!$C:$C,0)),2),"-")</f>
        <v>-</v>
      </c>
      <c r="K50" s="16" t="str">
        <f>IFERROR(VLOOKUP($C50,'CE RAW'!$D:$H,4,FALSE),"-")</f>
        <v>-</v>
      </c>
      <c r="L50" s="16" t="str">
        <f>IFERROR(VLOOKUP($C50,'CE RAW'!$D:$H,5,FALSE),"-")</f>
        <v>-</v>
      </c>
      <c r="M50" s="2">
        <f>COUNTIFS('BONUS RAW'!$D:$D,BIDWARS!$B50,'BONUS RAW'!$J:$J,"KUDOS")</f>
        <v>0</v>
      </c>
      <c r="N50" s="324">
        <f>IF(AND(SUMIFS('ATTENDANCE RAW'!$I:$I,'ATTENDANCE RAW'!$E:$E,BIDWARS!$B50)=0,SUMIFS('ATTENDANCE RAW'!$J:$J,'ATTENDANCE RAW'!$E:$E,BIDWARS!$B50)=0),1,0)</f>
        <v>1</v>
      </c>
      <c r="O50" s="241" t="str">
        <f>IF(ISERROR(VLOOKUP($B50,'ATTRITION RAW'!$E:$E,1,0)),"ACTIVE","INACTIVE")</f>
        <v>ACTIVE</v>
      </c>
      <c r="P50" s="432" t="str">
        <f t="shared" si="2"/>
        <v>-</v>
      </c>
      <c r="Q50" s="432" t="str">
        <f t="shared" si="3"/>
        <v>-</v>
      </c>
      <c r="R50" s="432" t="str">
        <f t="shared" si="4"/>
        <v>-</v>
      </c>
      <c r="S50" s="432" t="str">
        <f t="shared" si="5"/>
        <v>-</v>
      </c>
      <c r="T50" s="432" t="str">
        <f t="shared" si="6"/>
        <v>-</v>
      </c>
      <c r="U50" s="432">
        <f t="shared" si="8"/>
        <v>0</v>
      </c>
      <c r="V50" s="432">
        <f t="shared" si="9"/>
        <v>50</v>
      </c>
      <c r="W50" s="433">
        <f t="shared" si="7"/>
        <v>50</v>
      </c>
    </row>
    <row r="51" spans="1:23">
      <c r="A51" s="2">
        <f>RESOURCES!B49</f>
        <v>46</v>
      </c>
      <c r="B51" s="431">
        <f>RESOURCES!C49</f>
        <v>10071958</v>
      </c>
      <c r="C51" s="431" t="str">
        <f>RESOURCES!D49</f>
        <v>CANAYON, MARK ANTHONY L.</v>
      </c>
      <c r="D51" s="2" t="str">
        <f>RESOURCES!E49</f>
        <v>Web Designer</v>
      </c>
      <c r="E51" s="2" t="str">
        <f>RESOURCES!F49</f>
        <v>LAPASTORA, Mark Anthony</v>
      </c>
      <c r="F51" s="2" t="str">
        <f>RESOURCES!G49</f>
        <v>MENDOZA, Carlo</v>
      </c>
      <c r="G51" s="2">
        <f>ROUNDUP(SUMIFS('PRODUCTIVITY RAW'!$L:$L,'PRODUCTIVITY RAW'!$B:$B,BIDWARS!$B51),0)</f>
        <v>116</v>
      </c>
      <c r="H51" s="16">
        <f>IFERROR(IF($D51="Proofreader",INDEX('CHURN RAW'!$H:$H,MATCH("SITE LEVEL",'CHURN RAW'!$C:$C,0)),IF($D51="Internal Mods (PSI)","-",INDEX(RESOURCES!$X:$X,MATCH(BIDWARS!$B51,RESOURCES!$C:$C,0)))),"-")</f>
        <v>0.8</v>
      </c>
      <c r="I51" s="16">
        <f>IFERROR(ROUNDUP(INDEX(RESOURCES!$Y:$Y,MATCH(BIDWARS!$B51,RESOURCES!$C:$C,0)),2),"-")</f>
        <v>1</v>
      </c>
      <c r="J51" s="16" t="str">
        <f>IFERROR(ROUNDUP(INDEX(RESOURCES!$AA:$AA,MATCH(BIDWARS!$B51,RESOURCES!$C:$C,0)),2),"-")</f>
        <v>-</v>
      </c>
      <c r="K51" s="16" t="str">
        <f>IFERROR(VLOOKUP($C51,'CE RAW'!$D:$H,4,FALSE),"-")</f>
        <v>-</v>
      </c>
      <c r="L51" s="16" t="str">
        <f>IFERROR(VLOOKUP($C51,'CE RAW'!$D:$H,5,FALSE),"-")</f>
        <v>-</v>
      </c>
      <c r="M51" s="2">
        <f>COUNTIFS('BONUS RAW'!$D:$D,BIDWARS!$B51,'BONUS RAW'!$J:$J,"KUDOS")</f>
        <v>0</v>
      </c>
      <c r="N51" s="324">
        <f>IF(AND(SUMIFS('ATTENDANCE RAW'!$I:$I,'ATTENDANCE RAW'!$E:$E,BIDWARS!$B51)=0,SUMIFS('ATTENDANCE RAW'!$J:$J,'ATTENDANCE RAW'!$E:$E,BIDWARS!$B51)=0),1,0)</f>
        <v>0</v>
      </c>
      <c r="O51" s="241" t="str">
        <f>IF(ISERROR(VLOOKUP($B51,'ATTRITION RAW'!$E:$E,1,0)),"ACTIVE","INACTIVE")</f>
        <v>ACTIVE</v>
      </c>
      <c r="P51" s="432">
        <f t="shared" si="2"/>
        <v>116</v>
      </c>
      <c r="Q51" s="432">
        <f t="shared" si="3"/>
        <v>160</v>
      </c>
      <c r="R51" s="432">
        <f t="shared" si="4"/>
        <v>200</v>
      </c>
      <c r="S51" s="432" t="str">
        <f t="shared" si="5"/>
        <v>-</v>
      </c>
      <c r="T51" s="432" t="str">
        <f t="shared" si="6"/>
        <v>-</v>
      </c>
      <c r="U51" s="432">
        <f t="shared" si="8"/>
        <v>0</v>
      </c>
      <c r="V51" s="432">
        <f t="shared" si="9"/>
        <v>0</v>
      </c>
      <c r="W51" s="433">
        <f t="shared" si="7"/>
        <v>476</v>
      </c>
    </row>
    <row r="52" spans="1:23">
      <c r="A52" s="2">
        <f>RESOURCES!B50</f>
        <v>47</v>
      </c>
      <c r="B52" s="431">
        <f>RESOURCES!C50</f>
        <v>10071039</v>
      </c>
      <c r="C52" s="431" t="str">
        <f>RESOURCES!D50</f>
        <v>ESTRELLA, DARYL ANGELO C.</v>
      </c>
      <c r="D52" s="2" t="str">
        <f>RESOURCES!E50</f>
        <v>Senior Web Designer</v>
      </c>
      <c r="E52" s="2" t="str">
        <f>RESOURCES!F50</f>
        <v>LAPASTORA, Mark Anthony</v>
      </c>
      <c r="F52" s="2" t="str">
        <f>RESOURCES!G50</f>
        <v>MENDOZA, Carlo</v>
      </c>
      <c r="G52" s="2">
        <f>ROUNDUP(SUMIFS('PRODUCTIVITY RAW'!$L:$L,'PRODUCTIVITY RAW'!$B:$B,BIDWARS!$B52),0)</f>
        <v>141</v>
      </c>
      <c r="H52" s="16">
        <f>IFERROR(IF($D52="Proofreader",INDEX('CHURN RAW'!$H:$H,MATCH("SITE LEVEL",'CHURN RAW'!$C:$C,0)),IF($D52="Internal Mods (PSI)","-",INDEX(RESOURCES!$X:$X,MATCH(BIDWARS!$B52,RESOURCES!$C:$C,0)))),"-")</f>
        <v>1</v>
      </c>
      <c r="I52" s="16">
        <f>IFERROR(ROUNDUP(INDEX(RESOURCES!$Y:$Y,MATCH(BIDWARS!$B52,RESOURCES!$C:$C,0)),2),"-")</f>
        <v>1</v>
      </c>
      <c r="J52" s="16" t="str">
        <f>IFERROR(ROUNDUP(INDEX(RESOURCES!$AA:$AA,MATCH(BIDWARS!$B52,RESOURCES!$C:$C,0)),2),"-")</f>
        <v>-</v>
      </c>
      <c r="K52" s="16" t="str">
        <f>IFERROR(VLOOKUP($C52,'CE RAW'!$D:$H,4,FALSE),"-")</f>
        <v>-</v>
      </c>
      <c r="L52" s="16" t="str">
        <f>IFERROR(VLOOKUP($C52,'CE RAW'!$D:$H,5,FALSE),"-")</f>
        <v>-</v>
      </c>
      <c r="M52" s="2">
        <f>COUNTIFS('BONUS RAW'!$D:$D,BIDWARS!$B52,'BONUS RAW'!$J:$J,"KUDOS")</f>
        <v>0</v>
      </c>
      <c r="N52" s="324">
        <f>IF(AND(SUMIFS('ATTENDANCE RAW'!$I:$I,'ATTENDANCE RAW'!$E:$E,BIDWARS!$B52)=0,SUMIFS('ATTENDANCE RAW'!$J:$J,'ATTENDANCE RAW'!$E:$E,BIDWARS!$B52)=0),1,0)</f>
        <v>1</v>
      </c>
      <c r="O52" s="241" t="str">
        <f>IF(ISERROR(VLOOKUP($B52,'ATTRITION RAW'!$E:$E,1,0)),"ACTIVE","INACTIVE")</f>
        <v>ACTIVE</v>
      </c>
      <c r="P52" s="432">
        <f t="shared" si="2"/>
        <v>141</v>
      </c>
      <c r="Q52" s="432">
        <f t="shared" si="3"/>
        <v>400</v>
      </c>
      <c r="R52" s="432">
        <f t="shared" si="4"/>
        <v>200</v>
      </c>
      <c r="S52" s="432" t="str">
        <f t="shared" si="5"/>
        <v>-</v>
      </c>
      <c r="T52" s="432" t="str">
        <f t="shared" si="6"/>
        <v>-</v>
      </c>
      <c r="U52" s="432">
        <f t="shared" si="8"/>
        <v>0</v>
      </c>
      <c r="V52" s="432">
        <f t="shared" si="9"/>
        <v>50</v>
      </c>
      <c r="W52" s="433">
        <f t="shared" si="7"/>
        <v>791</v>
      </c>
    </row>
    <row r="53" spans="1:23">
      <c r="A53" s="2">
        <f>RESOURCES!B51</f>
        <v>48</v>
      </c>
      <c r="B53" s="431">
        <f>RESOURCES!C51</f>
        <v>10071261</v>
      </c>
      <c r="C53" s="431" t="str">
        <f>RESOURCES!D51</f>
        <v>GALES, DIONEL S.</v>
      </c>
      <c r="D53" s="2" t="str">
        <f>RESOURCES!E51</f>
        <v>Web Designer</v>
      </c>
      <c r="E53" s="2" t="str">
        <f>RESOURCES!F51</f>
        <v>LAPASTORA, Mark Anthony</v>
      </c>
      <c r="F53" s="2" t="str">
        <f>RESOURCES!G51</f>
        <v>MENDOZA, Carlo</v>
      </c>
      <c r="G53" s="2">
        <f>ROUNDUP(SUMIFS('PRODUCTIVITY RAW'!$L:$L,'PRODUCTIVITY RAW'!$B:$B,BIDWARS!$B53),0)</f>
        <v>125</v>
      </c>
      <c r="H53" s="16">
        <f>IFERROR(IF($D53="Proofreader",INDEX('CHURN RAW'!$H:$H,MATCH("SITE LEVEL",'CHURN RAW'!$C:$C,0)),IF($D53="Internal Mods (PSI)","-",INDEX(RESOURCES!$X:$X,MATCH(BIDWARS!$B53,RESOURCES!$C:$C,0)))),"-")</f>
        <v>0.9</v>
      </c>
      <c r="I53" s="16">
        <f>IFERROR(ROUNDUP(INDEX(RESOURCES!$Y:$Y,MATCH(BIDWARS!$B53,RESOURCES!$C:$C,0)),2),"-")</f>
        <v>1</v>
      </c>
      <c r="J53" s="16" t="str">
        <f>IFERROR(ROUNDUP(INDEX(RESOURCES!$AA:$AA,MATCH(BIDWARS!$B53,RESOURCES!$C:$C,0)),2),"-")</f>
        <v>-</v>
      </c>
      <c r="K53" s="16" t="str">
        <f>IFERROR(VLOOKUP($C53,'CE RAW'!$D:$H,4,FALSE),"-")</f>
        <v>-</v>
      </c>
      <c r="L53" s="16" t="str">
        <f>IFERROR(VLOOKUP($C53,'CE RAW'!$D:$H,5,FALSE),"-")</f>
        <v>-</v>
      </c>
      <c r="M53" s="2">
        <f>COUNTIFS('BONUS RAW'!$D:$D,BIDWARS!$B53,'BONUS RAW'!$J:$J,"KUDOS")</f>
        <v>0</v>
      </c>
      <c r="N53" s="324">
        <f>IF(AND(SUMIFS('ATTENDANCE RAW'!$I:$I,'ATTENDANCE RAW'!$E:$E,BIDWARS!$B53)=0,SUMIFS('ATTENDANCE RAW'!$J:$J,'ATTENDANCE RAW'!$E:$E,BIDWARS!$B53)=0),1,0)</f>
        <v>0</v>
      </c>
      <c r="O53" s="241" t="str">
        <f>IF(ISERROR(VLOOKUP($B53,'ATTRITION RAW'!$E:$E,1,0)),"ACTIVE","INACTIVE")</f>
        <v>ACTIVE</v>
      </c>
      <c r="P53" s="432">
        <f t="shared" si="2"/>
        <v>125</v>
      </c>
      <c r="Q53" s="432">
        <f t="shared" si="3"/>
        <v>270</v>
      </c>
      <c r="R53" s="432">
        <f t="shared" si="4"/>
        <v>200</v>
      </c>
      <c r="S53" s="432" t="str">
        <f t="shared" si="5"/>
        <v>-</v>
      </c>
      <c r="T53" s="432" t="str">
        <f t="shared" si="6"/>
        <v>-</v>
      </c>
      <c r="U53" s="432">
        <f t="shared" si="8"/>
        <v>0</v>
      </c>
      <c r="V53" s="432">
        <f t="shared" si="9"/>
        <v>0</v>
      </c>
      <c r="W53" s="433">
        <f t="shared" si="7"/>
        <v>595</v>
      </c>
    </row>
    <row r="54" spans="1:23">
      <c r="A54" s="2">
        <f>RESOURCES!B52</f>
        <v>49</v>
      </c>
      <c r="B54" s="431">
        <f>RESOURCES!C52</f>
        <v>10071751</v>
      </c>
      <c r="C54" s="431" t="str">
        <f>RESOURCES!D52</f>
        <v>GALES, GERALD JOHN S.</v>
      </c>
      <c r="D54" s="2" t="str">
        <f>RESOURCES!E52</f>
        <v>Web Designer</v>
      </c>
      <c r="E54" s="2" t="str">
        <f>RESOURCES!F52</f>
        <v>LAPASTORA, Mark Anthony</v>
      </c>
      <c r="F54" s="2" t="str">
        <f>RESOURCES!G52</f>
        <v>MENDOZA, Carlo</v>
      </c>
      <c r="G54" s="2">
        <f>ROUNDUP(SUMIFS('PRODUCTIVITY RAW'!$L:$L,'PRODUCTIVITY RAW'!$B:$B,BIDWARS!$B54),0)</f>
        <v>149</v>
      </c>
      <c r="H54" s="16">
        <f>IFERROR(IF($D54="Proofreader",INDEX('CHURN RAW'!$H:$H,MATCH("SITE LEVEL",'CHURN RAW'!$C:$C,0)),IF($D54="Internal Mods (PSI)","-",INDEX(RESOURCES!$X:$X,MATCH(BIDWARS!$B54,RESOURCES!$C:$C,0)))),"-")</f>
        <v>0.8</v>
      </c>
      <c r="I54" s="16">
        <f>IFERROR(ROUNDUP(INDEX(RESOURCES!$Y:$Y,MATCH(BIDWARS!$B54,RESOURCES!$C:$C,0)),2),"-")</f>
        <v>0.96</v>
      </c>
      <c r="J54" s="16" t="str">
        <f>IFERROR(ROUNDUP(INDEX(RESOURCES!$AA:$AA,MATCH(BIDWARS!$B54,RESOURCES!$C:$C,0)),2),"-")</f>
        <v>-</v>
      </c>
      <c r="K54" s="16" t="str">
        <f>IFERROR(VLOOKUP($C54,'CE RAW'!$D:$H,4,FALSE),"-")</f>
        <v>-</v>
      </c>
      <c r="L54" s="16" t="str">
        <f>IFERROR(VLOOKUP($C54,'CE RAW'!$D:$H,5,FALSE),"-")</f>
        <v>-</v>
      </c>
      <c r="M54" s="2">
        <f>COUNTIFS('BONUS RAW'!$D:$D,BIDWARS!$B54,'BONUS RAW'!$J:$J,"KUDOS")</f>
        <v>0</v>
      </c>
      <c r="N54" s="324">
        <f>IF(AND(SUMIFS('ATTENDANCE RAW'!$I:$I,'ATTENDANCE RAW'!$E:$E,BIDWARS!$B54)=0,SUMIFS('ATTENDANCE RAW'!$J:$J,'ATTENDANCE RAW'!$E:$E,BIDWARS!$B54)=0),1,0)</f>
        <v>0</v>
      </c>
      <c r="O54" s="241" t="str">
        <f>IF(ISERROR(VLOOKUP($B54,'ATTRITION RAW'!$E:$E,1,0)),"ACTIVE","INACTIVE")</f>
        <v>ACTIVE</v>
      </c>
      <c r="P54" s="432">
        <f t="shared" si="2"/>
        <v>149</v>
      </c>
      <c r="Q54" s="432">
        <f t="shared" si="3"/>
        <v>160</v>
      </c>
      <c r="R54" s="432">
        <f t="shared" si="4"/>
        <v>192</v>
      </c>
      <c r="S54" s="432" t="str">
        <f t="shared" si="5"/>
        <v>-</v>
      </c>
      <c r="T54" s="432" t="str">
        <f t="shared" si="6"/>
        <v>-</v>
      </c>
      <c r="U54" s="432">
        <f t="shared" si="8"/>
        <v>0</v>
      </c>
      <c r="V54" s="432">
        <f t="shared" si="9"/>
        <v>0</v>
      </c>
      <c r="W54" s="433">
        <f t="shared" si="7"/>
        <v>501</v>
      </c>
    </row>
    <row r="55" spans="1:23">
      <c r="A55" s="2" t="e">
        <f>RESOURCES!#REF!</f>
        <v>#REF!</v>
      </c>
      <c r="B55" s="431" t="e">
        <f>RESOURCES!#REF!</f>
        <v>#REF!</v>
      </c>
      <c r="C55" s="431" t="e">
        <f>RESOURCES!#REF!</f>
        <v>#REF!</v>
      </c>
      <c r="D55" s="2" t="e">
        <f>RESOURCES!#REF!</f>
        <v>#REF!</v>
      </c>
      <c r="E55" s="2" t="e">
        <f>RESOURCES!#REF!</f>
        <v>#REF!</v>
      </c>
      <c r="F55" s="2" t="e">
        <f>RESOURCES!#REF!</f>
        <v>#REF!</v>
      </c>
      <c r="G55" s="2">
        <f>ROUNDUP(SUMIFS('PRODUCTIVITY RAW'!$L:$L,'PRODUCTIVITY RAW'!$B:$B,BIDWARS!$B55),0)</f>
        <v>0</v>
      </c>
      <c r="H55" s="16" t="str">
        <f>IFERROR(IF($D55="Proofreader",INDEX('CHURN RAW'!$H:$H,MATCH("SITE LEVEL",'CHURN RAW'!$C:$C,0)),IF($D55="Internal Mods (PSI)","-",INDEX(RESOURCES!$X:$X,MATCH(BIDWARS!$B55,RESOURCES!$C:$C,0)))),"-")</f>
        <v>-</v>
      </c>
      <c r="I55" s="16" t="str">
        <f>IFERROR(ROUNDUP(INDEX(RESOURCES!$Y:$Y,MATCH(BIDWARS!$B55,RESOURCES!$C:$C,0)),2),"-")</f>
        <v>-</v>
      </c>
      <c r="J55" s="16" t="str">
        <f>IFERROR(ROUNDUP(INDEX(RESOURCES!$AA:$AA,MATCH(BIDWARS!$B55,RESOURCES!$C:$C,0)),2),"-")</f>
        <v>-</v>
      </c>
      <c r="K55" s="16" t="str">
        <f>IFERROR(VLOOKUP($C55,'CE RAW'!$D:$H,4,FALSE),"-")</f>
        <v>-</v>
      </c>
      <c r="L55" s="16" t="str">
        <f>IFERROR(VLOOKUP($C55,'CE RAW'!$D:$H,5,FALSE),"-")</f>
        <v>-</v>
      </c>
      <c r="M55" s="2">
        <f>COUNTIFS('BONUS RAW'!$D:$D,BIDWARS!$B55,'BONUS RAW'!$J:$J,"KUDOS")</f>
        <v>0</v>
      </c>
      <c r="N55" s="324">
        <f>IF(AND(SUMIFS('ATTENDANCE RAW'!$I:$I,'ATTENDANCE RAW'!$E:$E,BIDWARS!$B55)=0,SUMIFS('ATTENDANCE RAW'!$J:$J,'ATTENDANCE RAW'!$E:$E,BIDWARS!$B55)=0),1,0)</f>
        <v>1</v>
      </c>
      <c r="O55" s="241" t="str">
        <f>IF(ISERROR(VLOOKUP($B55,'ATTRITION RAW'!$E:$E,1,0)),"ACTIVE","INACTIVE")</f>
        <v>ACTIVE</v>
      </c>
      <c r="P55" s="432" t="str">
        <f t="shared" si="2"/>
        <v>-</v>
      </c>
      <c r="Q55" s="432" t="str">
        <f t="shared" si="3"/>
        <v>-</v>
      </c>
      <c r="R55" s="432" t="str">
        <f t="shared" si="4"/>
        <v>-</v>
      </c>
      <c r="S55" s="432" t="str">
        <f t="shared" si="5"/>
        <v>-</v>
      </c>
      <c r="T55" s="432" t="str">
        <f t="shared" si="6"/>
        <v>-</v>
      </c>
      <c r="U55" s="432">
        <f t="shared" si="8"/>
        <v>0</v>
      </c>
      <c r="V55" s="432">
        <f t="shared" si="9"/>
        <v>50</v>
      </c>
      <c r="W55" s="433">
        <f t="shared" si="7"/>
        <v>50</v>
      </c>
    </row>
    <row r="56" spans="1:23">
      <c r="A56" s="2">
        <f>RESOURCES!B53</f>
        <v>50</v>
      </c>
      <c r="B56" s="431">
        <f>RESOURCES!C53</f>
        <v>10072238</v>
      </c>
      <c r="C56" s="431" t="str">
        <f>RESOURCES!D53</f>
        <v>INOCENTES, MHARVIC L.</v>
      </c>
      <c r="D56" s="2" t="str">
        <f>RESOURCES!E53</f>
        <v>Web Designer</v>
      </c>
      <c r="E56" s="2" t="str">
        <f>RESOURCES!F53</f>
        <v>LAPASTORA, Mark Anthony</v>
      </c>
      <c r="F56" s="2" t="str">
        <f>RESOURCES!G53</f>
        <v>MENDOZA, Carlo</v>
      </c>
      <c r="G56" s="2">
        <f>ROUNDUP(SUMIFS('PRODUCTIVITY RAW'!$L:$L,'PRODUCTIVITY RAW'!$B:$B,BIDWARS!$B56),0)</f>
        <v>127</v>
      </c>
      <c r="H56" s="16">
        <f>IFERROR(IF($D56="Proofreader",INDEX('CHURN RAW'!$H:$H,MATCH("SITE LEVEL",'CHURN RAW'!$C:$C,0)),IF($D56="Internal Mods (PSI)","-",INDEX(RESOURCES!$X:$X,MATCH(BIDWARS!$B56,RESOURCES!$C:$C,0)))),"-")</f>
        <v>0.8</v>
      </c>
      <c r="I56" s="16">
        <f>IFERROR(ROUNDUP(INDEX(RESOURCES!$Y:$Y,MATCH(BIDWARS!$B56,RESOURCES!$C:$C,0)),2),"-")</f>
        <v>1</v>
      </c>
      <c r="J56" s="16" t="str">
        <f>IFERROR(ROUNDUP(INDEX(RESOURCES!$AA:$AA,MATCH(BIDWARS!$B56,RESOURCES!$C:$C,0)),2),"-")</f>
        <v>-</v>
      </c>
      <c r="K56" s="16" t="str">
        <f>IFERROR(VLOOKUP($C56,'CE RAW'!$D:$H,4,FALSE),"-")</f>
        <v>-</v>
      </c>
      <c r="L56" s="16" t="str">
        <f>IFERROR(VLOOKUP($C56,'CE RAW'!$D:$H,5,FALSE),"-")</f>
        <v>-</v>
      </c>
      <c r="M56" s="2">
        <f>COUNTIFS('BONUS RAW'!$D:$D,BIDWARS!$B56,'BONUS RAW'!$J:$J,"KUDOS")</f>
        <v>0</v>
      </c>
      <c r="N56" s="324">
        <f>IF(AND(SUMIFS('ATTENDANCE RAW'!$I:$I,'ATTENDANCE RAW'!$E:$E,BIDWARS!$B56)=0,SUMIFS('ATTENDANCE RAW'!$J:$J,'ATTENDANCE RAW'!$E:$E,BIDWARS!$B56)=0),1,0)</f>
        <v>0</v>
      </c>
      <c r="O56" s="241" t="str">
        <f>IF(ISERROR(VLOOKUP($B56,'ATTRITION RAW'!$E:$E,1,0)),"ACTIVE","INACTIVE")</f>
        <v>ACTIVE</v>
      </c>
      <c r="P56" s="432">
        <f t="shared" si="2"/>
        <v>127</v>
      </c>
      <c r="Q56" s="432">
        <f t="shared" si="3"/>
        <v>160</v>
      </c>
      <c r="R56" s="432">
        <f t="shared" si="4"/>
        <v>200</v>
      </c>
      <c r="S56" s="432" t="str">
        <f t="shared" si="5"/>
        <v>-</v>
      </c>
      <c r="T56" s="432" t="str">
        <f t="shared" si="6"/>
        <v>-</v>
      </c>
      <c r="U56" s="432">
        <f t="shared" si="8"/>
        <v>0</v>
      </c>
      <c r="V56" s="432">
        <f t="shared" si="9"/>
        <v>0</v>
      </c>
      <c r="W56" s="433">
        <f t="shared" si="7"/>
        <v>487</v>
      </c>
    </row>
    <row r="57" spans="1:23">
      <c r="A57" s="2">
        <f>RESOURCES!B54</f>
        <v>51</v>
      </c>
      <c r="B57" s="431">
        <f>RESOURCES!C54</f>
        <v>10071275</v>
      </c>
      <c r="C57" s="431" t="str">
        <f>RESOURCES!D54</f>
        <v>LUGO, NORIEL BERNARD M.</v>
      </c>
      <c r="D57" s="2" t="str">
        <f>RESOURCES!E54</f>
        <v>Web Designer</v>
      </c>
      <c r="E57" s="2" t="str">
        <f>RESOURCES!F54</f>
        <v>LAPASTORA, Mark Anthony</v>
      </c>
      <c r="F57" s="2" t="str">
        <f>RESOURCES!G54</f>
        <v>MENDOZA, Carlo</v>
      </c>
      <c r="G57" s="2">
        <f>ROUNDUP(SUMIFS('PRODUCTIVITY RAW'!$L:$L,'PRODUCTIVITY RAW'!$B:$B,BIDWARS!$B57),0)</f>
        <v>81</v>
      </c>
      <c r="H57" s="16">
        <f>IFERROR(IF($D57="Proofreader",INDEX('CHURN RAW'!$H:$H,MATCH("SITE LEVEL",'CHURN RAW'!$C:$C,0)),IF($D57="Internal Mods (PSI)","-",INDEX(RESOURCES!$X:$X,MATCH(BIDWARS!$B57,RESOURCES!$C:$C,0)))),"-")</f>
        <v>1</v>
      </c>
      <c r="I57" s="16">
        <f>IFERROR(ROUNDUP(INDEX(RESOURCES!$Y:$Y,MATCH(BIDWARS!$B57,RESOURCES!$C:$C,0)),2),"-")</f>
        <v>1</v>
      </c>
      <c r="J57" s="16" t="str">
        <f>IFERROR(ROUNDUP(INDEX(RESOURCES!$AA:$AA,MATCH(BIDWARS!$B57,RESOURCES!$C:$C,0)),2),"-")</f>
        <v>-</v>
      </c>
      <c r="K57" s="16" t="str">
        <f>IFERROR(VLOOKUP($C57,'CE RAW'!$D:$H,4,FALSE),"-")</f>
        <v>-</v>
      </c>
      <c r="L57" s="16" t="str">
        <f>IFERROR(VLOOKUP($C57,'CE RAW'!$D:$H,5,FALSE),"-")</f>
        <v>-</v>
      </c>
      <c r="M57" s="2">
        <f>COUNTIFS('BONUS RAW'!$D:$D,BIDWARS!$B57,'BONUS RAW'!$J:$J,"KUDOS")</f>
        <v>0</v>
      </c>
      <c r="N57" s="324">
        <f>IF(AND(SUMIFS('ATTENDANCE RAW'!$I:$I,'ATTENDANCE RAW'!$E:$E,BIDWARS!$B57)=0,SUMIFS('ATTENDANCE RAW'!$J:$J,'ATTENDANCE RAW'!$E:$E,BIDWARS!$B57)=0),1,0)</f>
        <v>0</v>
      </c>
      <c r="O57" s="241" t="str">
        <f>IF(ISERROR(VLOOKUP($B57,'ATTRITION RAW'!$E:$E,1,0)),"ACTIVE","INACTIVE")</f>
        <v>ACTIVE</v>
      </c>
      <c r="P57" s="432">
        <f t="shared" si="2"/>
        <v>81</v>
      </c>
      <c r="Q57" s="432">
        <f t="shared" si="3"/>
        <v>400</v>
      </c>
      <c r="R57" s="432">
        <f t="shared" si="4"/>
        <v>200</v>
      </c>
      <c r="S57" s="432" t="str">
        <f t="shared" si="5"/>
        <v>-</v>
      </c>
      <c r="T57" s="432" t="str">
        <f t="shared" si="6"/>
        <v>-</v>
      </c>
      <c r="U57" s="432">
        <f t="shared" si="8"/>
        <v>0</v>
      </c>
      <c r="V57" s="432">
        <f t="shared" si="9"/>
        <v>0</v>
      </c>
      <c r="W57" s="433">
        <f t="shared" si="7"/>
        <v>681</v>
      </c>
    </row>
    <row r="58" spans="1:23">
      <c r="A58" s="2">
        <f>RESOURCES!B55</f>
        <v>52</v>
      </c>
      <c r="B58" s="431">
        <f>RESOURCES!C55</f>
        <v>10072233</v>
      </c>
      <c r="C58" s="431" t="str">
        <f>RESOURCES!D55</f>
        <v>PADERAGAO, RICKZEL S.</v>
      </c>
      <c r="D58" s="2" t="str">
        <f>RESOURCES!E55</f>
        <v>Web Designer</v>
      </c>
      <c r="E58" s="2" t="str">
        <f>RESOURCES!F55</f>
        <v>LAPASTORA, Mark Anthony</v>
      </c>
      <c r="F58" s="2" t="str">
        <f>RESOURCES!G55</f>
        <v>MENDOZA, Carlo</v>
      </c>
      <c r="G58" s="2">
        <f>ROUNDUP(SUMIFS('PRODUCTIVITY RAW'!$L:$L,'PRODUCTIVITY RAW'!$B:$B,BIDWARS!$B58),0)</f>
        <v>158</v>
      </c>
      <c r="H58" s="16">
        <f>IFERROR(IF($D58="Proofreader",INDEX('CHURN RAW'!$H:$H,MATCH("SITE LEVEL",'CHURN RAW'!$C:$C,0)),IF($D58="Internal Mods (PSI)","-",INDEX(RESOURCES!$X:$X,MATCH(BIDWARS!$B58,RESOURCES!$C:$C,0)))),"-")</f>
        <v>0.8</v>
      </c>
      <c r="I58" s="16">
        <f>IFERROR(ROUNDUP(INDEX(RESOURCES!$Y:$Y,MATCH(BIDWARS!$B58,RESOURCES!$C:$C,0)),2),"-")</f>
        <v>1</v>
      </c>
      <c r="J58" s="16" t="str">
        <f>IFERROR(ROUNDUP(INDEX(RESOURCES!$AA:$AA,MATCH(BIDWARS!$B58,RESOURCES!$C:$C,0)),2),"-")</f>
        <v>-</v>
      </c>
      <c r="K58" s="16" t="str">
        <f>IFERROR(VLOOKUP($C58,'CE RAW'!$D:$H,4,FALSE),"-")</f>
        <v>-</v>
      </c>
      <c r="L58" s="16" t="str">
        <f>IFERROR(VLOOKUP($C58,'CE RAW'!$D:$H,5,FALSE),"-")</f>
        <v>-</v>
      </c>
      <c r="M58" s="2">
        <f>COUNTIFS('BONUS RAW'!$D:$D,BIDWARS!$B58,'BONUS RAW'!$J:$J,"KUDOS")</f>
        <v>0</v>
      </c>
      <c r="N58" s="324">
        <f>IF(AND(SUMIFS('ATTENDANCE RAW'!$I:$I,'ATTENDANCE RAW'!$E:$E,BIDWARS!$B58)=0,SUMIFS('ATTENDANCE RAW'!$J:$J,'ATTENDANCE RAW'!$E:$E,BIDWARS!$B58)=0),1,0)</f>
        <v>0</v>
      </c>
      <c r="O58" s="241" t="str">
        <f>IF(ISERROR(VLOOKUP($B58,'ATTRITION RAW'!$E:$E,1,0)),"ACTIVE","INACTIVE")</f>
        <v>ACTIVE</v>
      </c>
      <c r="P58" s="432">
        <f t="shared" si="2"/>
        <v>158</v>
      </c>
      <c r="Q58" s="432">
        <f t="shared" si="3"/>
        <v>160</v>
      </c>
      <c r="R58" s="432">
        <f t="shared" si="4"/>
        <v>200</v>
      </c>
      <c r="S58" s="432" t="str">
        <f t="shared" si="5"/>
        <v>-</v>
      </c>
      <c r="T58" s="432" t="str">
        <f t="shared" si="6"/>
        <v>-</v>
      </c>
      <c r="U58" s="432">
        <f t="shared" si="8"/>
        <v>0</v>
      </c>
      <c r="V58" s="432">
        <f t="shared" si="9"/>
        <v>0</v>
      </c>
      <c r="W58" s="433">
        <f t="shared" si="7"/>
        <v>518</v>
      </c>
    </row>
    <row r="59" spans="1:23">
      <c r="A59" s="2">
        <f>RESOURCES!B56</f>
        <v>53</v>
      </c>
      <c r="B59" s="431">
        <f>RESOURCES!C56</f>
        <v>10072026</v>
      </c>
      <c r="C59" s="431" t="str">
        <f>RESOURCES!D56</f>
        <v>LAT, DIANNE GRACE A.</v>
      </c>
      <c r="D59" s="2" t="str">
        <f>RESOURCES!E56</f>
        <v>Web Designer</v>
      </c>
      <c r="E59" s="2" t="str">
        <f>RESOURCES!F56</f>
        <v>LAPASTORA, Mark Anthony</v>
      </c>
      <c r="F59" s="2" t="str">
        <f>RESOURCES!G56</f>
        <v>MENDOZA, Carlo</v>
      </c>
      <c r="G59" s="2">
        <f>ROUNDUP(SUMIFS('PRODUCTIVITY RAW'!$L:$L,'PRODUCTIVITY RAW'!$B:$B,BIDWARS!$B59),0)</f>
        <v>160</v>
      </c>
      <c r="H59" s="16">
        <f>IFERROR(IF($D59="Proofreader",INDEX('CHURN RAW'!$H:$H,MATCH("SITE LEVEL",'CHURN RAW'!$C:$C,0)),IF($D59="Internal Mods (PSI)","-",INDEX(RESOURCES!$X:$X,MATCH(BIDWARS!$B59,RESOURCES!$C:$C,0)))),"-")</f>
        <v>0.9</v>
      </c>
      <c r="I59" s="16">
        <f>IFERROR(ROUNDUP(INDEX(RESOURCES!$Y:$Y,MATCH(BIDWARS!$B59,RESOURCES!$C:$C,0)),2),"-")</f>
        <v>1</v>
      </c>
      <c r="J59" s="16" t="str">
        <f>IFERROR(ROUNDUP(INDEX(RESOURCES!$AA:$AA,MATCH(BIDWARS!$B59,RESOURCES!$C:$C,0)),2),"-")</f>
        <v>-</v>
      </c>
      <c r="K59" s="16" t="str">
        <f>IFERROR(VLOOKUP($C59,'CE RAW'!$D:$H,4,FALSE),"-")</f>
        <v>-</v>
      </c>
      <c r="L59" s="16" t="str">
        <f>IFERROR(VLOOKUP($C59,'CE RAW'!$D:$H,5,FALSE),"-")</f>
        <v>-</v>
      </c>
      <c r="M59" s="2">
        <f>COUNTIFS('BONUS RAW'!$D:$D,BIDWARS!$B59,'BONUS RAW'!$J:$J,"KUDOS")</f>
        <v>0</v>
      </c>
      <c r="N59" s="324">
        <f>IF(AND(SUMIFS('ATTENDANCE RAW'!$I:$I,'ATTENDANCE RAW'!$E:$E,BIDWARS!$B59)=0,SUMIFS('ATTENDANCE RAW'!$J:$J,'ATTENDANCE RAW'!$E:$E,BIDWARS!$B59)=0),1,0)</f>
        <v>0</v>
      </c>
      <c r="O59" s="241" t="str">
        <f>IF(ISERROR(VLOOKUP($B59,'ATTRITION RAW'!$E:$E,1,0)),"ACTIVE","INACTIVE")</f>
        <v>ACTIVE</v>
      </c>
      <c r="P59" s="432">
        <f t="shared" si="2"/>
        <v>160</v>
      </c>
      <c r="Q59" s="432">
        <f t="shared" si="3"/>
        <v>270</v>
      </c>
      <c r="R59" s="432">
        <f t="shared" si="4"/>
        <v>200</v>
      </c>
      <c r="S59" s="432" t="str">
        <f t="shared" si="5"/>
        <v>-</v>
      </c>
      <c r="T59" s="432" t="str">
        <f t="shared" si="6"/>
        <v>-</v>
      </c>
      <c r="U59" s="432">
        <f t="shared" si="8"/>
        <v>0</v>
      </c>
      <c r="V59" s="432">
        <f t="shared" si="9"/>
        <v>0</v>
      </c>
      <c r="W59" s="433">
        <f t="shared" si="7"/>
        <v>630</v>
      </c>
    </row>
    <row r="60" spans="1:23">
      <c r="A60" s="2">
        <f>RESOURCES!B57</f>
        <v>54</v>
      </c>
      <c r="B60" s="431">
        <f>RESOURCES!C57</f>
        <v>10072179</v>
      </c>
      <c r="C60" s="431" t="str">
        <f>RESOURCES!D57</f>
        <v>BELESINA, RIZZA MEI V.</v>
      </c>
      <c r="D60" s="2" t="str">
        <f>RESOURCES!E57</f>
        <v>Web Designer</v>
      </c>
      <c r="E60" s="2" t="str">
        <f>RESOURCES!F57</f>
        <v>LAPASTORA, Mark Anthony</v>
      </c>
      <c r="F60" s="2" t="str">
        <f>RESOURCES!G57</f>
        <v>MENDOZA, Carlo</v>
      </c>
      <c r="G60" s="2">
        <f>ROUNDUP(SUMIFS('PRODUCTIVITY RAW'!$L:$L,'PRODUCTIVITY RAW'!$B:$B,BIDWARS!$B60),0)</f>
        <v>148</v>
      </c>
      <c r="H60" s="16">
        <f>IFERROR(IF($D60="Proofreader",INDEX('CHURN RAW'!$H:$H,MATCH("SITE LEVEL",'CHURN RAW'!$C:$C,0)),IF($D60="Internal Mods (PSI)","-",INDEX(RESOURCES!$X:$X,MATCH(BIDWARS!$B60,RESOURCES!$C:$C,0)))),"-")</f>
        <v>1</v>
      </c>
      <c r="I60" s="16">
        <f>IFERROR(ROUNDUP(INDEX(RESOURCES!$Y:$Y,MATCH(BIDWARS!$B60,RESOURCES!$C:$C,0)),2),"-")</f>
        <v>1</v>
      </c>
      <c r="J60" s="16" t="str">
        <f>IFERROR(ROUNDUP(INDEX(RESOURCES!$AA:$AA,MATCH(BIDWARS!$B60,RESOURCES!$C:$C,0)),2),"-")</f>
        <v>-</v>
      </c>
      <c r="K60" s="16" t="str">
        <f>IFERROR(VLOOKUP($C60,'CE RAW'!$D:$H,4,FALSE),"-")</f>
        <v>-</v>
      </c>
      <c r="L60" s="16" t="str">
        <f>IFERROR(VLOOKUP($C60,'CE RAW'!$D:$H,5,FALSE),"-")</f>
        <v>-</v>
      </c>
      <c r="M60" s="2">
        <f>COUNTIFS('BONUS RAW'!$D:$D,BIDWARS!$B60,'BONUS RAW'!$J:$J,"KUDOS")</f>
        <v>0</v>
      </c>
      <c r="N60" s="324">
        <f>IF(AND(SUMIFS('ATTENDANCE RAW'!$I:$I,'ATTENDANCE RAW'!$E:$E,BIDWARS!$B60)=0,SUMIFS('ATTENDANCE RAW'!$J:$J,'ATTENDANCE RAW'!$E:$E,BIDWARS!$B60)=0),1,0)</f>
        <v>1</v>
      </c>
      <c r="O60" s="241" t="str">
        <f>IF(ISERROR(VLOOKUP($B60,'ATTRITION RAW'!$E:$E,1,0)),"ACTIVE","INACTIVE")</f>
        <v>ACTIVE</v>
      </c>
      <c r="P60" s="432">
        <f t="shared" si="2"/>
        <v>148</v>
      </c>
      <c r="Q60" s="432">
        <f t="shared" si="3"/>
        <v>400</v>
      </c>
      <c r="R60" s="432">
        <f t="shared" si="4"/>
        <v>200</v>
      </c>
      <c r="S60" s="432" t="str">
        <f t="shared" si="5"/>
        <v>-</v>
      </c>
      <c r="T60" s="432" t="str">
        <f t="shared" si="6"/>
        <v>-</v>
      </c>
      <c r="U60" s="432">
        <f t="shared" si="8"/>
        <v>0</v>
      </c>
      <c r="V60" s="432">
        <f t="shared" si="9"/>
        <v>50</v>
      </c>
      <c r="W60" s="433">
        <f t="shared" si="7"/>
        <v>798</v>
      </c>
    </row>
    <row r="61" spans="1:23">
      <c r="A61" s="2">
        <f>RESOURCES!B58</f>
        <v>55</v>
      </c>
      <c r="B61" s="431">
        <f>RESOURCES!C58</f>
        <v>10072159</v>
      </c>
      <c r="C61" s="431" t="str">
        <f>RESOURCES!D58</f>
        <v>SALAZAR, RENZ V.</v>
      </c>
      <c r="D61" s="2" t="str">
        <f>RESOURCES!E58</f>
        <v>Web Designer</v>
      </c>
      <c r="E61" s="2" t="str">
        <f>RESOURCES!F58</f>
        <v>LAPASTORA, Mark Anthony</v>
      </c>
      <c r="F61" s="2" t="str">
        <f>RESOURCES!G58</f>
        <v>MENDOZA, Carlo</v>
      </c>
      <c r="G61" s="2">
        <f>ROUNDUP(SUMIFS('PRODUCTIVITY RAW'!$L:$L,'PRODUCTIVITY RAW'!$B:$B,BIDWARS!$B61),0)</f>
        <v>126</v>
      </c>
      <c r="H61" s="16">
        <f>IFERROR(IF($D61="Proofreader",INDEX('CHURN RAW'!$H:$H,MATCH("SITE LEVEL",'CHURN RAW'!$C:$C,0)),IF($D61="Internal Mods (PSI)","-",INDEX(RESOURCES!$X:$X,MATCH(BIDWARS!$B61,RESOURCES!$C:$C,0)))),"-")</f>
        <v>0.9</v>
      </c>
      <c r="I61" s="16">
        <f>IFERROR(ROUNDUP(INDEX(RESOURCES!$Y:$Y,MATCH(BIDWARS!$B61,RESOURCES!$C:$C,0)),2),"-")</f>
        <v>1</v>
      </c>
      <c r="J61" s="16" t="str">
        <f>IFERROR(ROUNDUP(INDEX(RESOURCES!$AA:$AA,MATCH(BIDWARS!$B61,RESOURCES!$C:$C,0)),2),"-")</f>
        <v>-</v>
      </c>
      <c r="K61" s="16" t="str">
        <f>IFERROR(VLOOKUP($C61,'CE RAW'!$D:$H,4,FALSE),"-")</f>
        <v>-</v>
      </c>
      <c r="L61" s="16" t="str">
        <f>IFERROR(VLOOKUP($C61,'CE RAW'!$D:$H,5,FALSE),"-")</f>
        <v>-</v>
      </c>
      <c r="M61" s="2">
        <f>COUNTIFS('BONUS RAW'!$D:$D,BIDWARS!$B61,'BONUS RAW'!$J:$J,"KUDOS")</f>
        <v>0</v>
      </c>
      <c r="N61" s="324">
        <f>IF(AND(SUMIFS('ATTENDANCE RAW'!$I:$I,'ATTENDANCE RAW'!$E:$E,BIDWARS!$B61)=0,SUMIFS('ATTENDANCE RAW'!$J:$J,'ATTENDANCE RAW'!$E:$E,BIDWARS!$B61)=0),1,0)</f>
        <v>0</v>
      </c>
      <c r="O61" s="241" t="str">
        <f>IF(ISERROR(VLOOKUP($B61,'ATTRITION RAW'!$E:$E,1,0)),"ACTIVE","INACTIVE")</f>
        <v>ACTIVE</v>
      </c>
      <c r="P61" s="432">
        <f t="shared" si="2"/>
        <v>126</v>
      </c>
      <c r="Q61" s="432">
        <f t="shared" si="3"/>
        <v>270</v>
      </c>
      <c r="R61" s="432">
        <f t="shared" si="4"/>
        <v>200</v>
      </c>
      <c r="S61" s="432" t="str">
        <f t="shared" si="5"/>
        <v>-</v>
      </c>
      <c r="T61" s="432" t="str">
        <f t="shared" si="6"/>
        <v>-</v>
      </c>
      <c r="U61" s="432">
        <f t="shared" si="8"/>
        <v>0</v>
      </c>
      <c r="V61" s="432">
        <f t="shared" si="9"/>
        <v>0</v>
      </c>
      <c r="W61" s="433">
        <f t="shared" si="7"/>
        <v>596</v>
      </c>
    </row>
    <row r="62" spans="1:23">
      <c r="A62" s="2">
        <f>RESOURCES!B59</f>
        <v>56</v>
      </c>
      <c r="B62" s="431">
        <f>RESOURCES!C59</f>
        <v>10072155</v>
      </c>
      <c r="C62" s="431" t="str">
        <f>RESOURCES!D59</f>
        <v>BALINTONG, MARK CHRISTIAN D.</v>
      </c>
      <c r="D62" s="2" t="str">
        <f>RESOURCES!E59</f>
        <v>Web Designer</v>
      </c>
      <c r="E62" s="2" t="str">
        <f>RESOURCES!F59</f>
        <v>JAYAWON, Franklin</v>
      </c>
      <c r="F62" s="2" t="str">
        <f>RESOURCES!G59</f>
        <v>MENDOZA, Carlo</v>
      </c>
      <c r="G62" s="2">
        <f>ROUNDUP(SUMIFS('PRODUCTIVITY RAW'!$L:$L,'PRODUCTIVITY RAW'!$B:$B,BIDWARS!$B62),0)</f>
        <v>129</v>
      </c>
      <c r="H62" s="16">
        <f>IFERROR(IF($D62="Proofreader",INDEX('CHURN RAW'!$H:$H,MATCH("SITE LEVEL",'CHURN RAW'!$C:$C,0)),IF($D62="Internal Mods (PSI)","-",INDEX(RESOURCES!$X:$X,MATCH(BIDWARS!$B62,RESOURCES!$C:$C,0)))),"-")</f>
        <v>0.8</v>
      </c>
      <c r="I62" s="16">
        <f>IFERROR(ROUNDUP(INDEX(RESOURCES!$Y:$Y,MATCH(BIDWARS!$B62,RESOURCES!$C:$C,0)),2),"-")</f>
        <v>1</v>
      </c>
      <c r="J62" s="16" t="str">
        <f>IFERROR(ROUNDUP(INDEX(RESOURCES!$AA:$AA,MATCH(BIDWARS!$B62,RESOURCES!$C:$C,0)),2),"-")</f>
        <v>-</v>
      </c>
      <c r="K62" s="16" t="str">
        <f>IFERROR(VLOOKUP($C62,'CE RAW'!$D:$H,4,FALSE),"-")</f>
        <v>-</v>
      </c>
      <c r="L62" s="16" t="str">
        <f>IFERROR(VLOOKUP($C62,'CE RAW'!$D:$H,5,FALSE),"-")</f>
        <v>-</v>
      </c>
      <c r="M62" s="2">
        <f>COUNTIFS('BONUS RAW'!$D:$D,BIDWARS!$B62,'BONUS RAW'!$J:$J,"KUDOS")</f>
        <v>0</v>
      </c>
      <c r="N62" s="324">
        <f>IF(AND(SUMIFS('ATTENDANCE RAW'!$I:$I,'ATTENDANCE RAW'!$E:$E,BIDWARS!$B62)=0,SUMIFS('ATTENDANCE RAW'!$J:$J,'ATTENDANCE RAW'!$E:$E,BIDWARS!$B62)=0),1,0)</f>
        <v>0</v>
      </c>
      <c r="O62" s="241" t="str">
        <f>IF(ISERROR(VLOOKUP($B62,'ATTRITION RAW'!$E:$E,1,0)),"ACTIVE","INACTIVE")</f>
        <v>ACTIVE</v>
      </c>
      <c r="P62" s="432">
        <f t="shared" si="2"/>
        <v>129</v>
      </c>
      <c r="Q62" s="432">
        <f t="shared" si="3"/>
        <v>160</v>
      </c>
      <c r="R62" s="432">
        <f t="shared" si="4"/>
        <v>200</v>
      </c>
      <c r="S62" s="432" t="str">
        <f t="shared" si="5"/>
        <v>-</v>
      </c>
      <c r="T62" s="432" t="str">
        <f t="shared" si="6"/>
        <v>-</v>
      </c>
      <c r="U62" s="432">
        <f t="shared" si="8"/>
        <v>0</v>
      </c>
      <c r="V62" s="432">
        <f t="shared" si="9"/>
        <v>0</v>
      </c>
      <c r="W62" s="433">
        <f t="shared" si="7"/>
        <v>489</v>
      </c>
    </row>
    <row r="63" spans="1:23">
      <c r="A63" s="2">
        <f>RESOURCES!B60</f>
        <v>57</v>
      </c>
      <c r="B63" s="431">
        <f>RESOURCES!C60</f>
        <v>10072451</v>
      </c>
      <c r="C63" s="431" t="str">
        <f>RESOURCES!D60</f>
        <v>DIAZ, SHARMAINE P.</v>
      </c>
      <c r="D63" s="2" t="str">
        <f>RESOURCES!E60</f>
        <v>Web Designer</v>
      </c>
      <c r="E63" s="2" t="str">
        <f>RESOURCES!F60</f>
        <v>JAYAWON, Franklin</v>
      </c>
      <c r="F63" s="2" t="str">
        <f>RESOURCES!G60</f>
        <v>MENDOZA, Carlo</v>
      </c>
      <c r="G63" s="2">
        <f>ROUNDUP(SUMIFS('PRODUCTIVITY RAW'!$L:$L,'PRODUCTIVITY RAW'!$B:$B,BIDWARS!$B63),0)</f>
        <v>199</v>
      </c>
      <c r="H63" s="16">
        <f>IFERROR(IF($D63="Proofreader",INDEX('CHURN RAW'!$H:$H,MATCH("SITE LEVEL",'CHURN RAW'!$C:$C,0)),IF($D63="Internal Mods (PSI)","-",INDEX(RESOURCES!$X:$X,MATCH(BIDWARS!$B63,RESOURCES!$C:$C,0)))),"-")</f>
        <v>0.8</v>
      </c>
      <c r="I63" s="16">
        <f>IFERROR(ROUNDUP(INDEX(RESOURCES!$Y:$Y,MATCH(BIDWARS!$B63,RESOURCES!$C:$C,0)),2),"-")</f>
        <v>1</v>
      </c>
      <c r="J63" s="16" t="str">
        <f>IFERROR(ROUNDUP(INDEX(RESOURCES!$AA:$AA,MATCH(BIDWARS!$B63,RESOURCES!$C:$C,0)),2),"-")</f>
        <v>-</v>
      </c>
      <c r="K63" s="16" t="str">
        <f>IFERROR(VLOOKUP($C63,'CE RAW'!$D:$H,4,FALSE),"-")</f>
        <v>-</v>
      </c>
      <c r="L63" s="16" t="str">
        <f>IFERROR(VLOOKUP($C63,'CE RAW'!$D:$H,5,FALSE),"-")</f>
        <v>-</v>
      </c>
      <c r="M63" s="2">
        <f>COUNTIFS('BONUS RAW'!$D:$D,BIDWARS!$B63,'BONUS RAW'!$J:$J,"KUDOS")</f>
        <v>0</v>
      </c>
      <c r="N63" s="324">
        <f>IF(AND(SUMIFS('ATTENDANCE RAW'!$I:$I,'ATTENDANCE RAW'!$E:$E,BIDWARS!$B63)=0,SUMIFS('ATTENDANCE RAW'!$J:$J,'ATTENDANCE RAW'!$E:$E,BIDWARS!$B63)=0),1,0)</f>
        <v>1</v>
      </c>
      <c r="O63" s="241" t="str">
        <f>IF(ISERROR(VLOOKUP($B63,'ATTRITION RAW'!$E:$E,1,0)),"ACTIVE","INACTIVE")</f>
        <v>ACTIVE</v>
      </c>
      <c r="P63" s="432">
        <f t="shared" si="2"/>
        <v>199</v>
      </c>
      <c r="Q63" s="432">
        <f t="shared" si="3"/>
        <v>160</v>
      </c>
      <c r="R63" s="432">
        <f t="shared" si="4"/>
        <v>200</v>
      </c>
      <c r="S63" s="432" t="str">
        <f t="shared" si="5"/>
        <v>-</v>
      </c>
      <c r="T63" s="432" t="str">
        <f t="shared" si="6"/>
        <v>-</v>
      </c>
      <c r="U63" s="432">
        <f t="shared" si="8"/>
        <v>0</v>
      </c>
      <c r="V63" s="432">
        <f t="shared" si="9"/>
        <v>50</v>
      </c>
      <c r="W63" s="433">
        <f t="shared" si="7"/>
        <v>609</v>
      </c>
    </row>
    <row r="64" spans="1:23">
      <c r="A64" s="2">
        <f>RESOURCES!B61</f>
        <v>58</v>
      </c>
      <c r="B64" s="431">
        <f>RESOURCES!C61</f>
        <v>10071201</v>
      </c>
      <c r="C64" s="431" t="str">
        <f>RESOURCES!D61</f>
        <v>BALBALOSA, JOMARI C.</v>
      </c>
      <c r="D64" s="2" t="str">
        <f>RESOURCES!E61</f>
        <v>Web Designer</v>
      </c>
      <c r="E64" s="2" t="str">
        <f>RESOURCES!F61</f>
        <v>JAYAWON, Franklin</v>
      </c>
      <c r="F64" s="2" t="str">
        <f>RESOURCES!G61</f>
        <v>MENDOZA, Carlo</v>
      </c>
      <c r="G64" s="2">
        <f>ROUNDUP(SUMIFS('PRODUCTIVITY RAW'!$L:$L,'PRODUCTIVITY RAW'!$B:$B,BIDWARS!$B64),0)</f>
        <v>170</v>
      </c>
      <c r="H64" s="16">
        <f>IFERROR(IF($D64="Proofreader",INDEX('CHURN RAW'!$H:$H,MATCH("SITE LEVEL",'CHURN RAW'!$C:$C,0)),IF($D64="Internal Mods (PSI)","-",INDEX(RESOURCES!$X:$X,MATCH(BIDWARS!$B64,RESOURCES!$C:$C,0)))),"-")</f>
        <v>0.8</v>
      </c>
      <c r="I64" s="16">
        <f>IFERROR(ROUNDUP(INDEX(RESOURCES!$Y:$Y,MATCH(BIDWARS!$B64,RESOURCES!$C:$C,0)),2),"-")</f>
        <v>1</v>
      </c>
      <c r="J64" s="16" t="str">
        <f>IFERROR(ROUNDUP(INDEX(RESOURCES!$AA:$AA,MATCH(BIDWARS!$B64,RESOURCES!$C:$C,0)),2),"-")</f>
        <v>-</v>
      </c>
      <c r="K64" s="16" t="str">
        <f>IFERROR(VLOOKUP($C64,'CE RAW'!$D:$H,4,FALSE),"-")</f>
        <v>-</v>
      </c>
      <c r="L64" s="16" t="str">
        <f>IFERROR(VLOOKUP($C64,'CE RAW'!$D:$H,5,FALSE),"-")</f>
        <v>-</v>
      </c>
      <c r="M64" s="2">
        <f>COUNTIFS('BONUS RAW'!$D:$D,BIDWARS!$B64,'BONUS RAW'!$J:$J,"KUDOS")</f>
        <v>0</v>
      </c>
      <c r="N64" s="324">
        <f>IF(AND(SUMIFS('ATTENDANCE RAW'!$I:$I,'ATTENDANCE RAW'!$E:$E,BIDWARS!$B64)=0,SUMIFS('ATTENDANCE RAW'!$J:$J,'ATTENDANCE RAW'!$E:$E,BIDWARS!$B64)=0),1,0)</f>
        <v>0</v>
      </c>
      <c r="O64" s="241" t="str">
        <f>IF(ISERROR(VLOOKUP($B64,'ATTRITION RAW'!$E:$E,1,0)),"ACTIVE","INACTIVE")</f>
        <v>ACTIVE</v>
      </c>
      <c r="P64" s="432">
        <f t="shared" si="2"/>
        <v>170</v>
      </c>
      <c r="Q64" s="432">
        <f t="shared" si="3"/>
        <v>160</v>
      </c>
      <c r="R64" s="432">
        <f t="shared" si="4"/>
        <v>200</v>
      </c>
      <c r="S64" s="432" t="str">
        <f t="shared" si="5"/>
        <v>-</v>
      </c>
      <c r="T64" s="432" t="str">
        <f t="shared" si="6"/>
        <v>-</v>
      </c>
      <c r="U64" s="432">
        <f t="shared" si="8"/>
        <v>0</v>
      </c>
      <c r="V64" s="432">
        <f t="shared" si="9"/>
        <v>0</v>
      </c>
      <c r="W64" s="433">
        <f t="shared" si="7"/>
        <v>530</v>
      </c>
    </row>
    <row r="65" spans="1:23">
      <c r="A65" s="2">
        <f>RESOURCES!B62</f>
        <v>59</v>
      </c>
      <c r="B65" s="431">
        <f>RESOURCES!C62</f>
        <v>10072241</v>
      </c>
      <c r="C65" s="431" t="str">
        <f>RESOURCES!D62</f>
        <v>ENCINAS, AARON C.</v>
      </c>
      <c r="D65" s="2" t="str">
        <f>RESOURCES!E62</f>
        <v>Web Designer</v>
      </c>
      <c r="E65" s="2" t="str">
        <f>RESOURCES!F62</f>
        <v>JAYAWON, Franklin</v>
      </c>
      <c r="F65" s="2" t="str">
        <f>RESOURCES!G62</f>
        <v>MENDOZA, Carlo</v>
      </c>
      <c r="G65" s="2">
        <f>ROUNDUP(SUMIFS('PRODUCTIVITY RAW'!$L:$L,'PRODUCTIVITY RAW'!$B:$B,BIDWARS!$B65),0)</f>
        <v>141</v>
      </c>
      <c r="H65" s="16">
        <f>IFERROR(IF($D65="Proofreader",INDEX('CHURN RAW'!$H:$H,MATCH("SITE LEVEL",'CHURN RAW'!$C:$C,0)),IF($D65="Internal Mods (PSI)","-",INDEX(RESOURCES!$X:$X,MATCH(BIDWARS!$B65,RESOURCES!$C:$C,0)))),"-")</f>
        <v>0.9</v>
      </c>
      <c r="I65" s="16">
        <f>IFERROR(ROUNDUP(INDEX(RESOURCES!$Y:$Y,MATCH(BIDWARS!$B65,RESOURCES!$C:$C,0)),2),"-")</f>
        <v>1</v>
      </c>
      <c r="J65" s="16" t="str">
        <f>IFERROR(ROUNDUP(INDEX(RESOURCES!$AA:$AA,MATCH(BIDWARS!$B65,RESOURCES!$C:$C,0)),2),"-")</f>
        <v>-</v>
      </c>
      <c r="K65" s="16" t="str">
        <f>IFERROR(VLOOKUP($C65,'CE RAW'!$D:$H,4,FALSE),"-")</f>
        <v>-</v>
      </c>
      <c r="L65" s="16" t="str">
        <f>IFERROR(VLOOKUP($C65,'CE RAW'!$D:$H,5,FALSE),"-")</f>
        <v>-</v>
      </c>
      <c r="M65" s="2">
        <f>COUNTIFS('BONUS RAW'!$D:$D,BIDWARS!$B65,'BONUS RAW'!$J:$J,"KUDOS")</f>
        <v>0</v>
      </c>
      <c r="N65" s="324">
        <f>IF(AND(SUMIFS('ATTENDANCE RAW'!$I:$I,'ATTENDANCE RAW'!$E:$E,BIDWARS!$B65)=0,SUMIFS('ATTENDANCE RAW'!$J:$J,'ATTENDANCE RAW'!$E:$E,BIDWARS!$B65)=0),1,0)</f>
        <v>0</v>
      </c>
      <c r="O65" s="241" t="str">
        <f>IF(ISERROR(VLOOKUP($B65,'ATTRITION RAW'!$E:$E,1,0)),"ACTIVE","INACTIVE")</f>
        <v>ACTIVE</v>
      </c>
      <c r="P65" s="432">
        <f t="shared" si="2"/>
        <v>141</v>
      </c>
      <c r="Q65" s="432">
        <f t="shared" si="3"/>
        <v>270</v>
      </c>
      <c r="R65" s="432">
        <f t="shared" si="4"/>
        <v>200</v>
      </c>
      <c r="S65" s="432" t="str">
        <f t="shared" si="5"/>
        <v>-</v>
      </c>
      <c r="T65" s="432" t="str">
        <f t="shared" si="6"/>
        <v>-</v>
      </c>
      <c r="U65" s="432">
        <f t="shared" si="8"/>
        <v>0</v>
      </c>
      <c r="V65" s="432">
        <f t="shared" si="9"/>
        <v>0</v>
      </c>
      <c r="W65" s="433">
        <f t="shared" si="7"/>
        <v>611</v>
      </c>
    </row>
    <row r="66" spans="1:23">
      <c r="A66" s="2">
        <f>RESOURCES!B63</f>
        <v>60</v>
      </c>
      <c r="B66" s="431">
        <f>RESOURCES!C63</f>
        <v>10072237</v>
      </c>
      <c r="C66" s="431" t="str">
        <f>RESOURCES!D63</f>
        <v>LATAYAN, KIER M.</v>
      </c>
      <c r="D66" s="2" t="str">
        <f>RESOURCES!E63</f>
        <v>Web Designer</v>
      </c>
      <c r="E66" s="2" t="str">
        <f>RESOURCES!F63</f>
        <v>JAYAWON, Franklin</v>
      </c>
      <c r="F66" s="2" t="str">
        <f>RESOURCES!G63</f>
        <v>MENDOZA, Carlo</v>
      </c>
      <c r="G66" s="2">
        <f>ROUNDUP(SUMIFS('PRODUCTIVITY RAW'!$L:$L,'PRODUCTIVITY RAW'!$B:$B,BIDWARS!$B66),0)</f>
        <v>122</v>
      </c>
      <c r="H66" s="16">
        <f>IFERROR(IF($D66="Proofreader",INDEX('CHURN RAW'!$H:$H,MATCH("SITE LEVEL",'CHURN RAW'!$C:$C,0)),IF($D66="Internal Mods (PSI)","-",INDEX(RESOURCES!$X:$X,MATCH(BIDWARS!$B66,RESOURCES!$C:$C,0)))),"-")</f>
        <v>0.8</v>
      </c>
      <c r="I66" s="16">
        <f>IFERROR(ROUNDUP(INDEX(RESOURCES!$Y:$Y,MATCH(BIDWARS!$B66,RESOURCES!$C:$C,0)),2),"-")</f>
        <v>1</v>
      </c>
      <c r="J66" s="16" t="str">
        <f>IFERROR(ROUNDUP(INDEX(RESOURCES!$AA:$AA,MATCH(BIDWARS!$B66,RESOURCES!$C:$C,0)),2),"-")</f>
        <v>-</v>
      </c>
      <c r="K66" s="16" t="str">
        <f>IFERROR(VLOOKUP($C66,'CE RAW'!$D:$H,4,FALSE),"-")</f>
        <v>-</v>
      </c>
      <c r="L66" s="16" t="str">
        <f>IFERROR(VLOOKUP($C66,'CE RAW'!$D:$H,5,FALSE),"-")</f>
        <v>-</v>
      </c>
      <c r="M66" s="2">
        <f>COUNTIFS('BONUS RAW'!$D:$D,BIDWARS!$B66,'BONUS RAW'!$J:$J,"KUDOS")</f>
        <v>0</v>
      </c>
      <c r="N66" s="324">
        <f>IF(AND(SUMIFS('ATTENDANCE RAW'!$I:$I,'ATTENDANCE RAW'!$E:$E,BIDWARS!$B66)=0,SUMIFS('ATTENDANCE RAW'!$J:$J,'ATTENDANCE RAW'!$E:$E,BIDWARS!$B66)=0),1,0)</f>
        <v>0</v>
      </c>
      <c r="O66" s="241" t="str">
        <f>IF(ISERROR(VLOOKUP($B66,'ATTRITION RAW'!$E:$E,1,0)),"ACTIVE","INACTIVE")</f>
        <v>ACTIVE</v>
      </c>
      <c r="P66" s="432">
        <f t="shared" si="2"/>
        <v>122</v>
      </c>
      <c r="Q66" s="432">
        <f t="shared" si="3"/>
        <v>160</v>
      </c>
      <c r="R66" s="432">
        <f t="shared" si="4"/>
        <v>200</v>
      </c>
      <c r="S66" s="432" t="str">
        <f t="shared" si="5"/>
        <v>-</v>
      </c>
      <c r="T66" s="432" t="str">
        <f t="shared" si="6"/>
        <v>-</v>
      </c>
      <c r="U66" s="432">
        <f t="shared" si="8"/>
        <v>0</v>
      </c>
      <c r="V66" s="432">
        <f t="shared" si="9"/>
        <v>0</v>
      </c>
      <c r="W66" s="433">
        <f t="shared" si="7"/>
        <v>482</v>
      </c>
    </row>
    <row r="67" spans="1:23">
      <c r="A67" s="2">
        <f>RESOURCES!B64</f>
        <v>61</v>
      </c>
      <c r="B67" s="431">
        <f>RESOURCES!C64</f>
        <v>10072249</v>
      </c>
      <c r="C67" s="431" t="str">
        <f>RESOURCES!D64</f>
        <v>MAMOLO, SHERMIN JOY C.</v>
      </c>
      <c r="D67" s="2" t="str">
        <f>RESOURCES!E64</f>
        <v>Legacy Product Maintenance</v>
      </c>
      <c r="E67" s="2" t="str">
        <f>RESOURCES!F64</f>
        <v>JAYAWON, Franklin</v>
      </c>
      <c r="F67" s="2" t="str">
        <f>RESOURCES!G64</f>
        <v>MENDOZA, Carlo</v>
      </c>
      <c r="G67" s="2">
        <f>ROUNDUP(SUMIFS('PRODUCTIVITY RAW'!$L:$L,'PRODUCTIVITY RAW'!$B:$B,BIDWARS!$B67),0)</f>
        <v>131</v>
      </c>
      <c r="H67" s="16">
        <f>IFERROR(IF($D67="Proofreader",INDEX('CHURN RAW'!$H:$H,MATCH("SITE LEVEL",'CHURN RAW'!$C:$C,0)),IF($D67="Internal Mods (PSI)","-",INDEX(RESOURCES!$X:$X,MATCH(BIDWARS!$B67,RESOURCES!$C:$C,0)))),"-")</f>
        <v>0.8</v>
      </c>
      <c r="I67" s="16">
        <f>IFERROR(ROUNDUP(INDEX(RESOURCES!$Y:$Y,MATCH(BIDWARS!$B67,RESOURCES!$C:$C,0)),2),"-")</f>
        <v>1</v>
      </c>
      <c r="J67" s="16" t="str">
        <f>IFERROR(ROUNDUP(INDEX(RESOURCES!$AA:$AA,MATCH(BIDWARS!$B67,RESOURCES!$C:$C,0)),2),"-")</f>
        <v>-</v>
      </c>
      <c r="K67" s="16" t="str">
        <f>IFERROR(VLOOKUP($C67,'CE RAW'!$D:$H,4,FALSE),"-")</f>
        <v>-</v>
      </c>
      <c r="L67" s="16" t="str">
        <f>IFERROR(VLOOKUP($C67,'CE RAW'!$D:$H,5,FALSE),"-")</f>
        <v>-</v>
      </c>
      <c r="M67" s="2">
        <f>COUNTIFS('BONUS RAW'!$D:$D,BIDWARS!$B67,'BONUS RAW'!$J:$J,"KUDOS")</f>
        <v>0</v>
      </c>
      <c r="N67" s="324">
        <f>IF(AND(SUMIFS('ATTENDANCE RAW'!$I:$I,'ATTENDANCE RAW'!$E:$E,BIDWARS!$B67)=0,SUMIFS('ATTENDANCE RAW'!$J:$J,'ATTENDANCE RAW'!$E:$E,BIDWARS!$B67)=0),1,0)</f>
        <v>0</v>
      </c>
      <c r="O67" s="241" t="str">
        <f>IF(ISERROR(VLOOKUP($B67,'ATTRITION RAW'!$E:$E,1,0)),"ACTIVE","INACTIVE")</f>
        <v>ACTIVE</v>
      </c>
      <c r="P67" s="432">
        <f t="shared" si="2"/>
        <v>131</v>
      </c>
      <c r="Q67" s="432">
        <f t="shared" si="3"/>
        <v>160</v>
      </c>
      <c r="R67" s="432">
        <f t="shared" si="4"/>
        <v>200</v>
      </c>
      <c r="S67" s="432" t="str">
        <f t="shared" si="5"/>
        <v>-</v>
      </c>
      <c r="T67" s="432" t="str">
        <f t="shared" si="6"/>
        <v>-</v>
      </c>
      <c r="U67" s="432">
        <f t="shared" si="8"/>
        <v>0</v>
      </c>
      <c r="V67" s="432">
        <f t="shared" si="9"/>
        <v>0</v>
      </c>
      <c r="W67" s="433">
        <f t="shared" si="7"/>
        <v>491</v>
      </c>
    </row>
    <row r="68" spans="1:23">
      <c r="A68" s="2">
        <f>RESOURCES!B65</f>
        <v>62</v>
      </c>
      <c r="B68" s="431">
        <f>RESOURCES!C65</f>
        <v>10071067</v>
      </c>
      <c r="C68" s="431" t="str">
        <f>RESOURCES!D65</f>
        <v>MUNOZ, JERWIN C.</v>
      </c>
      <c r="D68" s="2" t="str">
        <f>RESOURCES!E65</f>
        <v>Web Designer</v>
      </c>
      <c r="E68" s="2" t="str">
        <f>RESOURCES!F65</f>
        <v>JAYAWON, Franklin</v>
      </c>
      <c r="F68" s="2" t="str">
        <f>RESOURCES!G65</f>
        <v>MENDOZA, Carlo</v>
      </c>
      <c r="G68" s="2">
        <f>ROUNDUP(SUMIFS('PRODUCTIVITY RAW'!$L:$L,'PRODUCTIVITY RAW'!$B:$B,BIDWARS!$B68),0)</f>
        <v>186</v>
      </c>
      <c r="H68" s="16">
        <f>IFERROR(IF($D68="Proofreader",INDEX('CHURN RAW'!$H:$H,MATCH("SITE LEVEL",'CHURN RAW'!$C:$C,0)),IF($D68="Internal Mods (PSI)","-",INDEX(RESOURCES!$X:$X,MATCH(BIDWARS!$B68,RESOURCES!$C:$C,0)))),"-")</f>
        <v>0.8</v>
      </c>
      <c r="I68" s="16">
        <f>IFERROR(ROUNDUP(INDEX(RESOURCES!$Y:$Y,MATCH(BIDWARS!$B68,RESOURCES!$C:$C,0)),2),"-")</f>
        <v>1</v>
      </c>
      <c r="J68" s="16" t="str">
        <f>IFERROR(ROUNDUP(INDEX(RESOURCES!$AA:$AA,MATCH(BIDWARS!$B68,RESOURCES!$C:$C,0)),2),"-")</f>
        <v>-</v>
      </c>
      <c r="K68" s="16" t="str">
        <f>IFERROR(VLOOKUP($C68,'CE RAW'!$D:$H,4,FALSE),"-")</f>
        <v>-</v>
      </c>
      <c r="L68" s="16" t="str">
        <f>IFERROR(VLOOKUP($C68,'CE RAW'!$D:$H,5,FALSE),"-")</f>
        <v>-</v>
      </c>
      <c r="M68" s="2">
        <f>COUNTIFS('BONUS RAW'!$D:$D,BIDWARS!$B68,'BONUS RAW'!$J:$J,"KUDOS")</f>
        <v>0</v>
      </c>
      <c r="N68" s="324">
        <f>IF(AND(SUMIFS('ATTENDANCE RAW'!$I:$I,'ATTENDANCE RAW'!$E:$E,BIDWARS!$B68)=0,SUMIFS('ATTENDANCE RAW'!$J:$J,'ATTENDANCE RAW'!$E:$E,BIDWARS!$B68)=0),1,0)</f>
        <v>1</v>
      </c>
      <c r="O68" s="241" t="str">
        <f>IF(ISERROR(VLOOKUP($B68,'ATTRITION RAW'!$E:$E,1,0)),"ACTIVE","INACTIVE")</f>
        <v>ACTIVE</v>
      </c>
      <c r="P68" s="432">
        <f t="shared" si="2"/>
        <v>186</v>
      </c>
      <c r="Q68" s="432">
        <f t="shared" si="3"/>
        <v>160</v>
      </c>
      <c r="R68" s="432">
        <f t="shared" si="4"/>
        <v>200</v>
      </c>
      <c r="S68" s="432" t="str">
        <f t="shared" si="5"/>
        <v>-</v>
      </c>
      <c r="T68" s="432" t="str">
        <f t="shared" si="6"/>
        <v>-</v>
      </c>
      <c r="U68" s="432">
        <f t="shared" ref="U68:U99" si="10">IFERROR(M68*U$1,"-")</f>
        <v>0</v>
      </c>
      <c r="V68" s="432">
        <f t="shared" ref="V68:V99" si="11">IFERROR(N68*V$1,"-")</f>
        <v>50</v>
      </c>
      <c r="W68" s="433">
        <f t="shared" si="7"/>
        <v>596</v>
      </c>
    </row>
    <row r="69" spans="1:23">
      <c r="A69" s="2">
        <f>RESOURCES!B66</f>
        <v>63</v>
      </c>
      <c r="B69" s="431">
        <f>RESOURCES!C66</f>
        <v>10071420</v>
      </c>
      <c r="C69" s="431" t="str">
        <f>RESOURCES!D66</f>
        <v>NIELO, ANGELICA J.</v>
      </c>
      <c r="D69" s="2" t="str">
        <f>RESOURCES!E66</f>
        <v>Web Designer</v>
      </c>
      <c r="E69" s="2" t="str">
        <f>RESOURCES!F66</f>
        <v>JAYAWON, Franklin</v>
      </c>
      <c r="F69" s="2" t="str">
        <f>RESOURCES!G66</f>
        <v>MENDOZA, Carlo</v>
      </c>
      <c r="G69" s="2">
        <f>ROUNDUP(SUMIFS('PRODUCTIVITY RAW'!$L:$L,'PRODUCTIVITY RAW'!$B:$B,BIDWARS!$B69),0)</f>
        <v>95</v>
      </c>
      <c r="H69" s="16">
        <f>IFERROR(IF($D69="Proofreader",INDEX('CHURN RAW'!$H:$H,MATCH("SITE LEVEL",'CHURN RAW'!$C:$C,0)),IF($D69="Internal Mods (PSI)","-",INDEX(RESOURCES!$X:$X,MATCH(BIDWARS!$B69,RESOURCES!$C:$C,0)))),"-")</f>
        <v>0.8</v>
      </c>
      <c r="I69" s="16">
        <f>IFERROR(ROUNDUP(INDEX(RESOURCES!$Y:$Y,MATCH(BIDWARS!$B69,RESOURCES!$C:$C,0)),2),"-")</f>
        <v>1</v>
      </c>
      <c r="J69" s="16" t="str">
        <f>IFERROR(ROUNDUP(INDEX(RESOURCES!$AA:$AA,MATCH(BIDWARS!$B69,RESOURCES!$C:$C,0)),2),"-")</f>
        <v>-</v>
      </c>
      <c r="K69" s="16" t="str">
        <f>IFERROR(VLOOKUP($C69,'CE RAW'!$D:$H,4,FALSE),"-")</f>
        <v>-</v>
      </c>
      <c r="L69" s="16" t="str">
        <f>IFERROR(VLOOKUP($C69,'CE RAW'!$D:$H,5,FALSE),"-")</f>
        <v>-</v>
      </c>
      <c r="M69" s="2">
        <f>COUNTIFS('BONUS RAW'!$D:$D,BIDWARS!$B69,'BONUS RAW'!$J:$J,"KUDOS")</f>
        <v>0</v>
      </c>
      <c r="N69" s="324">
        <f>IF(AND(SUMIFS('ATTENDANCE RAW'!$I:$I,'ATTENDANCE RAW'!$E:$E,BIDWARS!$B69)=0,SUMIFS('ATTENDANCE RAW'!$J:$J,'ATTENDANCE RAW'!$E:$E,BIDWARS!$B69)=0),1,0)</f>
        <v>0</v>
      </c>
      <c r="O69" s="241" t="str">
        <f>IF(ISERROR(VLOOKUP($B69,'ATTRITION RAW'!$E:$E,1,0)),"ACTIVE","INACTIVE")</f>
        <v>ACTIVE</v>
      </c>
      <c r="P69" s="432">
        <f t="shared" ref="P69:P132" si="12">IFERROR(IF($D69="Proofreader",ROUNDUP(($G69*$O$1),0),IF($D69="DBA",ROUNDUP(($G69*$N$1*5.21),0),IF($D69="Voice QA",ROUNDUP(($G69*$M$1),0),$G69))),"-")</f>
        <v>95</v>
      </c>
      <c r="Q69" s="432">
        <f t="shared" ref="Q69:Q132" si="13">IFERROR(IF($H69=100%,$H69*4,IF($H69&gt;=90%,$H69*3,$H69*2))*100,"-")</f>
        <v>160</v>
      </c>
      <c r="R69" s="432">
        <f t="shared" ref="R69:R132" si="14">IFERROR((I69*100)*R$1,"-")</f>
        <v>200</v>
      </c>
      <c r="S69" s="432" t="str">
        <f t="shared" ref="S69:S132" si="15">IFERROR((J69*100)*S$1,"-")</f>
        <v>-</v>
      </c>
      <c r="T69" s="432" t="str">
        <f t="shared" ref="T69:T132" si="16">IFERROR(IF($L69&gt;=90%,ROUNDUP($K69,2)*2,IF($L69&gt;=80%,ROUNDUP($K69,2)*1.5,ROUNDUP($K69,2)*1))*100,"-")</f>
        <v>-</v>
      </c>
      <c r="U69" s="432">
        <f t="shared" si="10"/>
        <v>0</v>
      </c>
      <c r="V69" s="432">
        <f t="shared" si="11"/>
        <v>0</v>
      </c>
      <c r="W69" s="433">
        <f t="shared" ref="W69:W132" si="17">SUM(P69:V69)</f>
        <v>455</v>
      </c>
    </row>
    <row r="70" spans="1:23">
      <c r="A70" s="2">
        <f>RESOURCES!B67</f>
        <v>64</v>
      </c>
      <c r="B70" s="431">
        <f>RESOURCES!C67</f>
        <v>10071677</v>
      </c>
      <c r="C70" s="431" t="str">
        <f>RESOURCES!D67</f>
        <v>PASCUAL, CYRUS IAN A.</v>
      </c>
      <c r="D70" s="2" t="str">
        <f>RESOURCES!E67</f>
        <v>Web Designer</v>
      </c>
      <c r="E70" s="2" t="str">
        <f>RESOURCES!F67</f>
        <v>JAYAWON, Franklin</v>
      </c>
      <c r="F70" s="2" t="str">
        <f>RESOURCES!G67</f>
        <v>MENDOZA, Carlo</v>
      </c>
      <c r="G70" s="2">
        <f>ROUNDUP(SUMIFS('PRODUCTIVITY RAW'!$L:$L,'PRODUCTIVITY RAW'!$B:$B,BIDWARS!$B70),0)</f>
        <v>100</v>
      </c>
      <c r="H70" s="16">
        <f>IFERROR(IF($D70="Proofreader",INDEX('CHURN RAW'!$H:$H,MATCH("SITE LEVEL",'CHURN RAW'!$C:$C,0)),IF($D70="Internal Mods (PSI)","-",INDEX(RESOURCES!$X:$X,MATCH(BIDWARS!$B70,RESOURCES!$C:$C,0)))),"-")</f>
        <v>0.9</v>
      </c>
      <c r="I70" s="16">
        <f>IFERROR(ROUNDUP(INDEX(RESOURCES!$Y:$Y,MATCH(BIDWARS!$B70,RESOURCES!$C:$C,0)),2),"-")</f>
        <v>1</v>
      </c>
      <c r="J70" s="16" t="str">
        <f>IFERROR(ROUNDUP(INDEX(RESOURCES!$AA:$AA,MATCH(BIDWARS!$B70,RESOURCES!$C:$C,0)),2),"-")</f>
        <v>-</v>
      </c>
      <c r="K70" s="16" t="str">
        <f>IFERROR(VLOOKUP($C70,'CE RAW'!$D:$H,4,FALSE),"-")</f>
        <v>-</v>
      </c>
      <c r="L70" s="16" t="str">
        <f>IFERROR(VLOOKUP($C70,'CE RAW'!$D:$H,5,FALSE),"-")</f>
        <v>-</v>
      </c>
      <c r="M70" s="2">
        <f>COUNTIFS('BONUS RAW'!$D:$D,BIDWARS!$B70,'BONUS RAW'!$J:$J,"KUDOS")</f>
        <v>0</v>
      </c>
      <c r="N70" s="324">
        <f>IF(AND(SUMIFS('ATTENDANCE RAW'!$I:$I,'ATTENDANCE RAW'!$E:$E,BIDWARS!$B70)=0,SUMIFS('ATTENDANCE RAW'!$J:$J,'ATTENDANCE RAW'!$E:$E,BIDWARS!$B70)=0),1,0)</f>
        <v>0</v>
      </c>
      <c r="O70" s="241" t="str">
        <f>IF(ISERROR(VLOOKUP($B70,'ATTRITION RAW'!$E:$E,1,0)),"ACTIVE","INACTIVE")</f>
        <v>ACTIVE</v>
      </c>
      <c r="P70" s="432">
        <f t="shared" si="12"/>
        <v>100</v>
      </c>
      <c r="Q70" s="432">
        <f t="shared" si="13"/>
        <v>270</v>
      </c>
      <c r="R70" s="432">
        <f t="shared" si="14"/>
        <v>200</v>
      </c>
      <c r="S70" s="432" t="str">
        <f t="shared" si="15"/>
        <v>-</v>
      </c>
      <c r="T70" s="432" t="str">
        <f t="shared" si="16"/>
        <v>-</v>
      </c>
      <c r="U70" s="432">
        <f t="shared" si="10"/>
        <v>0</v>
      </c>
      <c r="V70" s="432">
        <f t="shared" si="11"/>
        <v>0</v>
      </c>
      <c r="W70" s="433">
        <f t="shared" si="17"/>
        <v>570</v>
      </c>
    </row>
    <row r="71" spans="1:23">
      <c r="A71" s="2">
        <f>RESOURCES!B68</f>
        <v>65</v>
      </c>
      <c r="B71" s="431">
        <f>RESOURCES!C68</f>
        <v>10071253</v>
      </c>
      <c r="C71" s="431" t="str">
        <f>RESOURCES!D68</f>
        <v>PRADO, ALVIN C.</v>
      </c>
      <c r="D71" s="2" t="str">
        <f>RESOURCES!E68</f>
        <v>Senior Web Designer</v>
      </c>
      <c r="E71" s="2" t="str">
        <f>RESOURCES!F68</f>
        <v>JAYAWON, Franklin</v>
      </c>
      <c r="F71" s="2" t="str">
        <f>RESOURCES!G68</f>
        <v>MENDOZA, Carlo</v>
      </c>
      <c r="G71" s="2">
        <f>ROUNDUP(SUMIFS('PRODUCTIVITY RAW'!$L:$L,'PRODUCTIVITY RAW'!$B:$B,BIDWARS!$B71),0)</f>
        <v>127</v>
      </c>
      <c r="H71" s="16">
        <f>IFERROR(IF($D71="Proofreader",INDEX('CHURN RAW'!$H:$H,MATCH("SITE LEVEL",'CHURN RAW'!$C:$C,0)),IF($D71="Internal Mods (PSI)","-",INDEX(RESOURCES!$X:$X,MATCH(BIDWARS!$B71,RESOURCES!$C:$C,0)))),"-")</f>
        <v>1</v>
      </c>
      <c r="I71" s="16">
        <f>IFERROR(ROUNDUP(INDEX(RESOURCES!$Y:$Y,MATCH(BIDWARS!$B71,RESOURCES!$C:$C,0)),2),"-")</f>
        <v>1</v>
      </c>
      <c r="J71" s="16" t="str">
        <f>IFERROR(ROUNDUP(INDEX(RESOURCES!$AA:$AA,MATCH(BIDWARS!$B71,RESOURCES!$C:$C,0)),2),"-")</f>
        <v>-</v>
      </c>
      <c r="K71" s="16" t="str">
        <f>IFERROR(VLOOKUP($C71,'CE RAW'!$D:$H,4,FALSE),"-")</f>
        <v>-</v>
      </c>
      <c r="L71" s="16" t="str">
        <f>IFERROR(VLOOKUP($C71,'CE RAW'!$D:$H,5,FALSE),"-")</f>
        <v>-</v>
      </c>
      <c r="M71" s="2">
        <f>COUNTIFS('BONUS RAW'!$D:$D,BIDWARS!$B71,'BONUS RAW'!$J:$J,"KUDOS")</f>
        <v>0</v>
      </c>
      <c r="N71" s="324">
        <f>IF(AND(SUMIFS('ATTENDANCE RAW'!$I:$I,'ATTENDANCE RAW'!$E:$E,BIDWARS!$B71)=0,SUMIFS('ATTENDANCE RAW'!$J:$J,'ATTENDANCE RAW'!$E:$E,BIDWARS!$B71)=0),1,0)</f>
        <v>0</v>
      </c>
      <c r="O71" s="241" t="str">
        <f>IF(ISERROR(VLOOKUP($B71,'ATTRITION RAW'!$E:$E,1,0)),"ACTIVE","INACTIVE")</f>
        <v>ACTIVE</v>
      </c>
      <c r="P71" s="432">
        <f t="shared" si="12"/>
        <v>127</v>
      </c>
      <c r="Q71" s="432">
        <f t="shared" si="13"/>
        <v>400</v>
      </c>
      <c r="R71" s="432">
        <f t="shared" si="14"/>
        <v>200</v>
      </c>
      <c r="S71" s="432" t="str">
        <f t="shared" si="15"/>
        <v>-</v>
      </c>
      <c r="T71" s="432" t="str">
        <f t="shared" si="16"/>
        <v>-</v>
      </c>
      <c r="U71" s="432">
        <f t="shared" si="10"/>
        <v>0</v>
      </c>
      <c r="V71" s="432">
        <f t="shared" si="11"/>
        <v>0</v>
      </c>
      <c r="W71" s="433">
        <f t="shared" si="17"/>
        <v>727</v>
      </c>
    </row>
    <row r="72" spans="1:23">
      <c r="A72" s="2">
        <f>RESOURCES!B69</f>
        <v>66</v>
      </c>
      <c r="B72" s="431">
        <f>RESOURCES!C69</f>
        <v>10072450</v>
      </c>
      <c r="C72" s="431" t="str">
        <f>RESOURCES!D69</f>
        <v>SANTIAGO, ALMAR ABRAHAM G.</v>
      </c>
      <c r="D72" s="2" t="str">
        <f>RESOURCES!E69</f>
        <v>Web Designer</v>
      </c>
      <c r="E72" s="2" t="str">
        <f>RESOURCES!F69</f>
        <v>JAYAWON, Franklin</v>
      </c>
      <c r="F72" s="2" t="str">
        <f>RESOURCES!G69</f>
        <v>MENDOZA, Carlo</v>
      </c>
      <c r="G72" s="2">
        <f>ROUNDUP(SUMIFS('PRODUCTIVITY RAW'!$L:$L,'PRODUCTIVITY RAW'!$B:$B,BIDWARS!$B72),0)</f>
        <v>131</v>
      </c>
      <c r="H72" s="16">
        <f>IFERROR(IF($D72="Proofreader",INDEX('CHURN RAW'!$H:$H,MATCH("SITE LEVEL",'CHURN RAW'!$C:$C,0)),IF($D72="Internal Mods (PSI)","-",INDEX(RESOURCES!$X:$X,MATCH(BIDWARS!$B72,RESOURCES!$C:$C,0)))),"-")</f>
        <v>0.8</v>
      </c>
      <c r="I72" s="16">
        <f>IFERROR(ROUNDUP(INDEX(RESOURCES!$Y:$Y,MATCH(BIDWARS!$B72,RESOURCES!$C:$C,0)),2),"-")</f>
        <v>1</v>
      </c>
      <c r="J72" s="16" t="str">
        <f>IFERROR(ROUNDUP(INDEX(RESOURCES!$AA:$AA,MATCH(BIDWARS!$B72,RESOURCES!$C:$C,0)),2),"-")</f>
        <v>-</v>
      </c>
      <c r="K72" s="16" t="str">
        <f>IFERROR(VLOOKUP($C72,'CE RAW'!$D:$H,4,FALSE),"-")</f>
        <v>-</v>
      </c>
      <c r="L72" s="16" t="str">
        <f>IFERROR(VLOOKUP($C72,'CE RAW'!$D:$H,5,FALSE),"-")</f>
        <v>-</v>
      </c>
      <c r="M72" s="2">
        <f>COUNTIFS('BONUS RAW'!$D:$D,BIDWARS!$B72,'BONUS RAW'!$J:$J,"KUDOS")</f>
        <v>0</v>
      </c>
      <c r="N72" s="324">
        <f>IF(AND(SUMIFS('ATTENDANCE RAW'!$I:$I,'ATTENDANCE RAW'!$E:$E,BIDWARS!$B72)=0,SUMIFS('ATTENDANCE RAW'!$J:$J,'ATTENDANCE RAW'!$E:$E,BIDWARS!$B72)=0),1,0)</f>
        <v>0</v>
      </c>
      <c r="O72" s="241" t="str">
        <f>IF(ISERROR(VLOOKUP($B72,'ATTRITION RAW'!$E:$E,1,0)),"ACTIVE","INACTIVE")</f>
        <v>ACTIVE</v>
      </c>
      <c r="P72" s="432">
        <f t="shared" si="12"/>
        <v>131</v>
      </c>
      <c r="Q72" s="432">
        <f t="shared" si="13"/>
        <v>160</v>
      </c>
      <c r="R72" s="432">
        <f t="shared" si="14"/>
        <v>200</v>
      </c>
      <c r="S72" s="432" t="str">
        <f t="shared" si="15"/>
        <v>-</v>
      </c>
      <c r="T72" s="432" t="str">
        <f t="shared" si="16"/>
        <v>-</v>
      </c>
      <c r="U72" s="432">
        <f t="shared" si="10"/>
        <v>0</v>
      </c>
      <c r="V72" s="432">
        <f t="shared" si="11"/>
        <v>0</v>
      </c>
      <c r="W72" s="433">
        <f t="shared" si="17"/>
        <v>491</v>
      </c>
    </row>
    <row r="73" spans="1:23">
      <c r="A73" s="2">
        <f>RESOURCES!B70</f>
        <v>67</v>
      </c>
      <c r="B73" s="431">
        <f>RESOURCES!C70</f>
        <v>10072440</v>
      </c>
      <c r="C73" s="431" t="str">
        <f>RESOURCES!D70</f>
        <v>TIGLEY, EMMANUEL</v>
      </c>
      <c r="D73" s="2" t="str">
        <f>RESOURCES!E70</f>
        <v>Logo Designer</v>
      </c>
      <c r="E73" s="2" t="str">
        <f>RESOURCES!F70</f>
        <v>JAYAWON, Franklin</v>
      </c>
      <c r="F73" s="2" t="str">
        <f>RESOURCES!G70</f>
        <v>MENDOZA, Carlo</v>
      </c>
      <c r="G73" s="2">
        <f>ROUNDUP(SUMIFS('PRODUCTIVITY RAW'!$L:$L,'PRODUCTIVITY RAW'!$B:$B,BIDWARS!$B73),0)</f>
        <v>97</v>
      </c>
      <c r="H73" s="16">
        <f>IFERROR(IF($D73="Proofreader",INDEX('CHURN RAW'!$H:$H,MATCH("SITE LEVEL",'CHURN RAW'!$C:$C,0)),IF($D73="Internal Mods (PSI)","-",INDEX(RESOURCES!$X:$X,MATCH(BIDWARS!$B73,RESOURCES!$C:$C,0)))),"-")</f>
        <v>0.9</v>
      </c>
      <c r="I73" s="16">
        <f>IFERROR(ROUNDUP(INDEX(RESOURCES!$Y:$Y,MATCH(BIDWARS!$B73,RESOURCES!$C:$C,0)),2),"-")</f>
        <v>1</v>
      </c>
      <c r="J73" s="16" t="str">
        <f>IFERROR(ROUNDUP(INDEX(RESOURCES!$AA:$AA,MATCH(BIDWARS!$B73,RESOURCES!$C:$C,0)),2),"-")</f>
        <v>-</v>
      </c>
      <c r="K73" s="16" t="str">
        <f>IFERROR(VLOOKUP($C73,'CE RAW'!$D:$H,4,FALSE),"-")</f>
        <v>-</v>
      </c>
      <c r="L73" s="16" t="str">
        <f>IFERROR(VLOOKUP($C73,'CE RAW'!$D:$H,5,FALSE),"-")</f>
        <v>-</v>
      </c>
      <c r="M73" s="2">
        <f>COUNTIFS('BONUS RAW'!$D:$D,BIDWARS!$B73,'BONUS RAW'!$J:$J,"KUDOS")</f>
        <v>0</v>
      </c>
      <c r="N73" s="324">
        <f>IF(AND(SUMIFS('ATTENDANCE RAW'!$I:$I,'ATTENDANCE RAW'!$E:$E,BIDWARS!$B73)=0,SUMIFS('ATTENDANCE RAW'!$J:$J,'ATTENDANCE RAW'!$E:$E,BIDWARS!$B73)=0),1,0)</f>
        <v>0</v>
      </c>
      <c r="O73" s="241" t="str">
        <f>IF(ISERROR(VLOOKUP($B73,'ATTRITION RAW'!$E:$E,1,0)),"ACTIVE","INACTIVE")</f>
        <v>ACTIVE</v>
      </c>
      <c r="P73" s="432">
        <f t="shared" si="12"/>
        <v>97</v>
      </c>
      <c r="Q73" s="432">
        <f t="shared" si="13"/>
        <v>270</v>
      </c>
      <c r="R73" s="432">
        <f t="shared" si="14"/>
        <v>200</v>
      </c>
      <c r="S73" s="432" t="str">
        <f t="shared" si="15"/>
        <v>-</v>
      </c>
      <c r="T73" s="432" t="str">
        <f t="shared" si="16"/>
        <v>-</v>
      </c>
      <c r="U73" s="432">
        <f t="shared" si="10"/>
        <v>0</v>
      </c>
      <c r="V73" s="432">
        <f t="shared" si="11"/>
        <v>0</v>
      </c>
      <c r="W73" s="433">
        <f t="shared" si="17"/>
        <v>567</v>
      </c>
    </row>
    <row r="74" spans="1:23">
      <c r="A74" s="2">
        <f>RESOURCES!B71</f>
        <v>68</v>
      </c>
      <c r="B74" s="431">
        <f>RESOURCES!C71</f>
        <v>10072255</v>
      </c>
      <c r="C74" s="431" t="str">
        <f>RESOURCES!D71</f>
        <v>REMULLA, RENZEL B.</v>
      </c>
      <c r="D74" s="2" t="str">
        <f>RESOURCES!E71</f>
        <v>Web Designer</v>
      </c>
      <c r="E74" s="2" t="str">
        <f>RESOURCES!F71</f>
        <v>JAYAWON, Franklin</v>
      </c>
      <c r="F74" s="2" t="str">
        <f>RESOURCES!G71</f>
        <v>MENDOZA, Carlo</v>
      </c>
      <c r="G74" s="2">
        <f>ROUNDUP(SUMIFS('PRODUCTIVITY RAW'!$L:$L,'PRODUCTIVITY RAW'!$B:$B,BIDWARS!$B74),0)</f>
        <v>120</v>
      </c>
      <c r="H74" s="16">
        <f>IFERROR(IF($D74="Proofreader",INDEX('CHURN RAW'!$H:$H,MATCH("SITE LEVEL",'CHURN RAW'!$C:$C,0)),IF($D74="Internal Mods (PSI)","-",INDEX(RESOURCES!$X:$X,MATCH(BIDWARS!$B74,RESOURCES!$C:$C,0)))),"-")</f>
        <v>0.7</v>
      </c>
      <c r="I74" s="16">
        <f>IFERROR(ROUNDUP(INDEX(RESOURCES!$Y:$Y,MATCH(BIDWARS!$B74,RESOURCES!$C:$C,0)),2),"-")</f>
        <v>1</v>
      </c>
      <c r="J74" s="16" t="str">
        <f>IFERROR(ROUNDUP(INDEX(RESOURCES!$AA:$AA,MATCH(BIDWARS!$B74,RESOURCES!$C:$C,0)),2),"-")</f>
        <v>-</v>
      </c>
      <c r="K74" s="16" t="str">
        <f>IFERROR(VLOOKUP($C74,'CE RAW'!$D:$H,4,FALSE),"-")</f>
        <v>-</v>
      </c>
      <c r="L74" s="16" t="str">
        <f>IFERROR(VLOOKUP($C74,'CE RAW'!$D:$H,5,FALSE),"-")</f>
        <v>-</v>
      </c>
      <c r="M74" s="2">
        <f>COUNTIFS('BONUS RAW'!$D:$D,BIDWARS!$B74,'BONUS RAW'!$J:$J,"KUDOS")</f>
        <v>0</v>
      </c>
      <c r="N74" s="324">
        <f>IF(AND(SUMIFS('ATTENDANCE RAW'!$I:$I,'ATTENDANCE RAW'!$E:$E,BIDWARS!$B74)=0,SUMIFS('ATTENDANCE RAW'!$J:$J,'ATTENDANCE RAW'!$E:$E,BIDWARS!$B74)=0),1,0)</f>
        <v>0</v>
      </c>
      <c r="O74" s="241" t="str">
        <f>IF(ISERROR(VLOOKUP($B74,'ATTRITION RAW'!$E:$E,1,0)),"ACTIVE","INACTIVE")</f>
        <v>ACTIVE</v>
      </c>
      <c r="P74" s="432">
        <f t="shared" si="12"/>
        <v>120</v>
      </c>
      <c r="Q74" s="432">
        <f t="shared" si="13"/>
        <v>140</v>
      </c>
      <c r="R74" s="432">
        <f t="shared" si="14"/>
        <v>200</v>
      </c>
      <c r="S74" s="432" t="str">
        <f t="shared" si="15"/>
        <v>-</v>
      </c>
      <c r="T74" s="432" t="str">
        <f t="shared" si="16"/>
        <v>-</v>
      </c>
      <c r="U74" s="432">
        <f t="shared" si="10"/>
        <v>0</v>
      </c>
      <c r="V74" s="432">
        <f t="shared" si="11"/>
        <v>0</v>
      </c>
      <c r="W74" s="433">
        <f t="shared" si="17"/>
        <v>460</v>
      </c>
    </row>
    <row r="75" spans="1:23">
      <c r="A75" s="2">
        <f>RESOURCES!B72</f>
        <v>69</v>
      </c>
      <c r="B75" s="431">
        <f>RESOURCES!C72</f>
        <v>10070729</v>
      </c>
      <c r="C75" s="431" t="str">
        <f>RESOURCES!D72</f>
        <v>SALUMBIDES, ROMNIEL L.</v>
      </c>
      <c r="D75" s="2" t="str">
        <f>RESOURCES!E72</f>
        <v>Senior Web Designer</v>
      </c>
      <c r="E75" s="2" t="str">
        <f>RESOURCES!F72</f>
        <v>JAYAWON, Franklin</v>
      </c>
      <c r="F75" s="2" t="str">
        <f>RESOURCES!G72</f>
        <v>MENDOZA, Carlo</v>
      </c>
      <c r="G75" s="2">
        <f>ROUNDUP(SUMIFS('PRODUCTIVITY RAW'!$L:$L,'PRODUCTIVITY RAW'!$B:$B,BIDWARS!$B75),0)</f>
        <v>85</v>
      </c>
      <c r="H75" s="16">
        <f>IFERROR(IF($D75="Proofreader",INDEX('CHURN RAW'!$H:$H,MATCH("SITE LEVEL",'CHURN RAW'!$C:$C,0)),IF($D75="Internal Mods (PSI)","-",INDEX(RESOURCES!$X:$X,MATCH(BIDWARS!$B75,RESOURCES!$C:$C,0)))),"-")</f>
        <v>0.9</v>
      </c>
      <c r="I75" s="16">
        <f>IFERROR(ROUNDUP(INDEX(RESOURCES!$Y:$Y,MATCH(BIDWARS!$B75,RESOURCES!$C:$C,0)),2),"-")</f>
        <v>1</v>
      </c>
      <c r="J75" s="16" t="str">
        <f>IFERROR(ROUNDUP(INDEX(RESOURCES!$AA:$AA,MATCH(BIDWARS!$B75,RESOURCES!$C:$C,0)),2),"-")</f>
        <v>-</v>
      </c>
      <c r="K75" s="16" t="str">
        <f>IFERROR(VLOOKUP($C75,'CE RAW'!$D:$H,4,FALSE),"-")</f>
        <v>-</v>
      </c>
      <c r="L75" s="16" t="str">
        <f>IFERROR(VLOOKUP($C75,'CE RAW'!$D:$H,5,FALSE),"-")</f>
        <v>-</v>
      </c>
      <c r="M75" s="2">
        <f>COUNTIFS('BONUS RAW'!$D:$D,BIDWARS!$B75,'BONUS RAW'!$J:$J,"KUDOS")</f>
        <v>0</v>
      </c>
      <c r="N75" s="324">
        <f>IF(AND(SUMIFS('ATTENDANCE RAW'!$I:$I,'ATTENDANCE RAW'!$E:$E,BIDWARS!$B75)=0,SUMIFS('ATTENDANCE RAW'!$J:$J,'ATTENDANCE RAW'!$E:$E,BIDWARS!$B75)=0),1,0)</f>
        <v>0</v>
      </c>
      <c r="O75" s="241" t="str">
        <f>IF(ISERROR(VLOOKUP($B75,'ATTRITION RAW'!$E:$E,1,0)),"ACTIVE","INACTIVE")</f>
        <v>ACTIVE</v>
      </c>
      <c r="P75" s="432">
        <f t="shared" si="12"/>
        <v>85</v>
      </c>
      <c r="Q75" s="432">
        <f t="shared" si="13"/>
        <v>270</v>
      </c>
      <c r="R75" s="432">
        <f t="shared" si="14"/>
        <v>200</v>
      </c>
      <c r="S75" s="432" t="str">
        <f t="shared" si="15"/>
        <v>-</v>
      </c>
      <c r="T75" s="432" t="str">
        <f t="shared" si="16"/>
        <v>-</v>
      </c>
      <c r="U75" s="432">
        <f t="shared" si="10"/>
        <v>0</v>
      </c>
      <c r="V75" s="432">
        <f t="shared" si="11"/>
        <v>0</v>
      </c>
      <c r="W75" s="433">
        <f t="shared" si="17"/>
        <v>555</v>
      </c>
    </row>
    <row r="76" spans="1:23">
      <c r="A76" s="2">
        <f>RESOURCES!B73</f>
        <v>70</v>
      </c>
      <c r="B76" s="431">
        <f>RESOURCES!C73</f>
        <v>10072177</v>
      </c>
      <c r="C76" s="431" t="str">
        <f>RESOURCES!D73</f>
        <v>DIAZ, ED JOSHUA B.</v>
      </c>
      <c r="D76" s="2" t="str">
        <f>RESOURCES!E73</f>
        <v>Web Designer</v>
      </c>
      <c r="E76" s="2" t="str">
        <f>RESOURCES!F73</f>
        <v>FLORES, Emmanuel</v>
      </c>
      <c r="F76" s="2" t="str">
        <f>RESOURCES!G73</f>
        <v>TAGUILASO, Daryl</v>
      </c>
      <c r="G76" s="2">
        <f>ROUNDUP(SUMIFS('PRODUCTIVITY RAW'!$L:$L,'PRODUCTIVITY RAW'!$B:$B,BIDWARS!$B76),0)</f>
        <v>162</v>
      </c>
      <c r="H76" s="16">
        <f>IFERROR(IF($D76="Proofreader",INDEX('CHURN RAW'!$H:$H,MATCH("SITE LEVEL",'CHURN RAW'!$C:$C,0)),IF($D76="Internal Mods (PSI)","-",INDEX(RESOURCES!$X:$X,MATCH(BIDWARS!$B76,RESOURCES!$C:$C,0)))),"-")</f>
        <v>0.8</v>
      </c>
      <c r="I76" s="16">
        <f>IFERROR(ROUNDUP(INDEX(RESOURCES!$Y:$Y,MATCH(BIDWARS!$B76,RESOURCES!$C:$C,0)),2),"-")</f>
        <v>1</v>
      </c>
      <c r="J76" s="16" t="str">
        <f>IFERROR(ROUNDUP(INDEX(RESOURCES!$AA:$AA,MATCH(BIDWARS!$B76,RESOURCES!$C:$C,0)),2),"-")</f>
        <v>-</v>
      </c>
      <c r="K76" s="16" t="str">
        <f>IFERROR(VLOOKUP($C76,'CE RAW'!$D:$H,4,FALSE),"-")</f>
        <v>-</v>
      </c>
      <c r="L76" s="16" t="str">
        <f>IFERROR(VLOOKUP($C76,'CE RAW'!$D:$H,5,FALSE),"-")</f>
        <v>-</v>
      </c>
      <c r="M76" s="2">
        <f>COUNTIFS('BONUS RAW'!$D:$D,BIDWARS!$B76,'BONUS RAW'!$J:$J,"KUDOS")</f>
        <v>0</v>
      </c>
      <c r="N76" s="324">
        <f>IF(AND(SUMIFS('ATTENDANCE RAW'!$I:$I,'ATTENDANCE RAW'!$E:$E,BIDWARS!$B76)=0,SUMIFS('ATTENDANCE RAW'!$J:$J,'ATTENDANCE RAW'!$E:$E,BIDWARS!$B76)=0),1,0)</f>
        <v>1</v>
      </c>
      <c r="O76" s="241" t="str">
        <f>IF(ISERROR(VLOOKUP($B76,'ATTRITION RAW'!$E:$E,1,0)),"ACTIVE","INACTIVE")</f>
        <v>ACTIVE</v>
      </c>
      <c r="P76" s="432">
        <f t="shared" si="12"/>
        <v>162</v>
      </c>
      <c r="Q76" s="432">
        <f t="shared" si="13"/>
        <v>160</v>
      </c>
      <c r="R76" s="432">
        <f t="shared" si="14"/>
        <v>200</v>
      </c>
      <c r="S76" s="432" t="str">
        <f t="shared" si="15"/>
        <v>-</v>
      </c>
      <c r="T76" s="432" t="str">
        <f t="shared" si="16"/>
        <v>-</v>
      </c>
      <c r="U76" s="432">
        <f t="shared" si="10"/>
        <v>0</v>
      </c>
      <c r="V76" s="432">
        <f t="shared" si="11"/>
        <v>50</v>
      </c>
      <c r="W76" s="433">
        <f t="shared" si="17"/>
        <v>572</v>
      </c>
    </row>
    <row r="77" spans="1:23">
      <c r="A77" s="2">
        <f>RESOURCES!B74</f>
        <v>71</v>
      </c>
      <c r="B77" s="431">
        <f>RESOURCES!C74</f>
        <v>10071358</v>
      </c>
      <c r="C77" s="431" t="str">
        <f>RESOURCES!D74</f>
        <v>BATAYON, ELOISA V.</v>
      </c>
      <c r="D77" s="2" t="str">
        <f>RESOURCES!E74</f>
        <v>Web Designer</v>
      </c>
      <c r="E77" s="2" t="str">
        <f>RESOURCES!F74</f>
        <v>FLORES, Emmanuel</v>
      </c>
      <c r="F77" s="2" t="str">
        <f>RESOURCES!G74</f>
        <v>TAGUILASO, Daryl</v>
      </c>
      <c r="G77" s="2">
        <f>ROUNDUP(SUMIFS('PRODUCTIVITY RAW'!$L:$L,'PRODUCTIVITY RAW'!$B:$B,BIDWARS!$B77),0)</f>
        <v>90</v>
      </c>
      <c r="H77" s="16">
        <f>IFERROR(IF($D77="Proofreader",INDEX('CHURN RAW'!$H:$H,MATCH("SITE LEVEL",'CHURN RAW'!$C:$C,0)),IF($D77="Internal Mods (PSI)","-",INDEX(RESOURCES!$X:$X,MATCH(BIDWARS!$B77,RESOURCES!$C:$C,0)))),"-")</f>
        <v>0.9</v>
      </c>
      <c r="I77" s="16">
        <f>IFERROR(ROUNDUP(INDEX(RESOURCES!$Y:$Y,MATCH(BIDWARS!$B77,RESOURCES!$C:$C,0)),2),"-")</f>
        <v>1</v>
      </c>
      <c r="J77" s="16" t="str">
        <f>IFERROR(ROUNDUP(INDEX(RESOURCES!$AA:$AA,MATCH(BIDWARS!$B77,RESOURCES!$C:$C,0)),2),"-")</f>
        <v>-</v>
      </c>
      <c r="K77" s="16" t="str">
        <f>IFERROR(VLOOKUP($C77,'CE RAW'!$D:$H,4,FALSE),"-")</f>
        <v>-</v>
      </c>
      <c r="L77" s="16" t="str">
        <f>IFERROR(VLOOKUP($C77,'CE RAW'!$D:$H,5,FALSE),"-")</f>
        <v>-</v>
      </c>
      <c r="M77" s="2">
        <f>COUNTIFS('BONUS RAW'!$D:$D,BIDWARS!$B77,'BONUS RAW'!$J:$J,"KUDOS")</f>
        <v>0</v>
      </c>
      <c r="N77" s="324">
        <f>IF(AND(SUMIFS('ATTENDANCE RAW'!$I:$I,'ATTENDANCE RAW'!$E:$E,BIDWARS!$B77)=0,SUMIFS('ATTENDANCE RAW'!$J:$J,'ATTENDANCE RAW'!$E:$E,BIDWARS!$B77)=0),1,0)</f>
        <v>1</v>
      </c>
      <c r="O77" s="241" t="str">
        <f>IF(ISERROR(VLOOKUP($B77,'ATTRITION RAW'!$E:$E,1,0)),"ACTIVE","INACTIVE")</f>
        <v>ACTIVE</v>
      </c>
      <c r="P77" s="432">
        <f t="shared" si="12"/>
        <v>90</v>
      </c>
      <c r="Q77" s="432">
        <f t="shared" si="13"/>
        <v>270</v>
      </c>
      <c r="R77" s="432">
        <f t="shared" si="14"/>
        <v>200</v>
      </c>
      <c r="S77" s="432" t="str">
        <f t="shared" si="15"/>
        <v>-</v>
      </c>
      <c r="T77" s="432" t="str">
        <f t="shared" si="16"/>
        <v>-</v>
      </c>
      <c r="U77" s="432">
        <f t="shared" si="10"/>
        <v>0</v>
      </c>
      <c r="V77" s="432">
        <f t="shared" si="11"/>
        <v>50</v>
      </c>
      <c r="W77" s="433">
        <f t="shared" si="17"/>
        <v>610</v>
      </c>
    </row>
    <row r="78" spans="1:23">
      <c r="A78" s="2">
        <f>RESOURCES!B75</f>
        <v>72</v>
      </c>
      <c r="B78" s="431">
        <f>RESOURCES!C75</f>
        <v>10071910</v>
      </c>
      <c r="C78" s="431" t="str">
        <f>RESOURCES!D75</f>
        <v>BELTRAN, SHAIRA S.</v>
      </c>
      <c r="D78" s="2" t="str">
        <f>RESOURCES!E75</f>
        <v>Web Designer</v>
      </c>
      <c r="E78" s="2" t="str">
        <f>RESOURCES!F75</f>
        <v>FLORES, Emmanuel</v>
      </c>
      <c r="F78" s="2" t="str">
        <f>RESOURCES!G75</f>
        <v>TAGUILASO, Daryl</v>
      </c>
      <c r="G78" s="2">
        <f>ROUNDUP(SUMIFS('PRODUCTIVITY RAW'!$L:$L,'PRODUCTIVITY RAW'!$B:$B,BIDWARS!$B78),0)</f>
        <v>124</v>
      </c>
      <c r="H78" s="16">
        <f>IFERROR(IF($D78="Proofreader",INDEX('CHURN RAW'!$H:$H,MATCH("SITE LEVEL",'CHURN RAW'!$C:$C,0)),IF($D78="Internal Mods (PSI)","-",INDEX(RESOURCES!$X:$X,MATCH(BIDWARS!$B78,RESOURCES!$C:$C,0)))),"-")</f>
        <v>0.9</v>
      </c>
      <c r="I78" s="16">
        <f>IFERROR(ROUNDUP(INDEX(RESOURCES!$Y:$Y,MATCH(BIDWARS!$B78,RESOURCES!$C:$C,0)),2),"-")</f>
        <v>1</v>
      </c>
      <c r="J78" s="16" t="str">
        <f>IFERROR(ROUNDUP(INDEX(RESOURCES!$AA:$AA,MATCH(BIDWARS!$B78,RESOURCES!$C:$C,0)),2),"-")</f>
        <v>-</v>
      </c>
      <c r="K78" s="16" t="str">
        <f>IFERROR(VLOOKUP($C78,'CE RAW'!$D:$H,4,FALSE),"-")</f>
        <v>-</v>
      </c>
      <c r="L78" s="16" t="str">
        <f>IFERROR(VLOOKUP($C78,'CE RAW'!$D:$H,5,FALSE),"-")</f>
        <v>-</v>
      </c>
      <c r="M78" s="2">
        <f>COUNTIFS('BONUS RAW'!$D:$D,BIDWARS!$B78,'BONUS RAW'!$J:$J,"KUDOS")</f>
        <v>0</v>
      </c>
      <c r="N78" s="324">
        <f>IF(AND(SUMIFS('ATTENDANCE RAW'!$I:$I,'ATTENDANCE RAW'!$E:$E,BIDWARS!$B78)=0,SUMIFS('ATTENDANCE RAW'!$J:$J,'ATTENDANCE RAW'!$E:$E,BIDWARS!$B78)=0),1,0)</f>
        <v>1</v>
      </c>
      <c r="O78" s="241" t="str">
        <f>IF(ISERROR(VLOOKUP($B78,'ATTRITION RAW'!$E:$E,1,0)),"ACTIVE","INACTIVE")</f>
        <v>ACTIVE</v>
      </c>
      <c r="P78" s="432">
        <f t="shared" si="12"/>
        <v>124</v>
      </c>
      <c r="Q78" s="432">
        <f t="shared" si="13"/>
        <v>270</v>
      </c>
      <c r="R78" s="432">
        <f t="shared" si="14"/>
        <v>200</v>
      </c>
      <c r="S78" s="432" t="str">
        <f t="shared" si="15"/>
        <v>-</v>
      </c>
      <c r="T78" s="432" t="str">
        <f t="shared" si="16"/>
        <v>-</v>
      </c>
      <c r="U78" s="432">
        <f t="shared" si="10"/>
        <v>0</v>
      </c>
      <c r="V78" s="432">
        <f t="shared" si="11"/>
        <v>50</v>
      </c>
      <c r="W78" s="433">
        <f t="shared" si="17"/>
        <v>644</v>
      </c>
    </row>
    <row r="79" spans="1:23">
      <c r="A79" s="2">
        <f>RESOURCES!B76</f>
        <v>73</v>
      </c>
      <c r="B79" s="431">
        <f>RESOURCES!C76</f>
        <v>10071433</v>
      </c>
      <c r="C79" s="431" t="str">
        <f>RESOURCES!D76</f>
        <v>CARAIG, ROLANDO N., JR.</v>
      </c>
      <c r="D79" s="2" t="str">
        <f>RESOURCES!E76</f>
        <v>Web Designer</v>
      </c>
      <c r="E79" s="2" t="str">
        <f>RESOURCES!F76</f>
        <v>FLORES, Emmanuel</v>
      </c>
      <c r="F79" s="2" t="str">
        <f>RESOURCES!G76</f>
        <v>TAGUILASO, Daryl</v>
      </c>
      <c r="G79" s="2">
        <f>ROUNDUP(SUMIFS('PRODUCTIVITY RAW'!$L:$L,'PRODUCTIVITY RAW'!$B:$B,BIDWARS!$B79),0)</f>
        <v>104</v>
      </c>
      <c r="H79" s="517">
        <v>0.9</v>
      </c>
      <c r="I79" s="517">
        <v>0.99829999999999997</v>
      </c>
      <c r="J79" s="16" t="str">
        <f>IFERROR(ROUNDUP(INDEX(RESOURCES!$AA:$AA,MATCH(BIDWARS!$B79,RESOURCES!$C:$C,0)),2),"-")</f>
        <v>-</v>
      </c>
      <c r="K79" s="16" t="str">
        <f>IFERROR(VLOOKUP($C79,'CE RAW'!$D:$H,4,FALSE),"-")</f>
        <v>-</v>
      </c>
      <c r="L79" s="16" t="str">
        <f>IFERROR(VLOOKUP($C79,'CE RAW'!$D:$H,5,FALSE),"-")</f>
        <v>-</v>
      </c>
      <c r="M79" s="2">
        <f>COUNTIFS('BONUS RAW'!$D:$D,BIDWARS!$B79,'BONUS RAW'!$J:$J,"KUDOS")</f>
        <v>0</v>
      </c>
      <c r="N79" s="324">
        <f>IF(AND(SUMIFS('ATTENDANCE RAW'!$I:$I,'ATTENDANCE RAW'!$E:$E,BIDWARS!$B79)=0,SUMIFS('ATTENDANCE RAW'!$J:$J,'ATTENDANCE RAW'!$E:$E,BIDWARS!$B79)=0),1,0)</f>
        <v>0</v>
      </c>
      <c r="O79" s="241" t="str">
        <f>IF(ISERROR(VLOOKUP($B79,'ATTRITION RAW'!$E:$E,1,0)),"ACTIVE","INACTIVE")</f>
        <v>ACTIVE</v>
      </c>
      <c r="P79" s="432">
        <f t="shared" si="12"/>
        <v>104</v>
      </c>
      <c r="Q79" s="432">
        <f t="shared" si="13"/>
        <v>270</v>
      </c>
      <c r="R79" s="432">
        <f t="shared" si="14"/>
        <v>199.66</v>
      </c>
      <c r="S79" s="432" t="str">
        <f t="shared" si="15"/>
        <v>-</v>
      </c>
      <c r="T79" s="432" t="str">
        <f t="shared" si="16"/>
        <v>-</v>
      </c>
      <c r="U79" s="432">
        <f t="shared" si="10"/>
        <v>0</v>
      </c>
      <c r="V79" s="432">
        <f t="shared" si="11"/>
        <v>0</v>
      </c>
      <c r="W79" s="433">
        <f t="shared" si="17"/>
        <v>573.66</v>
      </c>
    </row>
    <row r="80" spans="1:23">
      <c r="A80" s="2" t="e">
        <f>RESOURCES!#REF!</f>
        <v>#REF!</v>
      </c>
      <c r="B80" s="431" t="e">
        <f>RESOURCES!#REF!</f>
        <v>#REF!</v>
      </c>
      <c r="C80" s="431" t="e">
        <f>RESOURCES!#REF!</f>
        <v>#REF!</v>
      </c>
      <c r="D80" s="2" t="e">
        <f>RESOURCES!#REF!</f>
        <v>#REF!</v>
      </c>
      <c r="E80" s="2" t="e">
        <f>RESOURCES!#REF!</f>
        <v>#REF!</v>
      </c>
      <c r="F80" s="2" t="e">
        <f>RESOURCES!#REF!</f>
        <v>#REF!</v>
      </c>
      <c r="G80" s="2">
        <f>ROUNDUP(SUMIFS('PRODUCTIVITY RAW'!$L:$L,'PRODUCTIVITY RAW'!$B:$B,BIDWARS!$B80),0)</f>
        <v>0</v>
      </c>
      <c r="H80" s="16" t="str">
        <f>IFERROR(IF($D80="Proofreader",INDEX('CHURN RAW'!$H:$H,MATCH("SITE LEVEL",'CHURN RAW'!$C:$C,0)),IF($D80="Internal Mods (PSI)","-",INDEX(RESOURCES!$X:$X,MATCH(BIDWARS!$B80,RESOURCES!$C:$C,0)))),"-")</f>
        <v>-</v>
      </c>
      <c r="I80" s="16" t="str">
        <f>IFERROR(ROUNDUP(INDEX(RESOURCES!$Y:$Y,MATCH(BIDWARS!$B80,RESOURCES!$C:$C,0)),2),"-")</f>
        <v>-</v>
      </c>
      <c r="J80" s="16" t="str">
        <f>IFERROR(ROUNDUP(INDEX(RESOURCES!$AA:$AA,MATCH(BIDWARS!$B80,RESOURCES!$C:$C,0)),2),"-")</f>
        <v>-</v>
      </c>
      <c r="K80" s="16" t="str">
        <f>IFERROR(VLOOKUP($C80,'CE RAW'!$D:$H,4,FALSE),"-")</f>
        <v>-</v>
      </c>
      <c r="L80" s="16" t="str">
        <f>IFERROR(VLOOKUP($C80,'CE RAW'!$D:$H,5,FALSE),"-")</f>
        <v>-</v>
      </c>
      <c r="M80" s="2">
        <f>COUNTIFS('BONUS RAW'!$D:$D,BIDWARS!$B80,'BONUS RAW'!$J:$J,"KUDOS")</f>
        <v>0</v>
      </c>
      <c r="N80" s="324">
        <f>IF(AND(SUMIFS('ATTENDANCE RAW'!$I:$I,'ATTENDANCE RAW'!$E:$E,BIDWARS!$B80)=0,SUMIFS('ATTENDANCE RAW'!$J:$J,'ATTENDANCE RAW'!$E:$E,BIDWARS!$B80)=0),1,0)</f>
        <v>1</v>
      </c>
      <c r="O80" s="241" t="str">
        <f>IF(ISERROR(VLOOKUP($B80,'ATTRITION RAW'!$E:$E,1,0)),"ACTIVE","INACTIVE")</f>
        <v>ACTIVE</v>
      </c>
      <c r="P80" s="432" t="str">
        <f t="shared" si="12"/>
        <v>-</v>
      </c>
      <c r="Q80" s="432" t="str">
        <f t="shared" si="13"/>
        <v>-</v>
      </c>
      <c r="R80" s="432" t="str">
        <f t="shared" si="14"/>
        <v>-</v>
      </c>
      <c r="S80" s="432" t="str">
        <f t="shared" si="15"/>
        <v>-</v>
      </c>
      <c r="T80" s="432" t="str">
        <f t="shared" si="16"/>
        <v>-</v>
      </c>
      <c r="U80" s="432">
        <f t="shared" si="10"/>
        <v>0</v>
      </c>
      <c r="V80" s="432">
        <f t="shared" si="11"/>
        <v>50</v>
      </c>
      <c r="W80" s="433">
        <f t="shared" si="17"/>
        <v>50</v>
      </c>
    </row>
    <row r="81" spans="1:23">
      <c r="A81" s="2">
        <f>RESOURCES!B77</f>
        <v>74</v>
      </c>
      <c r="B81" s="431">
        <f>RESOURCES!C77</f>
        <v>10072437</v>
      </c>
      <c r="C81" s="431" t="str">
        <f>RESOURCES!D77</f>
        <v>CRUZ, ROWEL G.</v>
      </c>
      <c r="D81" s="2" t="str">
        <f>RESOURCES!E77</f>
        <v>Web Designer</v>
      </c>
      <c r="E81" s="2" t="str">
        <f>RESOURCES!F77</f>
        <v>FLORES, Emmanuel</v>
      </c>
      <c r="F81" s="2" t="str">
        <f>RESOURCES!G77</f>
        <v>TAGUILASO, Daryl</v>
      </c>
      <c r="G81" s="2">
        <f>ROUNDUP(SUMIFS('PRODUCTIVITY RAW'!$L:$L,'PRODUCTIVITY RAW'!$B:$B,BIDWARS!$B81),0)</f>
        <v>169</v>
      </c>
      <c r="H81" s="16">
        <f>IFERROR(IF($D81="Proofreader",INDEX('CHURN RAW'!$H:$H,MATCH("SITE LEVEL",'CHURN RAW'!$C:$C,0)),IF($D81="Internal Mods (PSI)","-",INDEX(RESOURCES!$X:$X,MATCH(BIDWARS!$B81,RESOURCES!$C:$C,0)))),"-")</f>
        <v>0.8</v>
      </c>
      <c r="I81" s="16">
        <f>IFERROR(ROUNDUP(INDEX(RESOURCES!$Y:$Y,MATCH(BIDWARS!$B81,RESOURCES!$C:$C,0)),2),"-")</f>
        <v>1</v>
      </c>
      <c r="J81" s="16" t="str">
        <f>IFERROR(ROUNDUP(INDEX(RESOURCES!$AA:$AA,MATCH(BIDWARS!$B81,RESOURCES!$C:$C,0)),2),"-")</f>
        <v>-</v>
      </c>
      <c r="K81" s="16" t="str">
        <f>IFERROR(VLOOKUP($C81,'CE RAW'!$D:$H,4,FALSE),"-")</f>
        <v>-</v>
      </c>
      <c r="L81" s="16" t="str">
        <f>IFERROR(VLOOKUP($C81,'CE RAW'!$D:$H,5,FALSE),"-")</f>
        <v>-</v>
      </c>
      <c r="M81" s="2">
        <f>COUNTIFS('BONUS RAW'!$D:$D,BIDWARS!$B81,'BONUS RAW'!$J:$J,"KUDOS")</f>
        <v>0</v>
      </c>
      <c r="N81" s="324">
        <f>IF(AND(SUMIFS('ATTENDANCE RAW'!$I:$I,'ATTENDANCE RAW'!$E:$E,BIDWARS!$B81)=0,SUMIFS('ATTENDANCE RAW'!$J:$J,'ATTENDANCE RAW'!$E:$E,BIDWARS!$B81)=0),1,0)</f>
        <v>1</v>
      </c>
      <c r="O81" s="241" t="str">
        <f>IF(ISERROR(VLOOKUP($B81,'ATTRITION RAW'!$E:$E,1,0)),"ACTIVE","INACTIVE")</f>
        <v>ACTIVE</v>
      </c>
      <c r="P81" s="432">
        <f t="shared" si="12"/>
        <v>169</v>
      </c>
      <c r="Q81" s="432">
        <f t="shared" si="13"/>
        <v>160</v>
      </c>
      <c r="R81" s="432">
        <f t="shared" si="14"/>
        <v>200</v>
      </c>
      <c r="S81" s="432" t="str">
        <f t="shared" si="15"/>
        <v>-</v>
      </c>
      <c r="T81" s="432" t="str">
        <f t="shared" si="16"/>
        <v>-</v>
      </c>
      <c r="U81" s="432">
        <f t="shared" si="10"/>
        <v>0</v>
      </c>
      <c r="V81" s="432">
        <f t="shared" si="11"/>
        <v>50</v>
      </c>
      <c r="W81" s="433">
        <f t="shared" si="17"/>
        <v>579</v>
      </c>
    </row>
    <row r="82" spans="1:23">
      <c r="A82" s="2">
        <f>RESOURCES!B78</f>
        <v>75</v>
      </c>
      <c r="B82" s="431">
        <f>RESOURCES!C78</f>
        <v>10072453</v>
      </c>
      <c r="C82" s="431" t="str">
        <f>RESOURCES!D78</f>
        <v>HONRADO, RHEA L.</v>
      </c>
      <c r="D82" s="2" t="str">
        <f>RESOURCES!E78</f>
        <v>Web Designer</v>
      </c>
      <c r="E82" s="2" t="str">
        <f>RESOURCES!F78</f>
        <v>FLORES, Emmanuel</v>
      </c>
      <c r="F82" s="2" t="str">
        <f>RESOURCES!G78</f>
        <v>TAGUILASO, Daryl</v>
      </c>
      <c r="G82" s="2">
        <f>ROUNDUP(SUMIFS('PRODUCTIVITY RAW'!$L:$L,'PRODUCTIVITY RAW'!$B:$B,BIDWARS!$B82),0)</f>
        <v>162</v>
      </c>
      <c r="H82" s="16">
        <f>IFERROR(IF($D82="Proofreader",INDEX('CHURN RAW'!$H:$H,MATCH("SITE LEVEL",'CHURN RAW'!$C:$C,0)),IF($D82="Internal Mods (PSI)","-",INDEX(RESOURCES!$X:$X,MATCH(BIDWARS!$B82,RESOURCES!$C:$C,0)))),"-")</f>
        <v>0.8</v>
      </c>
      <c r="I82" s="16">
        <f>IFERROR(ROUNDUP(INDEX(RESOURCES!$Y:$Y,MATCH(BIDWARS!$B82,RESOURCES!$C:$C,0)),2),"-")</f>
        <v>1</v>
      </c>
      <c r="J82" s="16" t="str">
        <f>IFERROR(ROUNDUP(INDEX(RESOURCES!$AA:$AA,MATCH(BIDWARS!$B82,RESOURCES!$C:$C,0)),2),"-")</f>
        <v>-</v>
      </c>
      <c r="K82" s="16" t="str">
        <f>IFERROR(VLOOKUP($C82,'CE RAW'!$D:$H,4,FALSE),"-")</f>
        <v>-</v>
      </c>
      <c r="L82" s="16" t="str">
        <f>IFERROR(VLOOKUP($C82,'CE RAW'!$D:$H,5,FALSE),"-")</f>
        <v>-</v>
      </c>
      <c r="M82" s="2">
        <f>COUNTIFS('BONUS RAW'!$D:$D,BIDWARS!$B82,'BONUS RAW'!$J:$J,"KUDOS")</f>
        <v>0</v>
      </c>
      <c r="N82" s="324">
        <f>IF(AND(SUMIFS('ATTENDANCE RAW'!$I:$I,'ATTENDANCE RAW'!$E:$E,BIDWARS!$B82)=0,SUMIFS('ATTENDANCE RAW'!$J:$J,'ATTENDANCE RAW'!$E:$E,BIDWARS!$B82)=0),1,0)</f>
        <v>1</v>
      </c>
      <c r="O82" s="241" t="str">
        <f>IF(ISERROR(VLOOKUP($B82,'ATTRITION RAW'!$E:$E,1,0)),"ACTIVE","INACTIVE")</f>
        <v>ACTIVE</v>
      </c>
      <c r="P82" s="432">
        <f t="shared" si="12"/>
        <v>162</v>
      </c>
      <c r="Q82" s="432">
        <f t="shared" si="13"/>
        <v>160</v>
      </c>
      <c r="R82" s="432">
        <f t="shared" si="14"/>
        <v>200</v>
      </c>
      <c r="S82" s="432" t="str">
        <f t="shared" si="15"/>
        <v>-</v>
      </c>
      <c r="T82" s="432" t="str">
        <f t="shared" si="16"/>
        <v>-</v>
      </c>
      <c r="U82" s="432">
        <f t="shared" si="10"/>
        <v>0</v>
      </c>
      <c r="V82" s="432">
        <f t="shared" si="11"/>
        <v>50</v>
      </c>
      <c r="W82" s="433">
        <f t="shared" si="17"/>
        <v>572</v>
      </c>
    </row>
    <row r="83" spans="1:23">
      <c r="A83" s="2">
        <f>RESOURCES!B79</f>
        <v>76</v>
      </c>
      <c r="B83" s="431">
        <f>RESOURCES!C79</f>
        <v>10071603</v>
      </c>
      <c r="C83" s="431" t="str">
        <f>RESOURCES!D79</f>
        <v>MERCADO, ROSEANN G.</v>
      </c>
      <c r="D83" s="2" t="str">
        <f>RESOURCES!E79</f>
        <v>DBA</v>
      </c>
      <c r="E83" s="2" t="str">
        <f>RESOURCES!F79</f>
        <v>FLORES, Emmanuel</v>
      </c>
      <c r="F83" s="2" t="str">
        <f>RESOURCES!G79</f>
        <v>TAGUILASO, Daryl</v>
      </c>
      <c r="G83" s="2">
        <f>ROUNDUP(SUMIFS('PRODUCTIVITY RAW'!$L:$L,'PRODUCTIVITY RAW'!$B:$B,BIDWARS!$B83),0)</f>
        <v>27</v>
      </c>
      <c r="H83" s="16" t="str">
        <f>IFERROR(IF($D83="Proofreader",INDEX('CHURN RAW'!$H:$H,MATCH("SITE LEVEL",'CHURN RAW'!$C:$C,0)),IF($D83="Internal Mods (PSI)","-",INDEX(RESOURCES!$X:$X,MATCH(BIDWARS!$B83,RESOURCES!$C:$C,0)))),"-")</f>
        <v>NO SCORE</v>
      </c>
      <c r="I83" s="16">
        <f>IFERROR(ROUNDUP(INDEX(RESOURCES!$Y:$Y,MATCH(BIDWARS!$B83,RESOURCES!$C:$C,0)),2),"-")</f>
        <v>1</v>
      </c>
      <c r="J83" s="16" t="str">
        <f>IFERROR(ROUNDUP(INDEX(RESOURCES!$AA:$AA,MATCH(BIDWARS!$B83,RESOURCES!$C:$C,0)),2),"-")</f>
        <v>-</v>
      </c>
      <c r="K83" s="16" t="str">
        <f>IFERROR(VLOOKUP($C83,'CE RAW'!$D:$H,4,FALSE),"-")</f>
        <v>-</v>
      </c>
      <c r="L83" s="16" t="str">
        <f>IFERROR(VLOOKUP($C83,'CE RAW'!$D:$H,5,FALSE),"-")</f>
        <v>-</v>
      </c>
      <c r="M83" s="2">
        <f>COUNTIFS('BONUS RAW'!$D:$D,BIDWARS!$B83,'BONUS RAW'!$J:$J,"KUDOS")</f>
        <v>0</v>
      </c>
      <c r="N83" s="324">
        <f>IF(AND(SUMIFS('ATTENDANCE RAW'!$I:$I,'ATTENDANCE RAW'!$E:$E,BIDWARS!$B83)=0,SUMIFS('ATTENDANCE RAW'!$J:$J,'ATTENDANCE RAW'!$E:$E,BIDWARS!$B83)=0),1,0)</f>
        <v>0</v>
      </c>
      <c r="O83" s="241" t="str">
        <f>IF(ISERROR(VLOOKUP($B83,'ATTRITION RAW'!$E:$E,1,0)),"ACTIVE","INACTIVE")</f>
        <v>ACTIVE</v>
      </c>
      <c r="P83" s="432">
        <f t="shared" si="12"/>
        <v>282</v>
      </c>
      <c r="Q83" s="432" t="str">
        <f t="shared" si="13"/>
        <v>-</v>
      </c>
      <c r="R83" s="432">
        <f t="shared" si="14"/>
        <v>200</v>
      </c>
      <c r="S83" s="432" t="str">
        <f t="shared" si="15"/>
        <v>-</v>
      </c>
      <c r="T83" s="432" t="str">
        <f t="shared" si="16"/>
        <v>-</v>
      </c>
      <c r="U83" s="432">
        <f t="shared" si="10"/>
        <v>0</v>
      </c>
      <c r="V83" s="432">
        <f t="shared" si="11"/>
        <v>0</v>
      </c>
      <c r="W83" s="433">
        <f t="shared" si="17"/>
        <v>482</v>
      </c>
    </row>
    <row r="84" spans="1:23">
      <c r="A84" s="2">
        <f>RESOURCES!B80</f>
        <v>77</v>
      </c>
      <c r="B84" s="431">
        <f>RESOURCES!C80</f>
        <v>10071268</v>
      </c>
      <c r="C84" s="431" t="str">
        <f>RESOURCES!D80</f>
        <v>OCENAR, PAULINE SIENNE M.</v>
      </c>
      <c r="D84" s="2" t="str">
        <f>RESOURCES!E80</f>
        <v>Web Designer</v>
      </c>
      <c r="E84" s="2" t="str">
        <f>RESOURCES!F80</f>
        <v>FLORES, Emmanuel</v>
      </c>
      <c r="F84" s="2" t="str">
        <f>RESOURCES!G80</f>
        <v>TAGUILASO, Daryl</v>
      </c>
      <c r="G84" s="2">
        <f>ROUNDUP(SUMIFS('PRODUCTIVITY RAW'!$L:$L,'PRODUCTIVITY RAW'!$B:$B,BIDWARS!$B84),0)</f>
        <v>132</v>
      </c>
      <c r="H84" s="16">
        <f>IFERROR(IF($D84="Proofreader",INDEX('CHURN RAW'!$H:$H,MATCH("SITE LEVEL",'CHURN RAW'!$C:$C,0)),IF($D84="Internal Mods (PSI)","-",INDEX(RESOURCES!$X:$X,MATCH(BIDWARS!$B84,RESOURCES!$C:$C,0)))),"-")</f>
        <v>0.9</v>
      </c>
      <c r="I84" s="16">
        <f>IFERROR(ROUNDUP(INDEX(RESOURCES!$Y:$Y,MATCH(BIDWARS!$B84,RESOURCES!$C:$C,0)),2),"-")</f>
        <v>1</v>
      </c>
      <c r="J84" s="16" t="str">
        <f>IFERROR(ROUNDUP(INDEX(RESOURCES!$AA:$AA,MATCH(BIDWARS!$B84,RESOURCES!$C:$C,0)),2),"-")</f>
        <v>-</v>
      </c>
      <c r="K84" s="16" t="str">
        <f>IFERROR(VLOOKUP($C84,'CE RAW'!$D:$H,4,FALSE),"-")</f>
        <v>-</v>
      </c>
      <c r="L84" s="16" t="str">
        <f>IFERROR(VLOOKUP($C84,'CE RAW'!$D:$H,5,FALSE),"-")</f>
        <v>-</v>
      </c>
      <c r="M84" s="2">
        <f>COUNTIFS('BONUS RAW'!$D:$D,BIDWARS!$B84,'BONUS RAW'!$J:$J,"KUDOS")</f>
        <v>0</v>
      </c>
      <c r="N84" s="324">
        <f>IF(AND(SUMIFS('ATTENDANCE RAW'!$I:$I,'ATTENDANCE RAW'!$E:$E,BIDWARS!$B84)=0,SUMIFS('ATTENDANCE RAW'!$J:$J,'ATTENDANCE RAW'!$E:$E,BIDWARS!$B84)=0),1,0)</f>
        <v>1</v>
      </c>
      <c r="O84" s="241" t="str">
        <f>IF(ISERROR(VLOOKUP($B84,'ATTRITION RAW'!$E:$E,1,0)),"ACTIVE","INACTIVE")</f>
        <v>ACTIVE</v>
      </c>
      <c r="P84" s="432">
        <f t="shared" si="12"/>
        <v>132</v>
      </c>
      <c r="Q84" s="432">
        <f t="shared" si="13"/>
        <v>270</v>
      </c>
      <c r="R84" s="432">
        <f t="shared" si="14"/>
        <v>200</v>
      </c>
      <c r="S84" s="432" t="str">
        <f t="shared" si="15"/>
        <v>-</v>
      </c>
      <c r="T84" s="432" t="str">
        <f t="shared" si="16"/>
        <v>-</v>
      </c>
      <c r="U84" s="432">
        <f t="shared" si="10"/>
        <v>0</v>
      </c>
      <c r="V84" s="432">
        <f t="shared" si="11"/>
        <v>50</v>
      </c>
      <c r="W84" s="433">
        <f t="shared" si="17"/>
        <v>652</v>
      </c>
    </row>
    <row r="85" spans="1:23">
      <c r="A85" s="2">
        <f>RESOURCES!B81</f>
        <v>78</v>
      </c>
      <c r="B85" s="431">
        <f>RESOURCES!C81</f>
        <v>10071296</v>
      </c>
      <c r="C85" s="431" t="str">
        <f>RESOURCES!D81</f>
        <v>RODRIGUEZ, ALLAN R.</v>
      </c>
      <c r="D85" s="2" t="str">
        <f>RESOURCES!E81</f>
        <v>Web Designer</v>
      </c>
      <c r="E85" s="2" t="str">
        <f>RESOURCES!F81</f>
        <v>FLORES, Emmanuel</v>
      </c>
      <c r="F85" s="2" t="str">
        <f>RESOURCES!G81</f>
        <v>TAGUILASO, Daryl</v>
      </c>
      <c r="G85" s="2">
        <f>ROUNDUP(SUMIFS('PRODUCTIVITY RAW'!$L:$L,'PRODUCTIVITY RAW'!$B:$B,BIDWARS!$B85),0)</f>
        <v>175</v>
      </c>
      <c r="H85" s="16">
        <f>IFERROR(IF($D85="Proofreader",INDEX('CHURN RAW'!$H:$H,MATCH("SITE LEVEL",'CHURN RAW'!$C:$C,0)),IF($D85="Internal Mods (PSI)","-",INDEX(RESOURCES!$X:$X,MATCH(BIDWARS!$B85,RESOURCES!$C:$C,0)))),"-")</f>
        <v>0.9</v>
      </c>
      <c r="I85" s="16">
        <f>IFERROR(ROUNDUP(INDEX(RESOURCES!$Y:$Y,MATCH(BIDWARS!$B85,RESOURCES!$C:$C,0)),2),"-")</f>
        <v>1</v>
      </c>
      <c r="J85" s="16" t="str">
        <f>IFERROR(ROUNDUP(INDEX(RESOURCES!$AA:$AA,MATCH(BIDWARS!$B85,RESOURCES!$C:$C,0)),2),"-")</f>
        <v>-</v>
      </c>
      <c r="K85" s="16" t="str">
        <f>IFERROR(VLOOKUP($C85,'CE RAW'!$D:$H,4,FALSE),"-")</f>
        <v>-</v>
      </c>
      <c r="L85" s="16" t="str">
        <f>IFERROR(VLOOKUP($C85,'CE RAW'!$D:$H,5,FALSE),"-")</f>
        <v>-</v>
      </c>
      <c r="M85" s="2">
        <f>COUNTIFS('BONUS RAW'!$D:$D,BIDWARS!$B85,'BONUS RAW'!$J:$J,"KUDOS")</f>
        <v>1</v>
      </c>
      <c r="N85" s="324">
        <f>IF(AND(SUMIFS('ATTENDANCE RAW'!$I:$I,'ATTENDANCE RAW'!$E:$E,BIDWARS!$B85)=0,SUMIFS('ATTENDANCE RAW'!$J:$J,'ATTENDANCE RAW'!$E:$E,BIDWARS!$B85)=0),1,0)</f>
        <v>0</v>
      </c>
      <c r="O85" s="241" t="str">
        <f>IF(ISERROR(VLOOKUP($B85,'ATTRITION RAW'!$E:$E,1,0)),"ACTIVE","INACTIVE")</f>
        <v>ACTIVE</v>
      </c>
      <c r="P85" s="432">
        <f t="shared" si="12"/>
        <v>175</v>
      </c>
      <c r="Q85" s="432">
        <f t="shared" si="13"/>
        <v>270</v>
      </c>
      <c r="R85" s="432">
        <f t="shared" si="14"/>
        <v>200</v>
      </c>
      <c r="S85" s="432" t="str">
        <f t="shared" si="15"/>
        <v>-</v>
      </c>
      <c r="T85" s="432" t="str">
        <f t="shared" si="16"/>
        <v>-</v>
      </c>
      <c r="U85" s="432">
        <f t="shared" si="10"/>
        <v>25</v>
      </c>
      <c r="V85" s="432">
        <f t="shared" si="11"/>
        <v>0</v>
      </c>
      <c r="W85" s="433">
        <f t="shared" si="17"/>
        <v>670</v>
      </c>
    </row>
    <row r="86" spans="1:23">
      <c r="A86" s="2">
        <f>RESOURCES!B82</f>
        <v>79</v>
      </c>
      <c r="B86" s="431">
        <f>RESOURCES!C82</f>
        <v>10071972</v>
      </c>
      <c r="C86" s="431" t="str">
        <f>RESOURCES!D82</f>
        <v>SALAMANTE, DANIELL ERIK D.</v>
      </c>
      <c r="D86" s="2" t="str">
        <f>RESOURCES!E82</f>
        <v>DBA</v>
      </c>
      <c r="E86" s="2" t="str">
        <f>RESOURCES!F82</f>
        <v>FLORES, Emmanuel</v>
      </c>
      <c r="F86" s="2" t="str">
        <f>RESOURCES!G82</f>
        <v>TAGUILASO, Daryl</v>
      </c>
      <c r="G86" s="2">
        <f>ROUNDUP(SUMIFS('PRODUCTIVITY RAW'!$L:$L,'PRODUCTIVITY RAW'!$B:$B,BIDWARS!$B86),0)</f>
        <v>28</v>
      </c>
      <c r="H86" s="16" t="str">
        <f>IFERROR(IF($D86="Proofreader",INDEX('CHURN RAW'!$H:$H,MATCH("SITE LEVEL",'CHURN RAW'!$C:$C,0)),IF($D86="Internal Mods (PSI)","-",INDEX(RESOURCES!$X:$X,MATCH(BIDWARS!$B86,RESOURCES!$C:$C,0)))),"-")</f>
        <v>NO SCORE</v>
      </c>
      <c r="I86" s="16">
        <f>IFERROR(ROUNDUP(INDEX(RESOURCES!$Y:$Y,MATCH(BIDWARS!$B86,RESOURCES!$C:$C,0)),2),"-")</f>
        <v>1</v>
      </c>
      <c r="J86" s="16" t="str">
        <f>IFERROR(ROUNDUP(INDEX(RESOURCES!$AA:$AA,MATCH(BIDWARS!$B86,RESOURCES!$C:$C,0)),2),"-")</f>
        <v>-</v>
      </c>
      <c r="K86" s="16" t="str">
        <f>IFERROR(VLOOKUP($C86,'CE RAW'!$D:$H,4,FALSE),"-")</f>
        <v>-</v>
      </c>
      <c r="L86" s="16" t="str">
        <f>IFERROR(VLOOKUP($C86,'CE RAW'!$D:$H,5,FALSE),"-")</f>
        <v>-</v>
      </c>
      <c r="M86" s="2">
        <f>COUNTIFS('BONUS RAW'!$D:$D,BIDWARS!$B86,'BONUS RAW'!$J:$J,"KUDOS")</f>
        <v>0</v>
      </c>
      <c r="N86" s="324">
        <f>IF(AND(SUMIFS('ATTENDANCE RAW'!$I:$I,'ATTENDANCE RAW'!$E:$E,BIDWARS!$B86)=0,SUMIFS('ATTENDANCE RAW'!$J:$J,'ATTENDANCE RAW'!$E:$E,BIDWARS!$B86)=0),1,0)</f>
        <v>1</v>
      </c>
      <c r="O86" s="241" t="str">
        <f>IF(ISERROR(VLOOKUP($B86,'ATTRITION RAW'!$E:$E,1,0)),"ACTIVE","INACTIVE")</f>
        <v>ACTIVE</v>
      </c>
      <c r="P86" s="432">
        <f t="shared" si="12"/>
        <v>292</v>
      </c>
      <c r="Q86" s="432" t="str">
        <f t="shared" si="13"/>
        <v>-</v>
      </c>
      <c r="R86" s="432">
        <f t="shared" si="14"/>
        <v>200</v>
      </c>
      <c r="S86" s="432" t="str">
        <f t="shared" si="15"/>
        <v>-</v>
      </c>
      <c r="T86" s="432" t="str">
        <f t="shared" si="16"/>
        <v>-</v>
      </c>
      <c r="U86" s="432">
        <f t="shared" si="10"/>
        <v>0</v>
      </c>
      <c r="V86" s="432">
        <f t="shared" si="11"/>
        <v>50</v>
      </c>
      <c r="W86" s="433">
        <f t="shared" si="17"/>
        <v>542</v>
      </c>
    </row>
    <row r="87" spans="1:23">
      <c r="A87" s="2">
        <f>RESOURCES!B83</f>
        <v>80</v>
      </c>
      <c r="B87" s="431">
        <f>RESOURCES!C83</f>
        <v>10071283</v>
      </c>
      <c r="C87" s="431" t="str">
        <f>RESOURCES!D83</f>
        <v>SESTOSO, PATRICE ANNE M.</v>
      </c>
      <c r="D87" s="2" t="str">
        <f>RESOURCES!E83</f>
        <v>Web Designer</v>
      </c>
      <c r="E87" s="2" t="str">
        <f>RESOURCES!F83</f>
        <v>FLORES, Emmanuel</v>
      </c>
      <c r="F87" s="2" t="str">
        <f>RESOURCES!G83</f>
        <v>TAGUILASO, Daryl</v>
      </c>
      <c r="G87" s="2">
        <f>ROUNDUP(SUMIFS('PRODUCTIVITY RAW'!$L:$L,'PRODUCTIVITY RAW'!$B:$B,BIDWARS!$B87),0)</f>
        <v>188</v>
      </c>
      <c r="H87" s="16">
        <f>IFERROR(IF($D87="Proofreader",INDEX('CHURN RAW'!$H:$H,MATCH("SITE LEVEL",'CHURN RAW'!$C:$C,0)),IF($D87="Internal Mods (PSI)","-",INDEX(RESOURCES!$X:$X,MATCH(BIDWARS!$B87,RESOURCES!$C:$C,0)))),"-")</f>
        <v>0.8</v>
      </c>
      <c r="I87" s="16">
        <f>IFERROR(ROUNDUP(INDEX(RESOURCES!$Y:$Y,MATCH(BIDWARS!$B87,RESOURCES!$C:$C,0)),2),"-")</f>
        <v>1</v>
      </c>
      <c r="J87" s="16" t="str">
        <f>IFERROR(ROUNDUP(INDEX(RESOURCES!$AA:$AA,MATCH(BIDWARS!$B87,RESOURCES!$C:$C,0)),2),"-")</f>
        <v>-</v>
      </c>
      <c r="K87" s="16" t="str">
        <f>IFERROR(VLOOKUP($C87,'CE RAW'!$D:$H,4,FALSE),"-")</f>
        <v>-</v>
      </c>
      <c r="L87" s="16" t="str">
        <f>IFERROR(VLOOKUP($C87,'CE RAW'!$D:$H,5,FALSE),"-")</f>
        <v>-</v>
      </c>
      <c r="M87" s="2">
        <f>COUNTIFS('BONUS RAW'!$D:$D,BIDWARS!$B87,'BONUS RAW'!$J:$J,"KUDOS")</f>
        <v>0</v>
      </c>
      <c r="N87" s="324">
        <f>IF(AND(SUMIFS('ATTENDANCE RAW'!$I:$I,'ATTENDANCE RAW'!$E:$E,BIDWARS!$B87)=0,SUMIFS('ATTENDANCE RAW'!$J:$J,'ATTENDANCE RAW'!$E:$E,BIDWARS!$B87)=0),1,0)</f>
        <v>1</v>
      </c>
      <c r="O87" s="241" t="str">
        <f>IF(ISERROR(VLOOKUP($B87,'ATTRITION RAW'!$E:$E,1,0)),"ACTIVE","INACTIVE")</f>
        <v>ACTIVE</v>
      </c>
      <c r="P87" s="432">
        <f t="shared" si="12"/>
        <v>188</v>
      </c>
      <c r="Q87" s="432">
        <f t="shared" si="13"/>
        <v>160</v>
      </c>
      <c r="R87" s="432">
        <f t="shared" si="14"/>
        <v>200</v>
      </c>
      <c r="S87" s="432" t="str">
        <f t="shared" si="15"/>
        <v>-</v>
      </c>
      <c r="T87" s="432" t="str">
        <f t="shared" si="16"/>
        <v>-</v>
      </c>
      <c r="U87" s="432">
        <f t="shared" si="10"/>
        <v>0</v>
      </c>
      <c r="V87" s="432">
        <f t="shared" si="11"/>
        <v>50</v>
      </c>
      <c r="W87" s="433">
        <f t="shared" si="17"/>
        <v>598</v>
      </c>
    </row>
    <row r="88" spans="1:23">
      <c r="A88" s="2">
        <f>RESOURCES!B84</f>
        <v>81</v>
      </c>
      <c r="B88" s="431">
        <f>RESOURCES!C84</f>
        <v>10071753</v>
      </c>
      <c r="C88" s="431" t="str">
        <f>RESOURCES!D84</f>
        <v>MAROTO, ARJIEL I.</v>
      </c>
      <c r="D88" s="2" t="str">
        <f>RESOURCES!E84</f>
        <v>Web Designer</v>
      </c>
      <c r="E88" s="2" t="str">
        <f>RESOURCES!F84</f>
        <v>FLORES, Emmanuel</v>
      </c>
      <c r="F88" s="2" t="str">
        <f>RESOURCES!G84</f>
        <v>TAGUILASO, Daryl</v>
      </c>
      <c r="G88" s="2">
        <f>ROUNDUP(SUMIFS('PRODUCTIVITY RAW'!$L:$L,'PRODUCTIVITY RAW'!$B:$B,BIDWARS!$B88),0)</f>
        <v>156</v>
      </c>
      <c r="H88" s="16">
        <f>IFERROR(IF($D88="Proofreader",INDEX('CHURN RAW'!$H:$H,MATCH("SITE LEVEL",'CHURN RAW'!$C:$C,0)),IF($D88="Internal Mods (PSI)","-",INDEX(RESOURCES!$X:$X,MATCH(BIDWARS!$B88,RESOURCES!$C:$C,0)))),"-")</f>
        <v>0.8</v>
      </c>
      <c r="I88" s="16">
        <f>IFERROR(ROUNDUP(INDEX(RESOURCES!$Y:$Y,MATCH(BIDWARS!$B88,RESOURCES!$C:$C,0)),2),"-")</f>
        <v>1</v>
      </c>
      <c r="J88" s="16" t="str">
        <f>IFERROR(ROUNDUP(INDEX(RESOURCES!$AA:$AA,MATCH(BIDWARS!$B88,RESOURCES!$C:$C,0)),2),"-")</f>
        <v>-</v>
      </c>
      <c r="K88" s="16" t="str">
        <f>IFERROR(VLOOKUP($C88,'CE RAW'!$D:$H,4,FALSE),"-")</f>
        <v>-</v>
      </c>
      <c r="L88" s="16" t="str">
        <f>IFERROR(VLOOKUP($C88,'CE RAW'!$D:$H,5,FALSE),"-")</f>
        <v>-</v>
      </c>
      <c r="M88" s="2">
        <f>COUNTIFS('BONUS RAW'!$D:$D,BIDWARS!$B88,'BONUS RAW'!$J:$J,"KUDOS")</f>
        <v>0</v>
      </c>
      <c r="N88" s="324">
        <f>IF(AND(SUMIFS('ATTENDANCE RAW'!$I:$I,'ATTENDANCE RAW'!$E:$E,BIDWARS!$B88)=0,SUMIFS('ATTENDANCE RAW'!$J:$J,'ATTENDANCE RAW'!$E:$E,BIDWARS!$B88)=0),1,0)</f>
        <v>1</v>
      </c>
      <c r="O88" s="241" t="str">
        <f>IF(ISERROR(VLOOKUP($B88,'ATTRITION RAW'!$E:$E,1,0)),"ACTIVE","INACTIVE")</f>
        <v>ACTIVE</v>
      </c>
      <c r="P88" s="432">
        <f t="shared" si="12"/>
        <v>156</v>
      </c>
      <c r="Q88" s="432">
        <f t="shared" si="13"/>
        <v>160</v>
      </c>
      <c r="R88" s="432">
        <f t="shared" si="14"/>
        <v>200</v>
      </c>
      <c r="S88" s="432" t="str">
        <f t="shared" si="15"/>
        <v>-</v>
      </c>
      <c r="T88" s="432" t="str">
        <f t="shared" si="16"/>
        <v>-</v>
      </c>
      <c r="U88" s="432">
        <f t="shared" si="10"/>
        <v>0</v>
      </c>
      <c r="V88" s="432">
        <f t="shared" si="11"/>
        <v>50</v>
      </c>
      <c r="W88" s="433">
        <f t="shared" si="17"/>
        <v>566</v>
      </c>
    </row>
    <row r="89" spans="1:23">
      <c r="A89" s="2">
        <f>RESOURCES!B85</f>
        <v>82</v>
      </c>
      <c r="B89" s="431">
        <f>RESOURCES!C85</f>
        <v>10071803</v>
      </c>
      <c r="C89" s="431" t="str">
        <f>RESOURCES!D85</f>
        <v>BRAGADO, PAULO G.</v>
      </c>
      <c r="D89" s="2" t="str">
        <f>RESOURCES!E85</f>
        <v>Web Designer</v>
      </c>
      <c r="E89" s="2" t="str">
        <f>RESOURCES!F85</f>
        <v>FLORES, Emmanuel</v>
      </c>
      <c r="F89" s="2" t="str">
        <f>RESOURCES!G85</f>
        <v>TAGUILASO, Daryl</v>
      </c>
      <c r="G89" s="2">
        <f>ROUNDUP(SUMIFS('PRODUCTIVITY RAW'!$L:$L,'PRODUCTIVITY RAW'!$B:$B,BIDWARS!$B89),0)</f>
        <v>138</v>
      </c>
      <c r="H89" s="16">
        <f>IFERROR(IF($D89="Proofreader",INDEX('CHURN RAW'!$H:$H,MATCH("SITE LEVEL",'CHURN RAW'!$C:$C,0)),IF($D89="Internal Mods (PSI)","-",INDEX(RESOURCES!$X:$X,MATCH(BIDWARS!$B89,RESOURCES!$C:$C,0)))),"-")</f>
        <v>0.9</v>
      </c>
      <c r="I89" s="16">
        <f>IFERROR(ROUNDUP(INDEX(RESOURCES!$Y:$Y,MATCH(BIDWARS!$B89,RESOURCES!$C:$C,0)),2),"-")</f>
        <v>1</v>
      </c>
      <c r="J89" s="16" t="str">
        <f>IFERROR(ROUNDUP(INDEX(RESOURCES!$AA:$AA,MATCH(BIDWARS!$B89,RESOURCES!$C:$C,0)),2),"-")</f>
        <v>-</v>
      </c>
      <c r="K89" s="16" t="str">
        <f>IFERROR(VLOOKUP($C89,'CE RAW'!$D:$H,4,FALSE),"-")</f>
        <v>-</v>
      </c>
      <c r="L89" s="16" t="str">
        <f>IFERROR(VLOOKUP($C89,'CE RAW'!$D:$H,5,FALSE),"-")</f>
        <v>-</v>
      </c>
      <c r="M89" s="2">
        <f>COUNTIFS('BONUS RAW'!$D:$D,BIDWARS!$B89,'BONUS RAW'!$J:$J,"KUDOS")</f>
        <v>0</v>
      </c>
      <c r="N89" s="324">
        <f>IF(AND(SUMIFS('ATTENDANCE RAW'!$I:$I,'ATTENDANCE RAW'!$E:$E,BIDWARS!$B89)=0,SUMIFS('ATTENDANCE RAW'!$J:$J,'ATTENDANCE RAW'!$E:$E,BIDWARS!$B89)=0),1,0)</f>
        <v>1</v>
      </c>
      <c r="O89" s="241" t="str">
        <f>IF(ISERROR(VLOOKUP($B89,'ATTRITION RAW'!$E:$E,1,0)),"ACTIVE","INACTIVE")</f>
        <v>ACTIVE</v>
      </c>
      <c r="P89" s="432">
        <f t="shared" si="12"/>
        <v>138</v>
      </c>
      <c r="Q89" s="432">
        <f t="shared" si="13"/>
        <v>270</v>
      </c>
      <c r="R89" s="432">
        <f t="shared" si="14"/>
        <v>200</v>
      </c>
      <c r="S89" s="432" t="str">
        <f t="shared" si="15"/>
        <v>-</v>
      </c>
      <c r="T89" s="432" t="str">
        <f t="shared" si="16"/>
        <v>-</v>
      </c>
      <c r="U89" s="432">
        <f t="shared" si="10"/>
        <v>0</v>
      </c>
      <c r="V89" s="432">
        <f t="shared" si="11"/>
        <v>50</v>
      </c>
      <c r="W89" s="433">
        <f t="shared" si="17"/>
        <v>658</v>
      </c>
    </row>
    <row r="90" spans="1:23">
      <c r="A90" s="2">
        <f>RESOURCES!B86</f>
        <v>83</v>
      </c>
      <c r="B90" s="431">
        <f>RESOURCES!C86</f>
        <v>10072076</v>
      </c>
      <c r="C90" s="431" t="str">
        <f>RESOURCES!D86</f>
        <v>FERNANDEZ, ELMER Q.</v>
      </c>
      <c r="D90" s="2" t="str">
        <f>RESOURCES!E86</f>
        <v>Web Designer</v>
      </c>
      <c r="E90" s="2" t="str">
        <f>RESOURCES!F86</f>
        <v>FLORES, Emmanuel</v>
      </c>
      <c r="F90" s="2" t="str">
        <f>RESOURCES!G86</f>
        <v>TAGUILASO, Daryl</v>
      </c>
      <c r="G90" s="2">
        <f>ROUNDUP(SUMIFS('PRODUCTIVITY RAW'!$L:$L,'PRODUCTIVITY RAW'!$B:$B,BIDWARS!$B90),0)</f>
        <v>118</v>
      </c>
      <c r="H90" s="16">
        <f>IFERROR(IF($D90="Proofreader",INDEX('CHURN RAW'!$H:$H,MATCH("SITE LEVEL",'CHURN RAW'!$C:$C,0)),IF($D90="Internal Mods (PSI)","-",INDEX(RESOURCES!$X:$X,MATCH(BIDWARS!$B90,RESOURCES!$C:$C,0)))),"-")</f>
        <v>0.8</v>
      </c>
      <c r="I90" s="16">
        <f>IFERROR(ROUNDUP(INDEX(RESOURCES!$Y:$Y,MATCH(BIDWARS!$B90,RESOURCES!$C:$C,0)),2),"-")</f>
        <v>1</v>
      </c>
      <c r="J90" s="16" t="str">
        <f>IFERROR(ROUNDUP(INDEX(RESOURCES!$AA:$AA,MATCH(BIDWARS!$B90,RESOURCES!$C:$C,0)),2),"-")</f>
        <v>-</v>
      </c>
      <c r="K90" s="16" t="str">
        <f>IFERROR(VLOOKUP($C90,'CE RAW'!$D:$H,4,FALSE),"-")</f>
        <v>-</v>
      </c>
      <c r="L90" s="16" t="str">
        <f>IFERROR(VLOOKUP($C90,'CE RAW'!$D:$H,5,FALSE),"-")</f>
        <v>-</v>
      </c>
      <c r="M90" s="2">
        <f>COUNTIFS('BONUS RAW'!$D:$D,BIDWARS!$B90,'BONUS RAW'!$J:$J,"KUDOS")</f>
        <v>0</v>
      </c>
      <c r="N90" s="324">
        <f>IF(AND(SUMIFS('ATTENDANCE RAW'!$I:$I,'ATTENDANCE RAW'!$E:$E,BIDWARS!$B90)=0,SUMIFS('ATTENDANCE RAW'!$J:$J,'ATTENDANCE RAW'!$E:$E,BIDWARS!$B90)=0),1,0)</f>
        <v>1</v>
      </c>
      <c r="O90" s="241" t="str">
        <f>IF(ISERROR(VLOOKUP($B90,'ATTRITION RAW'!$E:$E,1,0)),"ACTIVE","INACTIVE")</f>
        <v>ACTIVE</v>
      </c>
      <c r="P90" s="432">
        <f t="shared" si="12"/>
        <v>118</v>
      </c>
      <c r="Q90" s="432">
        <f t="shared" si="13"/>
        <v>160</v>
      </c>
      <c r="R90" s="432">
        <f t="shared" si="14"/>
        <v>200</v>
      </c>
      <c r="S90" s="432" t="str">
        <f t="shared" si="15"/>
        <v>-</v>
      </c>
      <c r="T90" s="432" t="str">
        <f t="shared" si="16"/>
        <v>-</v>
      </c>
      <c r="U90" s="432">
        <f t="shared" si="10"/>
        <v>0</v>
      </c>
      <c r="V90" s="432">
        <f t="shared" si="11"/>
        <v>50</v>
      </c>
      <c r="W90" s="433">
        <f t="shared" si="17"/>
        <v>528</v>
      </c>
    </row>
    <row r="91" spans="1:23">
      <c r="A91" s="2">
        <f>RESOURCES!B87</f>
        <v>84</v>
      </c>
      <c r="B91" s="431">
        <f>RESOURCES!C87</f>
        <v>10072458</v>
      </c>
      <c r="C91" s="431" t="str">
        <f>RESOURCES!D87</f>
        <v>BACURIN, APOLINARIO M., JR.</v>
      </c>
      <c r="D91" s="2" t="str">
        <f>RESOURCES!E87</f>
        <v>Web Designer</v>
      </c>
      <c r="E91" s="2" t="str">
        <f>RESOURCES!F87</f>
        <v>DE LOS SANTOS, Richard</v>
      </c>
      <c r="F91" s="2" t="str">
        <f>RESOURCES!G87</f>
        <v>TAGUILASO, Daryl</v>
      </c>
      <c r="G91" s="2">
        <f>ROUNDUP(SUMIFS('PRODUCTIVITY RAW'!$L:$L,'PRODUCTIVITY RAW'!$B:$B,BIDWARS!$B91),0)</f>
        <v>139</v>
      </c>
      <c r="H91" s="16">
        <f>IFERROR(IF($D91="Proofreader",INDEX('CHURN RAW'!$H:$H,MATCH("SITE LEVEL",'CHURN RAW'!$C:$C,0)),IF($D91="Internal Mods (PSI)","-",INDEX(RESOURCES!$X:$X,MATCH(BIDWARS!$B91,RESOURCES!$C:$C,0)))),"-")</f>
        <v>0.8</v>
      </c>
      <c r="I91" s="16">
        <f>IFERROR(ROUNDUP(INDEX(RESOURCES!$Y:$Y,MATCH(BIDWARS!$B91,RESOURCES!$C:$C,0)),2),"-")</f>
        <v>1</v>
      </c>
      <c r="J91" s="16" t="str">
        <f>IFERROR(ROUNDUP(INDEX(RESOURCES!$AA:$AA,MATCH(BIDWARS!$B91,RESOURCES!$C:$C,0)),2),"-")</f>
        <v>-</v>
      </c>
      <c r="K91" s="16" t="str">
        <f>IFERROR(VLOOKUP($C91,'CE RAW'!$D:$H,4,FALSE),"-")</f>
        <v>-</v>
      </c>
      <c r="L91" s="16" t="str">
        <f>IFERROR(VLOOKUP($C91,'CE RAW'!$D:$H,5,FALSE),"-")</f>
        <v>-</v>
      </c>
      <c r="M91" s="2">
        <f>COUNTIFS('BONUS RAW'!$D:$D,BIDWARS!$B91,'BONUS RAW'!$J:$J,"KUDOS")</f>
        <v>0</v>
      </c>
      <c r="N91" s="324">
        <f>IF(AND(SUMIFS('ATTENDANCE RAW'!$I:$I,'ATTENDANCE RAW'!$E:$E,BIDWARS!$B91)=0,SUMIFS('ATTENDANCE RAW'!$J:$J,'ATTENDANCE RAW'!$E:$E,BIDWARS!$B91)=0),1,0)</f>
        <v>0</v>
      </c>
      <c r="O91" s="241" t="str">
        <f>IF(ISERROR(VLOOKUP($B91,'ATTRITION RAW'!$E:$E,1,0)),"ACTIVE","INACTIVE")</f>
        <v>ACTIVE</v>
      </c>
      <c r="P91" s="432">
        <f t="shared" si="12"/>
        <v>139</v>
      </c>
      <c r="Q91" s="432">
        <f t="shared" si="13"/>
        <v>160</v>
      </c>
      <c r="R91" s="432">
        <f t="shared" si="14"/>
        <v>200</v>
      </c>
      <c r="S91" s="432" t="str">
        <f t="shared" si="15"/>
        <v>-</v>
      </c>
      <c r="T91" s="432" t="str">
        <f t="shared" si="16"/>
        <v>-</v>
      </c>
      <c r="U91" s="432">
        <f t="shared" si="10"/>
        <v>0</v>
      </c>
      <c r="V91" s="432">
        <f t="shared" si="11"/>
        <v>0</v>
      </c>
      <c r="W91" s="433">
        <f t="shared" si="17"/>
        <v>499</v>
      </c>
    </row>
    <row r="92" spans="1:23">
      <c r="A92" s="2">
        <f>RESOURCES!B88</f>
        <v>85</v>
      </c>
      <c r="B92" s="431">
        <f>RESOURCES!C88</f>
        <v>10071322</v>
      </c>
      <c r="C92" s="431" t="str">
        <f>RESOURCES!D88</f>
        <v>DE GUZMAN, MONNEYR JHON D.</v>
      </c>
      <c r="D92" s="2" t="str">
        <f>RESOURCES!E88</f>
        <v>Logo Designer</v>
      </c>
      <c r="E92" s="2" t="str">
        <f>RESOURCES!F88</f>
        <v>DE LOS SANTOS, Richard</v>
      </c>
      <c r="F92" s="2" t="str">
        <f>RESOURCES!G88</f>
        <v>TAGUILASO, Daryl</v>
      </c>
      <c r="G92" s="2">
        <f>ROUNDUP(SUMIFS('PRODUCTIVITY RAW'!$L:$L,'PRODUCTIVITY RAW'!$B:$B,BIDWARS!$B92),0)</f>
        <v>105</v>
      </c>
      <c r="H92" s="16">
        <f>IFERROR(IF($D92="Proofreader",INDEX('CHURN RAW'!$H:$H,MATCH("SITE LEVEL",'CHURN RAW'!$C:$C,0)),IF($D92="Internal Mods (PSI)","-",INDEX(RESOURCES!$X:$X,MATCH(BIDWARS!$B92,RESOURCES!$C:$C,0)))),"-")</f>
        <v>1</v>
      </c>
      <c r="I92" s="16">
        <f>IFERROR(ROUNDUP(INDEX(RESOURCES!$Y:$Y,MATCH(BIDWARS!$B92,RESOURCES!$C:$C,0)),2),"-")</f>
        <v>1</v>
      </c>
      <c r="J92" s="16" t="str">
        <f>IFERROR(ROUNDUP(INDEX(RESOURCES!$AA:$AA,MATCH(BIDWARS!$B92,RESOURCES!$C:$C,0)),2),"-")</f>
        <v>-</v>
      </c>
      <c r="K92" s="16" t="str">
        <f>IFERROR(VLOOKUP($C92,'CE RAW'!$D:$H,4,FALSE),"-")</f>
        <v>-</v>
      </c>
      <c r="L92" s="16" t="str">
        <f>IFERROR(VLOOKUP($C92,'CE RAW'!$D:$H,5,FALSE),"-")</f>
        <v>-</v>
      </c>
      <c r="M92" s="2">
        <f>COUNTIFS('BONUS RAW'!$D:$D,BIDWARS!$B92,'BONUS RAW'!$J:$J,"KUDOS")</f>
        <v>1</v>
      </c>
      <c r="N92" s="324">
        <f>IF(AND(SUMIFS('ATTENDANCE RAW'!$I:$I,'ATTENDANCE RAW'!$E:$E,BIDWARS!$B92)=0,SUMIFS('ATTENDANCE RAW'!$J:$J,'ATTENDANCE RAW'!$E:$E,BIDWARS!$B92)=0),1,0)</f>
        <v>1</v>
      </c>
      <c r="O92" s="241" t="str">
        <f>IF(ISERROR(VLOOKUP($B92,'ATTRITION RAW'!$E:$E,1,0)),"ACTIVE","INACTIVE")</f>
        <v>ACTIVE</v>
      </c>
      <c r="P92" s="432">
        <f t="shared" si="12"/>
        <v>105</v>
      </c>
      <c r="Q92" s="432">
        <f t="shared" si="13"/>
        <v>400</v>
      </c>
      <c r="R92" s="432">
        <f t="shared" si="14"/>
        <v>200</v>
      </c>
      <c r="S92" s="432" t="str">
        <f t="shared" si="15"/>
        <v>-</v>
      </c>
      <c r="T92" s="432" t="str">
        <f t="shared" si="16"/>
        <v>-</v>
      </c>
      <c r="U92" s="432">
        <f t="shared" si="10"/>
        <v>25</v>
      </c>
      <c r="V92" s="432">
        <f t="shared" si="11"/>
        <v>50</v>
      </c>
      <c r="W92" s="433">
        <f t="shared" si="17"/>
        <v>780</v>
      </c>
    </row>
    <row r="93" spans="1:23">
      <c r="A93" s="2">
        <f>RESOURCES!B89</f>
        <v>86</v>
      </c>
      <c r="B93" s="431">
        <f>RESOURCES!C89</f>
        <v>10071429</v>
      </c>
      <c r="C93" s="431" t="str">
        <f>RESOURCES!D89</f>
        <v>DEDEL, PAUL ANDREW B.</v>
      </c>
      <c r="D93" s="2" t="str">
        <f>RESOURCES!E89</f>
        <v>Legacy Product Maintenance</v>
      </c>
      <c r="E93" s="2" t="str">
        <f>RESOURCES!F89</f>
        <v>DE LOS SANTOS, Richard</v>
      </c>
      <c r="F93" s="2" t="str">
        <f>RESOURCES!G89</f>
        <v>TAGUILASO, Daryl</v>
      </c>
      <c r="G93" s="2">
        <f>ROUNDUP(SUMIFS('PRODUCTIVITY RAW'!$L:$L,'PRODUCTIVITY RAW'!$B:$B,BIDWARS!$B93),0)</f>
        <v>87</v>
      </c>
      <c r="H93" s="16">
        <f>IFERROR(IF($D93="Proofreader",INDEX('CHURN RAW'!$H:$H,MATCH("SITE LEVEL",'CHURN RAW'!$C:$C,0)),IF($D93="Internal Mods (PSI)","-",INDEX(RESOURCES!$X:$X,MATCH(BIDWARS!$B93,RESOURCES!$C:$C,0)))),"-")</f>
        <v>1</v>
      </c>
      <c r="I93" s="16">
        <f>IFERROR(ROUNDUP(INDEX(RESOURCES!$Y:$Y,MATCH(BIDWARS!$B93,RESOURCES!$C:$C,0)),2),"-")</f>
        <v>1</v>
      </c>
      <c r="J93" s="16" t="str">
        <f>IFERROR(ROUNDUP(INDEX(RESOURCES!$AA:$AA,MATCH(BIDWARS!$B93,RESOURCES!$C:$C,0)),2),"-")</f>
        <v>-</v>
      </c>
      <c r="K93" s="16" t="str">
        <f>IFERROR(VLOOKUP($C93,'CE RAW'!$D:$H,4,FALSE),"-")</f>
        <v>-</v>
      </c>
      <c r="L93" s="16" t="str">
        <f>IFERROR(VLOOKUP($C93,'CE RAW'!$D:$H,5,FALSE),"-")</f>
        <v>-</v>
      </c>
      <c r="M93" s="2">
        <f>COUNTIFS('BONUS RAW'!$D:$D,BIDWARS!$B93,'BONUS RAW'!$J:$J,"KUDOS")</f>
        <v>1</v>
      </c>
      <c r="N93" s="324">
        <f>IF(AND(SUMIFS('ATTENDANCE RAW'!$I:$I,'ATTENDANCE RAW'!$E:$E,BIDWARS!$B93)=0,SUMIFS('ATTENDANCE RAW'!$J:$J,'ATTENDANCE RAW'!$E:$E,BIDWARS!$B93)=0),1,0)</f>
        <v>1</v>
      </c>
      <c r="O93" s="241" t="str">
        <f>IF(ISERROR(VLOOKUP($B93,'ATTRITION RAW'!$E:$E,1,0)),"ACTIVE","INACTIVE")</f>
        <v>ACTIVE</v>
      </c>
      <c r="P93" s="432">
        <f t="shared" si="12"/>
        <v>87</v>
      </c>
      <c r="Q93" s="432">
        <f t="shared" si="13"/>
        <v>400</v>
      </c>
      <c r="R93" s="432">
        <f t="shared" si="14"/>
        <v>200</v>
      </c>
      <c r="S93" s="432" t="str">
        <f t="shared" si="15"/>
        <v>-</v>
      </c>
      <c r="T93" s="432" t="str">
        <f t="shared" si="16"/>
        <v>-</v>
      </c>
      <c r="U93" s="432">
        <f t="shared" si="10"/>
        <v>25</v>
      </c>
      <c r="V93" s="432">
        <f t="shared" si="11"/>
        <v>50</v>
      </c>
      <c r="W93" s="433">
        <f t="shared" si="17"/>
        <v>762</v>
      </c>
    </row>
    <row r="94" spans="1:23">
      <c r="A94" s="2">
        <f>RESOURCES!B90</f>
        <v>87</v>
      </c>
      <c r="B94" s="431">
        <f>RESOURCES!C90</f>
        <v>10071430</v>
      </c>
      <c r="C94" s="431" t="str">
        <f>RESOURCES!D90</f>
        <v>ENRIQUEZ, AMIEL JAESO F.</v>
      </c>
      <c r="D94" s="2" t="str">
        <f>RESOURCES!E90</f>
        <v>Web Designer</v>
      </c>
      <c r="E94" s="2" t="str">
        <f>RESOURCES!F90</f>
        <v>DE LOS SANTOS, Richard</v>
      </c>
      <c r="F94" s="2" t="str">
        <f>RESOURCES!G90</f>
        <v>TAGUILASO, Daryl</v>
      </c>
      <c r="G94" s="2">
        <f>ROUNDUP(SUMIFS('PRODUCTIVITY RAW'!$L:$L,'PRODUCTIVITY RAW'!$B:$B,BIDWARS!$B94),0)</f>
        <v>154</v>
      </c>
      <c r="H94" s="16">
        <f>IFERROR(IF($D94="Proofreader",INDEX('CHURN RAW'!$H:$H,MATCH("SITE LEVEL",'CHURN RAW'!$C:$C,0)),IF($D94="Internal Mods (PSI)","-",INDEX(RESOURCES!$X:$X,MATCH(BIDWARS!$B94,RESOURCES!$C:$C,0)))),"-")</f>
        <v>0.9</v>
      </c>
      <c r="I94" s="16">
        <f>IFERROR(ROUNDUP(INDEX(RESOURCES!$Y:$Y,MATCH(BIDWARS!$B94,RESOURCES!$C:$C,0)),2),"-")</f>
        <v>1</v>
      </c>
      <c r="J94" s="16" t="str">
        <f>IFERROR(ROUNDUP(INDEX(RESOURCES!$AA:$AA,MATCH(BIDWARS!$B94,RESOURCES!$C:$C,0)),2),"-")</f>
        <v>-</v>
      </c>
      <c r="K94" s="16" t="str">
        <f>IFERROR(VLOOKUP($C94,'CE RAW'!$D:$H,4,FALSE),"-")</f>
        <v>-</v>
      </c>
      <c r="L94" s="16" t="str">
        <f>IFERROR(VLOOKUP($C94,'CE RAW'!$D:$H,5,FALSE),"-")</f>
        <v>-</v>
      </c>
      <c r="M94" s="2">
        <f>COUNTIFS('BONUS RAW'!$D:$D,BIDWARS!$B94,'BONUS RAW'!$J:$J,"KUDOS")</f>
        <v>0</v>
      </c>
      <c r="N94" s="324">
        <f>IF(AND(SUMIFS('ATTENDANCE RAW'!$I:$I,'ATTENDANCE RAW'!$E:$E,BIDWARS!$B94)=0,SUMIFS('ATTENDANCE RAW'!$J:$J,'ATTENDANCE RAW'!$E:$E,BIDWARS!$B94)=0),1,0)</f>
        <v>1</v>
      </c>
      <c r="O94" s="241" t="str">
        <f>IF(ISERROR(VLOOKUP($B94,'ATTRITION RAW'!$E:$E,1,0)),"ACTIVE","INACTIVE")</f>
        <v>ACTIVE</v>
      </c>
      <c r="P94" s="432">
        <f t="shared" si="12"/>
        <v>154</v>
      </c>
      <c r="Q94" s="432">
        <f t="shared" si="13"/>
        <v>270</v>
      </c>
      <c r="R94" s="432">
        <f t="shared" si="14"/>
        <v>200</v>
      </c>
      <c r="S94" s="432" t="str">
        <f t="shared" si="15"/>
        <v>-</v>
      </c>
      <c r="T94" s="432" t="str">
        <f t="shared" si="16"/>
        <v>-</v>
      </c>
      <c r="U94" s="432">
        <f t="shared" si="10"/>
        <v>0</v>
      </c>
      <c r="V94" s="432">
        <f t="shared" si="11"/>
        <v>50</v>
      </c>
      <c r="W94" s="433">
        <f t="shared" si="17"/>
        <v>674</v>
      </c>
    </row>
    <row r="95" spans="1:23">
      <c r="A95" s="2">
        <f>RESOURCES!B91</f>
        <v>88</v>
      </c>
      <c r="B95" s="431">
        <f>RESOURCES!C91</f>
        <v>10072202</v>
      </c>
      <c r="C95" s="431" t="str">
        <f>RESOURCES!D91</f>
        <v>GARCIA, MARC RANIELLE R.</v>
      </c>
      <c r="D95" s="2" t="str">
        <f>RESOURCES!E91</f>
        <v>Senior Web Designer</v>
      </c>
      <c r="E95" s="2" t="str">
        <f>RESOURCES!F91</f>
        <v>DE LOS SANTOS, Richard</v>
      </c>
      <c r="F95" s="2" t="str">
        <f>RESOURCES!G91</f>
        <v>TAGUILASO, Daryl</v>
      </c>
      <c r="G95" s="2">
        <f>ROUNDUP(SUMIFS('PRODUCTIVITY RAW'!$L:$L,'PRODUCTIVITY RAW'!$B:$B,BIDWARS!$B95),0)</f>
        <v>104</v>
      </c>
      <c r="H95" s="16">
        <f>IFERROR(IF($D95="Proofreader",INDEX('CHURN RAW'!$H:$H,MATCH("SITE LEVEL",'CHURN RAW'!$C:$C,0)),IF($D95="Internal Mods (PSI)","-",INDEX(RESOURCES!$X:$X,MATCH(BIDWARS!$B95,RESOURCES!$C:$C,0)))),"-")</f>
        <v>1</v>
      </c>
      <c r="I95" s="16">
        <f>IFERROR(ROUNDUP(INDEX(RESOURCES!$Y:$Y,MATCH(BIDWARS!$B95,RESOURCES!$C:$C,0)),2),"-")</f>
        <v>1</v>
      </c>
      <c r="J95" s="16" t="str">
        <f>IFERROR(ROUNDUP(INDEX(RESOURCES!$AA:$AA,MATCH(BIDWARS!$B95,RESOURCES!$C:$C,0)),2),"-")</f>
        <v>-</v>
      </c>
      <c r="K95" s="16" t="str">
        <f>IFERROR(VLOOKUP($C95,'CE RAW'!$D:$H,4,FALSE),"-")</f>
        <v>-</v>
      </c>
      <c r="L95" s="16" t="str">
        <f>IFERROR(VLOOKUP($C95,'CE RAW'!$D:$H,5,FALSE),"-")</f>
        <v>-</v>
      </c>
      <c r="M95" s="2">
        <f>COUNTIFS('BONUS RAW'!$D:$D,BIDWARS!$B95,'BONUS RAW'!$J:$J,"KUDOS")</f>
        <v>0</v>
      </c>
      <c r="N95" s="324">
        <f>IF(AND(SUMIFS('ATTENDANCE RAW'!$I:$I,'ATTENDANCE RAW'!$E:$E,BIDWARS!$B95)=0,SUMIFS('ATTENDANCE RAW'!$J:$J,'ATTENDANCE RAW'!$E:$E,BIDWARS!$B95)=0),1,0)</f>
        <v>0</v>
      </c>
      <c r="O95" s="241" t="str">
        <f>IF(ISERROR(VLOOKUP($B95,'ATTRITION RAW'!$E:$E,1,0)),"ACTIVE","INACTIVE")</f>
        <v>ACTIVE</v>
      </c>
      <c r="P95" s="432">
        <f t="shared" si="12"/>
        <v>104</v>
      </c>
      <c r="Q95" s="432">
        <f t="shared" si="13"/>
        <v>400</v>
      </c>
      <c r="R95" s="432">
        <f t="shared" si="14"/>
        <v>200</v>
      </c>
      <c r="S95" s="432" t="str">
        <f t="shared" si="15"/>
        <v>-</v>
      </c>
      <c r="T95" s="432" t="str">
        <f t="shared" si="16"/>
        <v>-</v>
      </c>
      <c r="U95" s="432">
        <f t="shared" si="10"/>
        <v>0</v>
      </c>
      <c r="V95" s="432">
        <f t="shared" si="11"/>
        <v>0</v>
      </c>
      <c r="W95" s="433">
        <f t="shared" si="17"/>
        <v>704</v>
      </c>
    </row>
    <row r="96" spans="1:23">
      <c r="A96" s="2">
        <f>RESOURCES!B92</f>
        <v>89</v>
      </c>
      <c r="B96" s="431">
        <f>RESOURCES!C92</f>
        <v>10072205</v>
      </c>
      <c r="C96" s="431" t="str">
        <f>RESOURCES!D92</f>
        <v>HERNAEZ, SHAIRA MAE A.</v>
      </c>
      <c r="D96" s="2" t="str">
        <f>RESOURCES!E92</f>
        <v>Web Designer</v>
      </c>
      <c r="E96" s="2" t="str">
        <f>RESOURCES!F92</f>
        <v>DE LOS SANTOS, Richard</v>
      </c>
      <c r="F96" s="2" t="str">
        <f>RESOURCES!G92</f>
        <v>TAGUILASO, Daryl</v>
      </c>
      <c r="G96" s="2">
        <f>ROUNDUP(SUMIFS('PRODUCTIVITY RAW'!$L:$L,'PRODUCTIVITY RAW'!$B:$B,BIDWARS!$B96),0)</f>
        <v>120</v>
      </c>
      <c r="H96" s="16">
        <f>IFERROR(IF($D96="Proofreader",INDEX('CHURN RAW'!$H:$H,MATCH("SITE LEVEL",'CHURN RAW'!$C:$C,0)),IF($D96="Internal Mods (PSI)","-",INDEX(RESOURCES!$X:$X,MATCH(BIDWARS!$B96,RESOURCES!$C:$C,0)))),"-")</f>
        <v>0.9</v>
      </c>
      <c r="I96" s="16">
        <f>IFERROR(ROUNDUP(INDEX(RESOURCES!$Y:$Y,MATCH(BIDWARS!$B96,RESOURCES!$C:$C,0)),2),"-")</f>
        <v>1</v>
      </c>
      <c r="J96" s="16" t="str">
        <f>IFERROR(ROUNDUP(INDEX(RESOURCES!$AA:$AA,MATCH(BIDWARS!$B96,RESOURCES!$C:$C,0)),2),"-")</f>
        <v>-</v>
      </c>
      <c r="K96" s="16" t="str">
        <f>IFERROR(VLOOKUP($C96,'CE RAW'!$D:$H,4,FALSE),"-")</f>
        <v>-</v>
      </c>
      <c r="L96" s="16" t="str">
        <f>IFERROR(VLOOKUP($C96,'CE RAW'!$D:$H,5,FALSE),"-")</f>
        <v>-</v>
      </c>
      <c r="M96" s="2">
        <f>COUNTIFS('BONUS RAW'!$D:$D,BIDWARS!$B96,'BONUS RAW'!$J:$J,"KUDOS")</f>
        <v>0</v>
      </c>
      <c r="N96" s="324">
        <f>IF(AND(SUMIFS('ATTENDANCE RAW'!$I:$I,'ATTENDANCE RAW'!$E:$E,BIDWARS!$B96)=0,SUMIFS('ATTENDANCE RAW'!$J:$J,'ATTENDANCE RAW'!$E:$E,BIDWARS!$B96)=0),1,0)</f>
        <v>1</v>
      </c>
      <c r="O96" s="241" t="str">
        <f>IF(ISERROR(VLOOKUP($B96,'ATTRITION RAW'!$E:$E,1,0)),"ACTIVE","INACTIVE")</f>
        <v>ACTIVE</v>
      </c>
      <c r="P96" s="432">
        <f t="shared" si="12"/>
        <v>120</v>
      </c>
      <c r="Q96" s="432">
        <f t="shared" si="13"/>
        <v>270</v>
      </c>
      <c r="R96" s="432">
        <f t="shared" si="14"/>
        <v>200</v>
      </c>
      <c r="S96" s="432" t="str">
        <f t="shared" si="15"/>
        <v>-</v>
      </c>
      <c r="T96" s="432" t="str">
        <f t="shared" si="16"/>
        <v>-</v>
      </c>
      <c r="U96" s="432">
        <f t="shared" si="10"/>
        <v>0</v>
      </c>
      <c r="V96" s="432">
        <f t="shared" si="11"/>
        <v>50</v>
      </c>
      <c r="W96" s="433">
        <f t="shared" si="17"/>
        <v>640</v>
      </c>
    </row>
    <row r="97" spans="1:23">
      <c r="A97" s="2">
        <f>RESOURCES!B93</f>
        <v>90</v>
      </c>
      <c r="B97" s="431">
        <f>RESOURCES!C93</f>
        <v>10072256</v>
      </c>
      <c r="C97" s="431" t="str">
        <f>RESOURCES!D93</f>
        <v>LANSIGAN, ERICKA R.</v>
      </c>
      <c r="D97" s="2" t="str">
        <f>RESOURCES!E93</f>
        <v>Web Designer</v>
      </c>
      <c r="E97" s="2" t="str">
        <f>RESOURCES!F93</f>
        <v>DE LOS SANTOS, Richard</v>
      </c>
      <c r="F97" s="2" t="str">
        <f>RESOURCES!G93</f>
        <v>TAGUILASO, Daryl</v>
      </c>
      <c r="G97" s="2">
        <f>ROUNDUP(SUMIFS('PRODUCTIVITY RAW'!$L:$L,'PRODUCTIVITY RAW'!$B:$B,BIDWARS!$B97),0)</f>
        <v>257</v>
      </c>
      <c r="H97" s="16">
        <f>IFERROR(IF($D97="Proofreader",INDEX('CHURN RAW'!$H:$H,MATCH("SITE LEVEL",'CHURN RAW'!$C:$C,0)),IF($D97="Internal Mods (PSI)","-",INDEX(RESOURCES!$X:$X,MATCH(BIDWARS!$B97,RESOURCES!$C:$C,0)))),"-")</f>
        <v>0.9</v>
      </c>
      <c r="I97" s="16">
        <f>IFERROR(ROUNDUP(INDEX(RESOURCES!$Y:$Y,MATCH(BIDWARS!$B97,RESOURCES!$C:$C,0)),2),"-")</f>
        <v>1</v>
      </c>
      <c r="J97" s="16" t="str">
        <f>IFERROR(ROUNDUP(INDEX(RESOURCES!$AA:$AA,MATCH(BIDWARS!$B97,RESOURCES!$C:$C,0)),2),"-")</f>
        <v>-</v>
      </c>
      <c r="K97" s="16" t="str">
        <f>IFERROR(VLOOKUP($C97,'CE RAW'!$D:$H,4,FALSE),"-")</f>
        <v>-</v>
      </c>
      <c r="L97" s="16" t="str">
        <f>IFERROR(VLOOKUP($C97,'CE RAW'!$D:$H,5,FALSE),"-")</f>
        <v>-</v>
      </c>
      <c r="M97" s="2">
        <f>COUNTIFS('BONUS RAW'!$D:$D,BIDWARS!$B97,'BONUS RAW'!$J:$J,"KUDOS")</f>
        <v>0</v>
      </c>
      <c r="N97" s="324">
        <f>IF(AND(SUMIFS('ATTENDANCE RAW'!$I:$I,'ATTENDANCE RAW'!$E:$E,BIDWARS!$B97)=0,SUMIFS('ATTENDANCE RAW'!$J:$J,'ATTENDANCE RAW'!$E:$E,BIDWARS!$B97)=0),1,0)</f>
        <v>0</v>
      </c>
      <c r="O97" s="241" t="str">
        <f>IF(ISERROR(VLOOKUP($B97,'ATTRITION RAW'!$E:$E,1,0)),"ACTIVE","INACTIVE")</f>
        <v>ACTIVE</v>
      </c>
      <c r="P97" s="432">
        <f t="shared" si="12"/>
        <v>257</v>
      </c>
      <c r="Q97" s="432">
        <f t="shared" si="13"/>
        <v>270</v>
      </c>
      <c r="R97" s="432">
        <f t="shared" si="14"/>
        <v>200</v>
      </c>
      <c r="S97" s="432" t="str">
        <f t="shared" si="15"/>
        <v>-</v>
      </c>
      <c r="T97" s="432" t="str">
        <f t="shared" si="16"/>
        <v>-</v>
      </c>
      <c r="U97" s="432">
        <f t="shared" si="10"/>
        <v>0</v>
      </c>
      <c r="V97" s="432">
        <f t="shared" si="11"/>
        <v>0</v>
      </c>
      <c r="W97" s="433">
        <f t="shared" si="17"/>
        <v>727</v>
      </c>
    </row>
    <row r="98" spans="1:23">
      <c r="A98" s="2">
        <f>RESOURCES!B94</f>
        <v>91</v>
      </c>
      <c r="B98" s="431">
        <f>RESOURCES!C94</f>
        <v>10071811</v>
      </c>
      <c r="C98" s="431" t="str">
        <f>RESOURCES!D94</f>
        <v>LITAM, JOHN DEXTER M.</v>
      </c>
      <c r="D98" s="2" t="str">
        <f>RESOURCES!E94</f>
        <v>Web Designer</v>
      </c>
      <c r="E98" s="2" t="str">
        <f>RESOURCES!F94</f>
        <v>DE LOS SANTOS, Richard</v>
      </c>
      <c r="F98" s="2" t="str">
        <f>RESOURCES!G94</f>
        <v>TAGUILASO, Daryl</v>
      </c>
      <c r="G98" s="2">
        <f>ROUNDUP(SUMIFS('PRODUCTIVITY RAW'!$L:$L,'PRODUCTIVITY RAW'!$B:$B,BIDWARS!$B98),0)</f>
        <v>89</v>
      </c>
      <c r="H98" s="16">
        <f>IFERROR(IF($D98="Proofreader",INDEX('CHURN RAW'!$H:$H,MATCH("SITE LEVEL",'CHURN RAW'!$C:$C,0)),IF($D98="Internal Mods (PSI)","-",INDEX(RESOURCES!$X:$X,MATCH(BIDWARS!$B98,RESOURCES!$C:$C,0)))),"-")</f>
        <v>1</v>
      </c>
      <c r="I98" s="16">
        <f>IFERROR(ROUNDUP(INDEX(RESOURCES!$Y:$Y,MATCH(BIDWARS!$B98,RESOURCES!$C:$C,0)),2),"-")</f>
        <v>1</v>
      </c>
      <c r="J98" s="16" t="str">
        <f>IFERROR(ROUNDUP(INDEX(RESOURCES!$AA:$AA,MATCH(BIDWARS!$B98,RESOURCES!$C:$C,0)),2),"-")</f>
        <v>-</v>
      </c>
      <c r="K98" s="16" t="str">
        <f>IFERROR(VLOOKUP($C98,'CE RAW'!$D:$H,4,FALSE),"-")</f>
        <v>-</v>
      </c>
      <c r="L98" s="16" t="str">
        <f>IFERROR(VLOOKUP($C98,'CE RAW'!$D:$H,5,FALSE),"-")</f>
        <v>-</v>
      </c>
      <c r="M98" s="2">
        <f>COUNTIFS('BONUS RAW'!$D:$D,BIDWARS!$B98,'BONUS RAW'!$J:$J,"KUDOS")</f>
        <v>0</v>
      </c>
      <c r="N98" s="324">
        <f>IF(AND(SUMIFS('ATTENDANCE RAW'!$I:$I,'ATTENDANCE RAW'!$E:$E,BIDWARS!$B98)=0,SUMIFS('ATTENDANCE RAW'!$J:$J,'ATTENDANCE RAW'!$E:$E,BIDWARS!$B98)=0),1,0)</f>
        <v>0</v>
      </c>
      <c r="O98" s="241" t="str">
        <f>IF(ISERROR(VLOOKUP($B98,'ATTRITION RAW'!$E:$E,1,0)),"ACTIVE","INACTIVE")</f>
        <v>ACTIVE</v>
      </c>
      <c r="P98" s="432">
        <f t="shared" si="12"/>
        <v>89</v>
      </c>
      <c r="Q98" s="432">
        <f t="shared" si="13"/>
        <v>400</v>
      </c>
      <c r="R98" s="432">
        <f t="shared" si="14"/>
        <v>200</v>
      </c>
      <c r="S98" s="432" t="str">
        <f t="shared" si="15"/>
        <v>-</v>
      </c>
      <c r="T98" s="432" t="str">
        <f t="shared" si="16"/>
        <v>-</v>
      </c>
      <c r="U98" s="432">
        <f t="shared" si="10"/>
        <v>0</v>
      </c>
      <c r="V98" s="432">
        <f t="shared" si="11"/>
        <v>0</v>
      </c>
      <c r="W98" s="433">
        <f t="shared" si="17"/>
        <v>689</v>
      </c>
    </row>
    <row r="99" spans="1:23">
      <c r="A99" s="2">
        <f>RESOURCES!B95</f>
        <v>92</v>
      </c>
      <c r="B99" s="431">
        <f>RESOURCES!C95</f>
        <v>10072516</v>
      </c>
      <c r="C99" s="431" t="str">
        <f>RESOURCES!D95</f>
        <v>MARTINEZ, LYCEL L.</v>
      </c>
      <c r="D99" s="2" t="str">
        <f>RESOURCES!E95</f>
        <v>Web Designer</v>
      </c>
      <c r="E99" s="2" t="str">
        <f>RESOURCES!F95</f>
        <v>DE LOS SANTOS, Richard</v>
      </c>
      <c r="F99" s="2" t="str">
        <f>RESOURCES!G95</f>
        <v>TAGUILASO, Daryl</v>
      </c>
      <c r="G99" s="2">
        <f>ROUNDUP(SUMIFS('PRODUCTIVITY RAW'!$L:$L,'PRODUCTIVITY RAW'!$B:$B,BIDWARS!$B99),0)</f>
        <v>174</v>
      </c>
      <c r="H99" s="16">
        <f>IFERROR(IF($D99="Proofreader",INDEX('CHURN RAW'!$H:$H,MATCH("SITE LEVEL",'CHURN RAW'!$C:$C,0)),IF($D99="Internal Mods (PSI)","-",INDEX(RESOURCES!$X:$X,MATCH(BIDWARS!$B99,RESOURCES!$C:$C,0)))),"-")</f>
        <v>0.9</v>
      </c>
      <c r="I99" s="16">
        <f>IFERROR(ROUNDUP(INDEX(RESOURCES!$Y:$Y,MATCH(BIDWARS!$B99,RESOURCES!$C:$C,0)),2),"-")</f>
        <v>1</v>
      </c>
      <c r="J99" s="16" t="str">
        <f>IFERROR(ROUNDUP(INDEX(RESOURCES!$AA:$AA,MATCH(BIDWARS!$B99,RESOURCES!$C:$C,0)),2),"-")</f>
        <v>-</v>
      </c>
      <c r="K99" s="16" t="str">
        <f>IFERROR(VLOOKUP($C99,'CE RAW'!$D:$H,4,FALSE),"-")</f>
        <v>-</v>
      </c>
      <c r="L99" s="16" t="str">
        <f>IFERROR(VLOOKUP($C99,'CE RAW'!$D:$H,5,FALSE),"-")</f>
        <v>-</v>
      </c>
      <c r="M99" s="2">
        <f>COUNTIFS('BONUS RAW'!$D:$D,BIDWARS!$B99,'BONUS RAW'!$J:$J,"KUDOS")</f>
        <v>0</v>
      </c>
      <c r="N99" s="324">
        <f>IF(AND(SUMIFS('ATTENDANCE RAW'!$I:$I,'ATTENDANCE RAW'!$E:$E,BIDWARS!$B99)=0,SUMIFS('ATTENDANCE RAW'!$J:$J,'ATTENDANCE RAW'!$E:$E,BIDWARS!$B99)=0),1,0)</f>
        <v>0</v>
      </c>
      <c r="O99" s="241" t="str">
        <f>IF(ISERROR(VLOOKUP($B99,'ATTRITION RAW'!$E:$E,1,0)),"ACTIVE","INACTIVE")</f>
        <v>ACTIVE</v>
      </c>
      <c r="P99" s="432">
        <f t="shared" si="12"/>
        <v>174</v>
      </c>
      <c r="Q99" s="432">
        <f t="shared" si="13"/>
        <v>270</v>
      </c>
      <c r="R99" s="432">
        <f t="shared" si="14"/>
        <v>200</v>
      </c>
      <c r="S99" s="432" t="str">
        <f t="shared" si="15"/>
        <v>-</v>
      </c>
      <c r="T99" s="432" t="str">
        <f t="shared" si="16"/>
        <v>-</v>
      </c>
      <c r="U99" s="432">
        <f t="shared" si="10"/>
        <v>0</v>
      </c>
      <c r="V99" s="432">
        <f t="shared" si="11"/>
        <v>0</v>
      </c>
      <c r="W99" s="433">
        <f t="shared" si="17"/>
        <v>644</v>
      </c>
    </row>
    <row r="100" spans="1:23">
      <c r="A100" s="2">
        <f>RESOURCES!B96</f>
        <v>93</v>
      </c>
      <c r="B100" s="431">
        <f>RESOURCES!C96</f>
        <v>10072243</v>
      </c>
      <c r="C100" s="431" t="str">
        <f>RESOURCES!D96</f>
        <v>SAULON, JOHN ARCHER L.</v>
      </c>
      <c r="D100" s="2" t="str">
        <f>RESOURCES!E96</f>
        <v>Senior Web Designer</v>
      </c>
      <c r="E100" s="2" t="str">
        <f>RESOURCES!F96</f>
        <v>DE LOS SANTOS, Richard</v>
      </c>
      <c r="F100" s="2" t="str">
        <f>RESOURCES!G96</f>
        <v>TAGUILASO, Daryl</v>
      </c>
      <c r="G100" s="2">
        <f>ROUNDUP(SUMIFS('PRODUCTIVITY RAW'!$L:$L,'PRODUCTIVITY RAW'!$B:$B,BIDWARS!$B100),0)</f>
        <v>143</v>
      </c>
      <c r="H100" s="16">
        <f>IFERROR(IF($D100="Proofreader",INDEX('CHURN RAW'!$H:$H,MATCH("SITE LEVEL",'CHURN RAW'!$C:$C,0)),IF($D100="Internal Mods (PSI)","-",INDEX(RESOURCES!$X:$X,MATCH(BIDWARS!$B100,RESOURCES!$C:$C,0)))),"-")</f>
        <v>1</v>
      </c>
      <c r="I100" s="16">
        <f>IFERROR(ROUNDUP(INDEX(RESOURCES!$Y:$Y,MATCH(BIDWARS!$B100,RESOURCES!$C:$C,0)),2),"-")</f>
        <v>1</v>
      </c>
      <c r="J100" s="16" t="str">
        <f>IFERROR(ROUNDUP(INDEX(RESOURCES!$AA:$AA,MATCH(BIDWARS!$B100,RESOURCES!$C:$C,0)),2),"-")</f>
        <v>-</v>
      </c>
      <c r="K100" s="16" t="str">
        <f>IFERROR(VLOOKUP($C100,'CE RAW'!$D:$H,4,FALSE),"-")</f>
        <v>-</v>
      </c>
      <c r="L100" s="16" t="str">
        <f>IFERROR(VLOOKUP($C100,'CE RAW'!$D:$H,5,FALSE),"-")</f>
        <v>-</v>
      </c>
      <c r="M100" s="2">
        <f>COUNTIFS('BONUS RAW'!$D:$D,BIDWARS!$B100,'BONUS RAW'!$J:$J,"KUDOS")</f>
        <v>0</v>
      </c>
      <c r="N100" s="324">
        <f>IF(AND(SUMIFS('ATTENDANCE RAW'!$I:$I,'ATTENDANCE RAW'!$E:$E,BIDWARS!$B100)=0,SUMIFS('ATTENDANCE RAW'!$J:$J,'ATTENDANCE RAW'!$E:$E,BIDWARS!$B100)=0),1,0)</f>
        <v>1</v>
      </c>
      <c r="O100" s="241" t="str">
        <f>IF(ISERROR(VLOOKUP($B100,'ATTRITION RAW'!$E:$E,1,0)),"ACTIVE","INACTIVE")</f>
        <v>ACTIVE</v>
      </c>
      <c r="P100" s="432">
        <f t="shared" si="12"/>
        <v>143</v>
      </c>
      <c r="Q100" s="432">
        <f t="shared" si="13"/>
        <v>400</v>
      </c>
      <c r="R100" s="432">
        <f t="shared" si="14"/>
        <v>200</v>
      </c>
      <c r="S100" s="432" t="str">
        <f t="shared" si="15"/>
        <v>-</v>
      </c>
      <c r="T100" s="432" t="str">
        <f t="shared" si="16"/>
        <v>-</v>
      </c>
      <c r="U100" s="432">
        <f t="shared" ref="U100:U131" si="18">IFERROR(M100*U$1,"-")</f>
        <v>0</v>
      </c>
      <c r="V100" s="432">
        <f t="shared" ref="V100:V131" si="19">IFERROR(N100*V$1,"-")</f>
        <v>50</v>
      </c>
      <c r="W100" s="433">
        <f t="shared" si="17"/>
        <v>793</v>
      </c>
    </row>
    <row r="101" spans="1:23">
      <c r="A101" s="2">
        <f>RESOURCES!B97</f>
        <v>94</v>
      </c>
      <c r="B101" s="431">
        <f>RESOURCES!C97</f>
        <v>10072096</v>
      </c>
      <c r="C101" s="431" t="str">
        <f>RESOURCES!D97</f>
        <v>TALANIA, DEAN FELIX G.</v>
      </c>
      <c r="D101" s="2" t="str">
        <f>RESOURCES!E97</f>
        <v>Web Designer</v>
      </c>
      <c r="E101" s="2" t="str">
        <f>RESOURCES!F97</f>
        <v>DE LOS SANTOS, Richard</v>
      </c>
      <c r="F101" s="2" t="str">
        <f>RESOURCES!G97</f>
        <v>TAGUILASO, Daryl</v>
      </c>
      <c r="G101" s="2">
        <f>ROUNDUP(SUMIFS('PRODUCTIVITY RAW'!$L:$L,'PRODUCTIVITY RAW'!$B:$B,BIDWARS!$B101),0)</f>
        <v>106</v>
      </c>
      <c r="H101" s="16">
        <f>IFERROR(IF($D101="Proofreader",INDEX('CHURN RAW'!$H:$H,MATCH("SITE LEVEL",'CHURN RAW'!$C:$C,0)),IF($D101="Internal Mods (PSI)","-",INDEX(RESOURCES!$X:$X,MATCH(BIDWARS!$B101,RESOURCES!$C:$C,0)))),"-")</f>
        <v>0.9</v>
      </c>
      <c r="I101" s="16">
        <f>IFERROR(ROUNDUP(INDEX(RESOURCES!$Y:$Y,MATCH(BIDWARS!$B101,RESOURCES!$C:$C,0)),2),"-")</f>
        <v>1</v>
      </c>
      <c r="J101" s="16" t="str">
        <f>IFERROR(ROUNDUP(INDEX(RESOURCES!$AA:$AA,MATCH(BIDWARS!$B101,RESOURCES!$C:$C,0)),2),"-")</f>
        <v>-</v>
      </c>
      <c r="K101" s="16" t="str">
        <f>IFERROR(VLOOKUP($C101,'CE RAW'!$D:$H,4,FALSE),"-")</f>
        <v>-</v>
      </c>
      <c r="L101" s="16" t="str">
        <f>IFERROR(VLOOKUP($C101,'CE RAW'!$D:$H,5,FALSE),"-")</f>
        <v>-</v>
      </c>
      <c r="M101" s="2">
        <f>COUNTIFS('BONUS RAW'!$D:$D,BIDWARS!$B101,'BONUS RAW'!$J:$J,"KUDOS")</f>
        <v>0</v>
      </c>
      <c r="N101" s="324">
        <f>IF(AND(SUMIFS('ATTENDANCE RAW'!$I:$I,'ATTENDANCE RAW'!$E:$E,BIDWARS!$B101)=0,SUMIFS('ATTENDANCE RAW'!$J:$J,'ATTENDANCE RAW'!$E:$E,BIDWARS!$B101)=0),1,0)</f>
        <v>0</v>
      </c>
      <c r="O101" s="241" t="str">
        <f>IF(ISERROR(VLOOKUP($B101,'ATTRITION RAW'!$E:$E,1,0)),"ACTIVE","INACTIVE")</f>
        <v>ACTIVE</v>
      </c>
      <c r="P101" s="432">
        <f t="shared" si="12"/>
        <v>106</v>
      </c>
      <c r="Q101" s="432">
        <f t="shared" si="13"/>
        <v>270</v>
      </c>
      <c r="R101" s="432">
        <f t="shared" si="14"/>
        <v>200</v>
      </c>
      <c r="S101" s="432" t="str">
        <f t="shared" si="15"/>
        <v>-</v>
      </c>
      <c r="T101" s="432" t="str">
        <f t="shared" si="16"/>
        <v>-</v>
      </c>
      <c r="U101" s="432">
        <f t="shared" si="18"/>
        <v>0</v>
      </c>
      <c r="V101" s="432">
        <f t="shared" si="19"/>
        <v>0</v>
      </c>
      <c r="W101" s="433">
        <f t="shared" si="17"/>
        <v>576</v>
      </c>
    </row>
    <row r="102" spans="1:23">
      <c r="A102" s="2">
        <f>RESOURCES!B98</f>
        <v>95</v>
      </c>
      <c r="B102" s="431">
        <f>RESOURCES!C98</f>
        <v>10071432</v>
      </c>
      <c r="C102" s="431" t="str">
        <f>RESOURCES!D98</f>
        <v>LARDIZABAL, JAN O.</v>
      </c>
      <c r="D102" s="2" t="str">
        <f>RESOURCES!E98</f>
        <v>Senior Web Designer</v>
      </c>
      <c r="E102" s="2" t="str">
        <f>RESOURCES!F98</f>
        <v>DE LOS SANTOS, Richard</v>
      </c>
      <c r="F102" s="2" t="str">
        <f>RESOURCES!G98</f>
        <v>TAGUILASO, Daryl</v>
      </c>
      <c r="G102" s="2">
        <f>ROUNDUP(SUMIFS('PRODUCTIVITY RAW'!$L:$L,'PRODUCTIVITY RAW'!$B:$B,BIDWARS!$B102),0)</f>
        <v>143</v>
      </c>
      <c r="H102" s="16">
        <f>IFERROR(IF($D102="Proofreader",INDEX('CHURN RAW'!$H:$H,MATCH("SITE LEVEL",'CHURN RAW'!$C:$C,0)),IF($D102="Internal Mods (PSI)","-",INDEX(RESOURCES!$X:$X,MATCH(BIDWARS!$B102,RESOURCES!$C:$C,0)))),"-")</f>
        <v>1</v>
      </c>
      <c r="I102" s="16">
        <f>IFERROR(ROUNDUP(INDEX(RESOURCES!$Y:$Y,MATCH(BIDWARS!$B102,RESOURCES!$C:$C,0)),2),"-")</f>
        <v>1</v>
      </c>
      <c r="J102" s="16" t="str">
        <f>IFERROR(ROUNDUP(INDEX(RESOURCES!$AA:$AA,MATCH(BIDWARS!$B102,RESOURCES!$C:$C,0)),2),"-")</f>
        <v>-</v>
      </c>
      <c r="K102" s="16" t="str">
        <f>IFERROR(VLOOKUP($C102,'CE RAW'!$D:$H,4,FALSE),"-")</f>
        <v>-</v>
      </c>
      <c r="L102" s="16" t="str">
        <f>IFERROR(VLOOKUP($C102,'CE RAW'!$D:$H,5,FALSE),"-")</f>
        <v>-</v>
      </c>
      <c r="M102" s="2">
        <f>COUNTIFS('BONUS RAW'!$D:$D,BIDWARS!$B102,'BONUS RAW'!$J:$J,"KUDOS")</f>
        <v>0</v>
      </c>
      <c r="N102" s="324">
        <f>IF(AND(SUMIFS('ATTENDANCE RAW'!$I:$I,'ATTENDANCE RAW'!$E:$E,BIDWARS!$B102)=0,SUMIFS('ATTENDANCE RAW'!$J:$J,'ATTENDANCE RAW'!$E:$E,BIDWARS!$B102)=0),1,0)</f>
        <v>0</v>
      </c>
      <c r="O102" s="241" t="str">
        <f>IF(ISERROR(VLOOKUP($B102,'ATTRITION RAW'!$E:$E,1,0)),"ACTIVE","INACTIVE")</f>
        <v>ACTIVE</v>
      </c>
      <c r="P102" s="432">
        <f t="shared" si="12"/>
        <v>143</v>
      </c>
      <c r="Q102" s="432">
        <f t="shared" si="13"/>
        <v>400</v>
      </c>
      <c r="R102" s="432">
        <f t="shared" si="14"/>
        <v>200</v>
      </c>
      <c r="S102" s="432" t="str">
        <f t="shared" si="15"/>
        <v>-</v>
      </c>
      <c r="T102" s="432" t="str">
        <f t="shared" si="16"/>
        <v>-</v>
      </c>
      <c r="U102" s="432">
        <f t="shared" si="18"/>
        <v>0</v>
      </c>
      <c r="V102" s="432">
        <f t="shared" si="19"/>
        <v>0</v>
      </c>
      <c r="W102" s="433">
        <f t="shared" si="17"/>
        <v>743</v>
      </c>
    </row>
    <row r="103" spans="1:23">
      <c r="A103" s="2">
        <f>RESOURCES!B99</f>
        <v>96</v>
      </c>
      <c r="B103" s="431">
        <f>RESOURCES!C99</f>
        <v>10071188</v>
      </c>
      <c r="C103" s="431" t="str">
        <f>RESOURCES!D99</f>
        <v>CABAUATAN, JOHN BENNETH B.</v>
      </c>
      <c r="D103" s="2" t="str">
        <f>RESOURCES!E99</f>
        <v>Web Designer</v>
      </c>
      <c r="E103" s="2" t="str">
        <f>RESOURCES!F99</f>
        <v>DE LOS SANTOS, Richard</v>
      </c>
      <c r="F103" s="2" t="str">
        <f>RESOURCES!G99</f>
        <v>TAGUILASO, Daryl</v>
      </c>
      <c r="G103" s="2">
        <f>ROUNDUP(SUMIFS('PRODUCTIVITY RAW'!$L:$L,'PRODUCTIVITY RAW'!$B:$B,BIDWARS!$B103),0)</f>
        <v>160</v>
      </c>
      <c r="H103" s="16">
        <f>IFERROR(IF($D103="Proofreader",INDEX('CHURN RAW'!$H:$H,MATCH("SITE LEVEL",'CHURN RAW'!$C:$C,0)),IF($D103="Internal Mods (PSI)","-",INDEX(RESOURCES!$X:$X,MATCH(BIDWARS!$B103,RESOURCES!$C:$C,0)))),"-")</f>
        <v>0.8</v>
      </c>
      <c r="I103" s="16">
        <f>IFERROR(ROUNDUP(INDEX(RESOURCES!$Y:$Y,MATCH(BIDWARS!$B103,RESOURCES!$C:$C,0)),2),"-")</f>
        <v>1</v>
      </c>
      <c r="J103" s="16" t="str">
        <f>IFERROR(ROUNDUP(INDEX(RESOURCES!$AA:$AA,MATCH(BIDWARS!$B103,RESOURCES!$C:$C,0)),2),"-")</f>
        <v>-</v>
      </c>
      <c r="K103" s="16" t="str">
        <f>IFERROR(VLOOKUP($C103,'CE RAW'!$D:$H,4,FALSE),"-")</f>
        <v>-</v>
      </c>
      <c r="L103" s="16" t="str">
        <f>IFERROR(VLOOKUP($C103,'CE RAW'!$D:$H,5,FALSE),"-")</f>
        <v>-</v>
      </c>
      <c r="M103" s="2">
        <f>COUNTIFS('BONUS RAW'!$D:$D,BIDWARS!$B103,'BONUS RAW'!$J:$J,"KUDOS")</f>
        <v>0</v>
      </c>
      <c r="N103" s="324">
        <f>IF(AND(SUMIFS('ATTENDANCE RAW'!$I:$I,'ATTENDANCE RAW'!$E:$E,BIDWARS!$B103)=0,SUMIFS('ATTENDANCE RAW'!$J:$J,'ATTENDANCE RAW'!$E:$E,BIDWARS!$B103)=0),1,0)</f>
        <v>0</v>
      </c>
      <c r="O103" s="241" t="str">
        <f>IF(ISERROR(VLOOKUP($B103,'ATTRITION RAW'!$E:$E,1,0)),"ACTIVE","INACTIVE")</f>
        <v>ACTIVE</v>
      </c>
      <c r="P103" s="432">
        <f t="shared" si="12"/>
        <v>160</v>
      </c>
      <c r="Q103" s="432">
        <f t="shared" si="13"/>
        <v>160</v>
      </c>
      <c r="R103" s="432">
        <f t="shared" si="14"/>
        <v>200</v>
      </c>
      <c r="S103" s="432" t="str">
        <f t="shared" si="15"/>
        <v>-</v>
      </c>
      <c r="T103" s="432" t="str">
        <f t="shared" si="16"/>
        <v>-</v>
      </c>
      <c r="U103" s="432">
        <f t="shared" si="18"/>
        <v>0</v>
      </c>
      <c r="V103" s="432">
        <f t="shared" si="19"/>
        <v>0</v>
      </c>
      <c r="W103" s="433">
        <f t="shared" si="17"/>
        <v>520</v>
      </c>
    </row>
    <row r="104" spans="1:23">
      <c r="A104" s="2">
        <f>RESOURCES!B100</f>
        <v>97</v>
      </c>
      <c r="B104" s="431">
        <f>RESOURCES!C100</f>
        <v>10072244</v>
      </c>
      <c r="C104" s="431" t="str">
        <f>RESOURCES!D100</f>
        <v>CANTAL, JINKY E.</v>
      </c>
      <c r="D104" s="2" t="str">
        <f>RESOURCES!E100</f>
        <v>Web Designer</v>
      </c>
      <c r="E104" s="2" t="str">
        <f>RESOURCES!F100</f>
        <v>CRUZ, Noel</v>
      </c>
      <c r="F104" s="2" t="str">
        <f>RESOURCES!G100</f>
        <v>TAGUILASO, Daryl</v>
      </c>
      <c r="G104" s="2">
        <f>ROUNDUP(SUMIFS('PRODUCTIVITY RAW'!$L:$L,'PRODUCTIVITY RAW'!$B:$B,BIDWARS!$B104),0)</f>
        <v>107</v>
      </c>
      <c r="H104" s="16">
        <f>IFERROR(IF($D104="Proofreader",INDEX('CHURN RAW'!$H:$H,MATCH("SITE LEVEL",'CHURN RAW'!$C:$C,0)),IF($D104="Internal Mods (PSI)","-",INDEX(RESOURCES!$X:$X,MATCH(BIDWARS!$B104,RESOURCES!$C:$C,0)))),"-")</f>
        <v>0.7</v>
      </c>
      <c r="I104" s="16">
        <f>IFERROR(ROUNDUP(INDEX(RESOURCES!$Y:$Y,MATCH(BIDWARS!$B104,RESOURCES!$C:$C,0)),2),"-")</f>
        <v>1</v>
      </c>
      <c r="J104" s="16" t="str">
        <f>IFERROR(ROUNDUP(INDEX(RESOURCES!$AA:$AA,MATCH(BIDWARS!$B104,RESOURCES!$C:$C,0)),2),"-")</f>
        <v>-</v>
      </c>
      <c r="K104" s="16" t="str">
        <f>IFERROR(VLOOKUP($C104,'CE RAW'!$D:$H,4,FALSE),"-")</f>
        <v>-</v>
      </c>
      <c r="L104" s="16" t="str">
        <f>IFERROR(VLOOKUP($C104,'CE RAW'!$D:$H,5,FALSE),"-")</f>
        <v>-</v>
      </c>
      <c r="M104" s="2">
        <f>COUNTIFS('BONUS RAW'!$D:$D,BIDWARS!$B104,'BONUS RAW'!$J:$J,"KUDOS")</f>
        <v>0</v>
      </c>
      <c r="N104" s="324">
        <f>IF(AND(SUMIFS('ATTENDANCE RAW'!$I:$I,'ATTENDANCE RAW'!$E:$E,BIDWARS!$B104)=0,SUMIFS('ATTENDANCE RAW'!$J:$J,'ATTENDANCE RAW'!$E:$E,BIDWARS!$B104)=0),1,0)</f>
        <v>0</v>
      </c>
      <c r="O104" s="241" t="str">
        <f>IF(ISERROR(VLOOKUP($B104,'ATTRITION RAW'!$E:$E,1,0)),"ACTIVE","INACTIVE")</f>
        <v>ACTIVE</v>
      </c>
      <c r="P104" s="432">
        <f t="shared" si="12"/>
        <v>107</v>
      </c>
      <c r="Q104" s="432">
        <f t="shared" si="13"/>
        <v>140</v>
      </c>
      <c r="R104" s="432">
        <f t="shared" si="14"/>
        <v>200</v>
      </c>
      <c r="S104" s="432" t="str">
        <f t="shared" si="15"/>
        <v>-</v>
      </c>
      <c r="T104" s="432" t="str">
        <f t="shared" si="16"/>
        <v>-</v>
      </c>
      <c r="U104" s="432">
        <f t="shared" si="18"/>
        <v>0</v>
      </c>
      <c r="V104" s="432">
        <f t="shared" si="19"/>
        <v>0</v>
      </c>
      <c r="W104" s="433">
        <f t="shared" si="17"/>
        <v>447</v>
      </c>
    </row>
    <row r="105" spans="1:23">
      <c r="A105" s="2">
        <f>RESOURCES!B101</f>
        <v>98</v>
      </c>
      <c r="B105" s="431">
        <f>RESOURCES!C101</f>
        <v>10072449</v>
      </c>
      <c r="C105" s="431" t="str">
        <f>RESOURCES!D101</f>
        <v>GUDEN, JACK THOMSON D.</v>
      </c>
      <c r="D105" s="2" t="str">
        <f>RESOURCES!E101</f>
        <v>Web Designer</v>
      </c>
      <c r="E105" s="2" t="str">
        <f>RESOURCES!F101</f>
        <v>CRUZ, Noel</v>
      </c>
      <c r="F105" s="2" t="str">
        <f>RESOURCES!G101</f>
        <v>TAGUILASO, Daryl</v>
      </c>
      <c r="G105" s="2">
        <f>ROUNDUP(SUMIFS('PRODUCTIVITY RAW'!$L:$L,'PRODUCTIVITY RAW'!$B:$B,BIDWARS!$B105),0)</f>
        <v>129</v>
      </c>
      <c r="H105" s="16">
        <f>IFERROR(IF($D105="Proofreader",INDEX('CHURN RAW'!$H:$H,MATCH("SITE LEVEL",'CHURN RAW'!$C:$C,0)),IF($D105="Internal Mods (PSI)","-",INDEX(RESOURCES!$X:$X,MATCH(BIDWARS!$B105,RESOURCES!$C:$C,0)))),"-")</f>
        <v>0.8</v>
      </c>
      <c r="I105" s="16">
        <f>IFERROR(ROUNDUP(INDEX(RESOURCES!$Y:$Y,MATCH(BIDWARS!$B105,RESOURCES!$C:$C,0)),2),"-")</f>
        <v>1</v>
      </c>
      <c r="J105" s="16" t="str">
        <f>IFERROR(ROUNDUP(INDEX(RESOURCES!$AA:$AA,MATCH(BIDWARS!$B105,RESOURCES!$C:$C,0)),2),"-")</f>
        <v>-</v>
      </c>
      <c r="K105" s="16" t="str">
        <f>IFERROR(VLOOKUP($C105,'CE RAW'!$D:$H,4,FALSE),"-")</f>
        <v>-</v>
      </c>
      <c r="L105" s="16" t="str">
        <f>IFERROR(VLOOKUP($C105,'CE RAW'!$D:$H,5,FALSE),"-")</f>
        <v>-</v>
      </c>
      <c r="M105" s="2">
        <f>COUNTIFS('BONUS RAW'!$D:$D,BIDWARS!$B105,'BONUS RAW'!$J:$J,"KUDOS")</f>
        <v>0</v>
      </c>
      <c r="N105" s="324">
        <f>IF(AND(SUMIFS('ATTENDANCE RAW'!$I:$I,'ATTENDANCE RAW'!$E:$E,BIDWARS!$B105)=0,SUMIFS('ATTENDANCE RAW'!$J:$J,'ATTENDANCE RAW'!$E:$E,BIDWARS!$B105)=0),1,0)</f>
        <v>1</v>
      </c>
      <c r="O105" s="241" t="str">
        <f>IF(ISERROR(VLOOKUP($B105,'ATTRITION RAW'!$E:$E,1,0)),"ACTIVE","INACTIVE")</f>
        <v>ACTIVE</v>
      </c>
      <c r="P105" s="432">
        <f t="shared" si="12"/>
        <v>129</v>
      </c>
      <c r="Q105" s="432">
        <f t="shared" si="13"/>
        <v>160</v>
      </c>
      <c r="R105" s="432">
        <f t="shared" si="14"/>
        <v>200</v>
      </c>
      <c r="S105" s="432" t="str">
        <f t="shared" si="15"/>
        <v>-</v>
      </c>
      <c r="T105" s="432" t="str">
        <f t="shared" si="16"/>
        <v>-</v>
      </c>
      <c r="U105" s="432">
        <f t="shared" si="18"/>
        <v>0</v>
      </c>
      <c r="V105" s="432">
        <f t="shared" si="19"/>
        <v>50</v>
      </c>
      <c r="W105" s="433">
        <f t="shared" si="17"/>
        <v>539</v>
      </c>
    </row>
    <row r="106" spans="1:23">
      <c r="A106" s="2">
        <f>RESOURCES!B102</f>
        <v>99</v>
      </c>
      <c r="B106" s="431">
        <f>RESOURCES!C102</f>
        <v>10071692</v>
      </c>
      <c r="C106" s="431" t="str">
        <f>RESOURCES!D102</f>
        <v>MANALO, PAUL ALEXIUS F.</v>
      </c>
      <c r="D106" s="2" t="str">
        <f>RESOURCES!E102</f>
        <v>Web Designer</v>
      </c>
      <c r="E106" s="2" t="str">
        <f>RESOURCES!F102</f>
        <v>CRUZ, Noel</v>
      </c>
      <c r="F106" s="2" t="str">
        <f>RESOURCES!G102</f>
        <v>TAGUILASO, Daryl</v>
      </c>
      <c r="G106" s="2">
        <f>ROUNDUP(SUMIFS('PRODUCTIVITY RAW'!$L:$L,'PRODUCTIVITY RAW'!$B:$B,BIDWARS!$B106),0)</f>
        <v>99</v>
      </c>
      <c r="H106" s="16">
        <f>IFERROR(IF($D106="Proofreader",INDEX('CHURN RAW'!$H:$H,MATCH("SITE LEVEL",'CHURN RAW'!$C:$C,0)),IF($D106="Internal Mods (PSI)","-",INDEX(RESOURCES!$X:$X,MATCH(BIDWARS!$B106,RESOURCES!$C:$C,0)))),"-")</f>
        <v>0.9</v>
      </c>
      <c r="I106" s="16">
        <f>IFERROR(ROUNDUP(INDEX(RESOURCES!$Y:$Y,MATCH(BIDWARS!$B106,RESOURCES!$C:$C,0)),2),"-")</f>
        <v>1</v>
      </c>
      <c r="J106" s="16" t="str">
        <f>IFERROR(ROUNDUP(INDEX(RESOURCES!$AA:$AA,MATCH(BIDWARS!$B106,RESOURCES!$C:$C,0)),2),"-")</f>
        <v>-</v>
      </c>
      <c r="K106" s="16" t="str">
        <f>IFERROR(VLOOKUP($C106,'CE RAW'!$D:$H,4,FALSE),"-")</f>
        <v>-</v>
      </c>
      <c r="L106" s="16" t="str">
        <f>IFERROR(VLOOKUP($C106,'CE RAW'!$D:$H,5,FALSE),"-")</f>
        <v>-</v>
      </c>
      <c r="M106" s="2">
        <f>COUNTIFS('BONUS RAW'!$D:$D,BIDWARS!$B106,'BONUS RAW'!$J:$J,"KUDOS")</f>
        <v>0</v>
      </c>
      <c r="N106" s="324">
        <f>IF(AND(SUMIFS('ATTENDANCE RAW'!$I:$I,'ATTENDANCE RAW'!$E:$E,BIDWARS!$B106)=0,SUMIFS('ATTENDANCE RAW'!$J:$J,'ATTENDANCE RAW'!$E:$E,BIDWARS!$B106)=0),1,0)</f>
        <v>0</v>
      </c>
      <c r="O106" s="241" t="str">
        <f>IF(ISERROR(VLOOKUP($B106,'ATTRITION RAW'!$E:$E,1,0)),"ACTIVE","INACTIVE")</f>
        <v>ACTIVE</v>
      </c>
      <c r="P106" s="432">
        <f t="shared" si="12"/>
        <v>99</v>
      </c>
      <c r="Q106" s="432">
        <f t="shared" si="13"/>
        <v>270</v>
      </c>
      <c r="R106" s="432">
        <f t="shared" si="14"/>
        <v>200</v>
      </c>
      <c r="S106" s="432" t="str">
        <f t="shared" si="15"/>
        <v>-</v>
      </c>
      <c r="T106" s="432" t="str">
        <f t="shared" si="16"/>
        <v>-</v>
      </c>
      <c r="U106" s="432">
        <f t="shared" si="18"/>
        <v>0</v>
      </c>
      <c r="V106" s="432">
        <f t="shared" si="19"/>
        <v>0</v>
      </c>
      <c r="W106" s="433">
        <f t="shared" si="17"/>
        <v>569</v>
      </c>
    </row>
    <row r="107" spans="1:23">
      <c r="A107" s="2">
        <f>RESOURCES!B103</f>
        <v>100</v>
      </c>
      <c r="B107" s="431">
        <f>RESOURCES!C103</f>
        <v>10072180</v>
      </c>
      <c r="C107" s="431" t="str">
        <f>RESOURCES!D103</f>
        <v>ROQUE, CHRISTIAN MARI T.</v>
      </c>
      <c r="D107" s="2" t="str">
        <f>RESOURCES!E103</f>
        <v>Web Designer</v>
      </c>
      <c r="E107" s="2" t="str">
        <f>RESOURCES!F103</f>
        <v>CRUZ, Noel</v>
      </c>
      <c r="F107" s="2" t="str">
        <f>RESOURCES!G103</f>
        <v>TAGUILASO, Daryl</v>
      </c>
      <c r="G107" s="2">
        <f>ROUNDUP(SUMIFS('PRODUCTIVITY RAW'!$L:$L,'PRODUCTIVITY RAW'!$B:$B,BIDWARS!$B107),0)</f>
        <v>132</v>
      </c>
      <c r="H107" s="16">
        <f>IFERROR(IF($D107="Proofreader",INDEX('CHURN RAW'!$H:$H,MATCH("SITE LEVEL",'CHURN RAW'!$C:$C,0)),IF($D107="Internal Mods (PSI)","-",INDEX(RESOURCES!$X:$X,MATCH(BIDWARS!$B107,RESOURCES!$C:$C,0)))),"-")</f>
        <v>0.7</v>
      </c>
      <c r="I107" s="16">
        <f>IFERROR(ROUNDUP(INDEX(RESOURCES!$Y:$Y,MATCH(BIDWARS!$B107,RESOURCES!$C:$C,0)),2),"-")</f>
        <v>1</v>
      </c>
      <c r="J107" s="16" t="str">
        <f>IFERROR(ROUNDUP(INDEX(RESOURCES!$AA:$AA,MATCH(BIDWARS!$B107,RESOURCES!$C:$C,0)),2),"-")</f>
        <v>-</v>
      </c>
      <c r="K107" s="16" t="str">
        <f>IFERROR(VLOOKUP($C107,'CE RAW'!$D:$H,4,FALSE),"-")</f>
        <v>-</v>
      </c>
      <c r="L107" s="16" t="str">
        <f>IFERROR(VLOOKUP($C107,'CE RAW'!$D:$H,5,FALSE),"-")</f>
        <v>-</v>
      </c>
      <c r="M107" s="2">
        <f>COUNTIFS('BONUS RAW'!$D:$D,BIDWARS!$B107,'BONUS RAW'!$J:$J,"KUDOS")</f>
        <v>0</v>
      </c>
      <c r="N107" s="324">
        <f>IF(AND(SUMIFS('ATTENDANCE RAW'!$I:$I,'ATTENDANCE RAW'!$E:$E,BIDWARS!$B107)=0,SUMIFS('ATTENDANCE RAW'!$J:$J,'ATTENDANCE RAW'!$E:$E,BIDWARS!$B107)=0),1,0)</f>
        <v>1</v>
      </c>
      <c r="O107" s="241" t="str">
        <f>IF(ISERROR(VLOOKUP($B107,'ATTRITION RAW'!$E:$E,1,0)),"ACTIVE","INACTIVE")</f>
        <v>ACTIVE</v>
      </c>
      <c r="P107" s="432">
        <f t="shared" si="12"/>
        <v>132</v>
      </c>
      <c r="Q107" s="432">
        <f t="shared" si="13"/>
        <v>140</v>
      </c>
      <c r="R107" s="432">
        <f t="shared" si="14"/>
        <v>200</v>
      </c>
      <c r="S107" s="432" t="str">
        <f t="shared" si="15"/>
        <v>-</v>
      </c>
      <c r="T107" s="432" t="str">
        <f t="shared" si="16"/>
        <v>-</v>
      </c>
      <c r="U107" s="432">
        <f t="shared" si="18"/>
        <v>0</v>
      </c>
      <c r="V107" s="432">
        <f t="shared" si="19"/>
        <v>50</v>
      </c>
      <c r="W107" s="433">
        <f t="shared" si="17"/>
        <v>522</v>
      </c>
    </row>
    <row r="108" spans="1:23">
      <c r="A108" s="2">
        <f>RESOURCES!B104</f>
        <v>101</v>
      </c>
      <c r="B108" s="431">
        <f>RESOURCES!C104</f>
        <v>10072198</v>
      </c>
      <c r="C108" s="431" t="str">
        <f>RESOURCES!D104</f>
        <v>ALLINGAG, EDWIN B., JR.</v>
      </c>
      <c r="D108" s="2" t="str">
        <f>RESOURCES!E104</f>
        <v>Web Designer</v>
      </c>
      <c r="E108" s="2" t="str">
        <f>RESOURCES!F104</f>
        <v>CRUZ, Noel</v>
      </c>
      <c r="F108" s="2" t="str">
        <f>RESOURCES!G104</f>
        <v>TAGUILASO, Daryl</v>
      </c>
      <c r="G108" s="2">
        <f>ROUNDUP(SUMIFS('PRODUCTIVITY RAW'!$L:$L,'PRODUCTIVITY RAW'!$B:$B,BIDWARS!$B108),0)</f>
        <v>105</v>
      </c>
      <c r="H108" s="16">
        <f>IFERROR(IF($D108="Proofreader",INDEX('CHURN RAW'!$H:$H,MATCH("SITE LEVEL",'CHURN RAW'!$C:$C,0)),IF($D108="Internal Mods (PSI)","-",INDEX(RESOURCES!$X:$X,MATCH(BIDWARS!$B108,RESOURCES!$C:$C,0)))),"-")</f>
        <v>0.8</v>
      </c>
      <c r="I108" s="16">
        <f>IFERROR(ROUNDUP(INDEX(RESOURCES!$Y:$Y,MATCH(BIDWARS!$B108,RESOURCES!$C:$C,0)),2),"-")</f>
        <v>1</v>
      </c>
      <c r="J108" s="16" t="str">
        <f>IFERROR(ROUNDUP(INDEX(RESOURCES!$AA:$AA,MATCH(BIDWARS!$B108,RESOURCES!$C:$C,0)),2),"-")</f>
        <v>-</v>
      </c>
      <c r="K108" s="16" t="str">
        <f>IFERROR(VLOOKUP($C108,'CE RAW'!$D:$H,4,FALSE),"-")</f>
        <v>-</v>
      </c>
      <c r="L108" s="16" t="str">
        <f>IFERROR(VLOOKUP($C108,'CE RAW'!$D:$H,5,FALSE),"-")</f>
        <v>-</v>
      </c>
      <c r="M108" s="2">
        <f>COUNTIFS('BONUS RAW'!$D:$D,BIDWARS!$B108,'BONUS RAW'!$J:$J,"KUDOS")</f>
        <v>0</v>
      </c>
      <c r="N108" s="324">
        <f>IF(AND(SUMIFS('ATTENDANCE RAW'!$I:$I,'ATTENDANCE RAW'!$E:$E,BIDWARS!$B108)=0,SUMIFS('ATTENDANCE RAW'!$J:$J,'ATTENDANCE RAW'!$E:$E,BIDWARS!$B108)=0),1,0)</f>
        <v>0</v>
      </c>
      <c r="O108" s="241" t="str">
        <f>IF(ISERROR(VLOOKUP($B108,'ATTRITION RAW'!$E:$E,1,0)),"ACTIVE","INACTIVE")</f>
        <v>ACTIVE</v>
      </c>
      <c r="P108" s="432">
        <f t="shared" si="12"/>
        <v>105</v>
      </c>
      <c r="Q108" s="432">
        <f t="shared" si="13"/>
        <v>160</v>
      </c>
      <c r="R108" s="432">
        <f t="shared" si="14"/>
        <v>200</v>
      </c>
      <c r="S108" s="432" t="str">
        <f t="shared" si="15"/>
        <v>-</v>
      </c>
      <c r="T108" s="432" t="str">
        <f t="shared" si="16"/>
        <v>-</v>
      </c>
      <c r="U108" s="432">
        <f t="shared" si="18"/>
        <v>0</v>
      </c>
      <c r="V108" s="432">
        <f t="shared" si="19"/>
        <v>0</v>
      </c>
      <c r="W108" s="433">
        <f t="shared" si="17"/>
        <v>465</v>
      </c>
    </row>
    <row r="109" spans="1:23">
      <c r="A109" s="2">
        <f>RESOURCES!B105</f>
        <v>102</v>
      </c>
      <c r="B109" s="431">
        <f>RESOURCES!C105</f>
        <v>10072444</v>
      </c>
      <c r="C109" s="431" t="str">
        <f>RESOURCES!D105</f>
        <v>DIZON, JUSTIN IVAN F.</v>
      </c>
      <c r="D109" s="2" t="str">
        <f>RESOURCES!E105</f>
        <v>Web Designer</v>
      </c>
      <c r="E109" s="2" t="str">
        <f>RESOURCES!F105</f>
        <v>CRUZ, Noel</v>
      </c>
      <c r="F109" s="2" t="str">
        <f>RESOURCES!G105</f>
        <v>TAGUILASO, Daryl</v>
      </c>
      <c r="G109" s="2">
        <f>ROUNDUP(SUMIFS('PRODUCTIVITY RAW'!$L:$L,'PRODUCTIVITY RAW'!$B:$B,BIDWARS!$B109),0)</f>
        <v>102</v>
      </c>
      <c r="H109" s="16">
        <f>IFERROR(IF($D109="Proofreader",INDEX('CHURN RAW'!$H:$H,MATCH("SITE LEVEL",'CHURN RAW'!$C:$C,0)),IF($D109="Internal Mods (PSI)","-",INDEX(RESOURCES!$X:$X,MATCH(BIDWARS!$B109,RESOURCES!$C:$C,0)))),"-")</f>
        <v>0.9</v>
      </c>
      <c r="I109" s="16">
        <f>IFERROR(ROUNDUP(INDEX(RESOURCES!$Y:$Y,MATCH(BIDWARS!$B109,RESOURCES!$C:$C,0)),2),"-")</f>
        <v>1</v>
      </c>
      <c r="J109" s="16" t="str">
        <f>IFERROR(ROUNDUP(INDEX(RESOURCES!$AA:$AA,MATCH(BIDWARS!$B109,RESOURCES!$C:$C,0)),2),"-")</f>
        <v>-</v>
      </c>
      <c r="K109" s="16" t="str">
        <f>IFERROR(VLOOKUP($C109,'CE RAW'!$D:$H,4,FALSE),"-")</f>
        <v>-</v>
      </c>
      <c r="L109" s="16" t="str">
        <f>IFERROR(VLOOKUP($C109,'CE RAW'!$D:$H,5,FALSE),"-")</f>
        <v>-</v>
      </c>
      <c r="M109" s="2">
        <f>COUNTIFS('BONUS RAW'!$D:$D,BIDWARS!$B109,'BONUS RAW'!$J:$J,"KUDOS")</f>
        <v>0</v>
      </c>
      <c r="N109" s="324">
        <f>IF(AND(SUMIFS('ATTENDANCE RAW'!$I:$I,'ATTENDANCE RAW'!$E:$E,BIDWARS!$B109)=0,SUMIFS('ATTENDANCE RAW'!$J:$J,'ATTENDANCE RAW'!$E:$E,BIDWARS!$B109)=0),1,0)</f>
        <v>0</v>
      </c>
      <c r="O109" s="241" t="str">
        <f>IF(ISERROR(VLOOKUP($B109,'ATTRITION RAW'!$E:$E,1,0)),"ACTIVE","INACTIVE")</f>
        <v>ACTIVE</v>
      </c>
      <c r="P109" s="432">
        <f t="shared" si="12"/>
        <v>102</v>
      </c>
      <c r="Q109" s="432">
        <f t="shared" si="13"/>
        <v>270</v>
      </c>
      <c r="R109" s="432">
        <f t="shared" si="14"/>
        <v>200</v>
      </c>
      <c r="S109" s="432" t="str">
        <f t="shared" si="15"/>
        <v>-</v>
      </c>
      <c r="T109" s="432" t="str">
        <f t="shared" si="16"/>
        <v>-</v>
      </c>
      <c r="U109" s="432">
        <f t="shared" si="18"/>
        <v>0</v>
      </c>
      <c r="V109" s="432">
        <f t="shared" si="19"/>
        <v>0</v>
      </c>
      <c r="W109" s="433">
        <f t="shared" si="17"/>
        <v>572</v>
      </c>
    </row>
    <row r="110" spans="1:23">
      <c r="A110" s="2">
        <f>RESOURCES!B106</f>
        <v>103</v>
      </c>
      <c r="B110" s="431">
        <f>RESOURCES!C106</f>
        <v>10071306</v>
      </c>
      <c r="C110" s="431" t="str">
        <f>RESOURCES!D106</f>
        <v>MACOROL, JEAN ERIKA D.</v>
      </c>
      <c r="D110" s="2" t="str">
        <f>RESOURCES!E106</f>
        <v>Web Designer</v>
      </c>
      <c r="E110" s="2" t="str">
        <f>RESOURCES!F106</f>
        <v>CRUZ, Noel</v>
      </c>
      <c r="F110" s="2" t="str">
        <f>RESOURCES!G106</f>
        <v>TAGUILASO, Daryl</v>
      </c>
      <c r="G110" s="2">
        <f>ROUNDUP(SUMIFS('PRODUCTIVITY RAW'!$L:$L,'PRODUCTIVITY RAW'!$B:$B,BIDWARS!$B110),0)</f>
        <v>138</v>
      </c>
      <c r="H110" s="16">
        <f>IFERROR(IF($D110="Proofreader",INDEX('CHURN RAW'!$H:$H,MATCH("SITE LEVEL",'CHURN RAW'!$C:$C,0)),IF($D110="Internal Mods (PSI)","-",INDEX(RESOURCES!$X:$X,MATCH(BIDWARS!$B110,RESOURCES!$C:$C,0)))),"-")</f>
        <v>0.8</v>
      </c>
      <c r="I110" s="16">
        <f>IFERROR(ROUNDUP(INDEX(RESOURCES!$Y:$Y,MATCH(BIDWARS!$B110,RESOURCES!$C:$C,0)),2),"-")</f>
        <v>1</v>
      </c>
      <c r="J110" s="16" t="str">
        <f>IFERROR(ROUNDUP(INDEX(RESOURCES!$AA:$AA,MATCH(BIDWARS!$B110,RESOURCES!$C:$C,0)),2),"-")</f>
        <v>-</v>
      </c>
      <c r="K110" s="16" t="str">
        <f>IFERROR(VLOOKUP($C110,'CE RAW'!$D:$H,4,FALSE),"-")</f>
        <v>-</v>
      </c>
      <c r="L110" s="16" t="str">
        <f>IFERROR(VLOOKUP($C110,'CE RAW'!$D:$H,5,FALSE),"-")</f>
        <v>-</v>
      </c>
      <c r="M110" s="2">
        <f>COUNTIFS('BONUS RAW'!$D:$D,BIDWARS!$B110,'BONUS RAW'!$J:$J,"KUDOS")</f>
        <v>0</v>
      </c>
      <c r="N110" s="324">
        <f>IF(AND(SUMIFS('ATTENDANCE RAW'!$I:$I,'ATTENDANCE RAW'!$E:$E,BIDWARS!$B110)=0,SUMIFS('ATTENDANCE RAW'!$J:$J,'ATTENDANCE RAW'!$E:$E,BIDWARS!$B110)=0),1,0)</f>
        <v>0</v>
      </c>
      <c r="O110" s="241" t="str">
        <f>IF(ISERROR(VLOOKUP($B110,'ATTRITION RAW'!$E:$E,1,0)),"ACTIVE","INACTIVE")</f>
        <v>ACTIVE</v>
      </c>
      <c r="P110" s="432">
        <f t="shared" si="12"/>
        <v>138</v>
      </c>
      <c r="Q110" s="432">
        <f t="shared" si="13"/>
        <v>160</v>
      </c>
      <c r="R110" s="432">
        <f t="shared" si="14"/>
        <v>200</v>
      </c>
      <c r="S110" s="432" t="str">
        <f t="shared" si="15"/>
        <v>-</v>
      </c>
      <c r="T110" s="432" t="str">
        <f t="shared" si="16"/>
        <v>-</v>
      </c>
      <c r="U110" s="432">
        <f t="shared" si="18"/>
        <v>0</v>
      </c>
      <c r="V110" s="432">
        <f t="shared" si="19"/>
        <v>0</v>
      </c>
      <c r="W110" s="433">
        <f t="shared" si="17"/>
        <v>498</v>
      </c>
    </row>
    <row r="111" spans="1:23">
      <c r="A111" s="2">
        <f>RESOURCES!B107</f>
        <v>104</v>
      </c>
      <c r="B111" s="431">
        <f>RESOURCES!C107</f>
        <v>10072517</v>
      </c>
      <c r="C111" s="431" t="str">
        <f>RESOURCES!D107</f>
        <v>MANICLANG, KRISTIAN JAY B.</v>
      </c>
      <c r="D111" s="2" t="str">
        <f>RESOURCES!E107</f>
        <v>Web Designer</v>
      </c>
      <c r="E111" s="2" t="str">
        <f>RESOURCES!F107</f>
        <v>CRUZ, Noel</v>
      </c>
      <c r="F111" s="2" t="str">
        <f>RESOURCES!G107</f>
        <v>TAGUILASO, Daryl</v>
      </c>
      <c r="G111" s="2">
        <f>ROUNDUP(SUMIFS('PRODUCTIVITY RAW'!$L:$L,'PRODUCTIVITY RAW'!$B:$B,BIDWARS!$B111),0)</f>
        <v>69</v>
      </c>
      <c r="H111" s="16">
        <f>IFERROR(IF($D111="Proofreader",INDEX('CHURN RAW'!$H:$H,MATCH("SITE LEVEL",'CHURN RAW'!$C:$C,0)),IF($D111="Internal Mods (PSI)","-",INDEX(RESOURCES!$X:$X,MATCH(BIDWARS!$B111,RESOURCES!$C:$C,0)))),"-")</f>
        <v>0.8</v>
      </c>
      <c r="I111" s="16">
        <f>IFERROR(ROUNDUP(INDEX(RESOURCES!$Y:$Y,MATCH(BIDWARS!$B111,RESOURCES!$C:$C,0)),2),"-")</f>
        <v>1</v>
      </c>
      <c r="J111" s="16" t="str">
        <f>IFERROR(ROUNDUP(INDEX(RESOURCES!$AA:$AA,MATCH(BIDWARS!$B111,RESOURCES!$C:$C,0)),2),"-")</f>
        <v>-</v>
      </c>
      <c r="K111" s="16" t="str">
        <f>IFERROR(VLOOKUP($C111,'CE RAW'!$D:$H,4,FALSE),"-")</f>
        <v>-</v>
      </c>
      <c r="L111" s="16" t="str">
        <f>IFERROR(VLOOKUP($C111,'CE RAW'!$D:$H,5,FALSE),"-")</f>
        <v>-</v>
      </c>
      <c r="M111" s="2">
        <f>COUNTIFS('BONUS RAW'!$D:$D,BIDWARS!$B111,'BONUS RAW'!$J:$J,"KUDOS")</f>
        <v>0</v>
      </c>
      <c r="N111" s="324">
        <f>IF(AND(SUMIFS('ATTENDANCE RAW'!$I:$I,'ATTENDANCE RAW'!$E:$E,BIDWARS!$B111)=0,SUMIFS('ATTENDANCE RAW'!$J:$J,'ATTENDANCE RAW'!$E:$E,BIDWARS!$B111)=0),1,0)</f>
        <v>1</v>
      </c>
      <c r="O111" s="241" t="str">
        <f>IF(ISERROR(VLOOKUP($B111,'ATTRITION RAW'!$E:$E,1,0)),"ACTIVE","INACTIVE")</f>
        <v>ACTIVE</v>
      </c>
      <c r="P111" s="432">
        <f t="shared" si="12"/>
        <v>69</v>
      </c>
      <c r="Q111" s="432">
        <f t="shared" si="13"/>
        <v>160</v>
      </c>
      <c r="R111" s="432">
        <f t="shared" si="14"/>
        <v>200</v>
      </c>
      <c r="S111" s="432" t="str">
        <f t="shared" si="15"/>
        <v>-</v>
      </c>
      <c r="T111" s="432" t="str">
        <f t="shared" si="16"/>
        <v>-</v>
      </c>
      <c r="U111" s="432">
        <f t="shared" si="18"/>
        <v>0</v>
      </c>
      <c r="V111" s="432">
        <f t="shared" si="19"/>
        <v>50</v>
      </c>
      <c r="W111" s="433">
        <f t="shared" si="17"/>
        <v>479</v>
      </c>
    </row>
    <row r="112" spans="1:23">
      <c r="A112" s="2">
        <f>RESOURCES!B108</f>
        <v>105</v>
      </c>
      <c r="B112" s="431">
        <f>RESOURCES!C108</f>
        <v>10072204</v>
      </c>
      <c r="C112" s="431" t="str">
        <f>RESOURCES!D108</f>
        <v>MONTEREY, JAYVENEIL Q.</v>
      </c>
      <c r="D112" s="2" t="str">
        <f>RESOURCES!E108</f>
        <v>Web Designer</v>
      </c>
      <c r="E112" s="2" t="str">
        <f>RESOURCES!F108</f>
        <v>CRUZ, Noel</v>
      </c>
      <c r="F112" s="2" t="str">
        <f>RESOURCES!G108</f>
        <v>TAGUILASO, Daryl</v>
      </c>
      <c r="G112" s="2">
        <f>ROUNDUP(SUMIFS('PRODUCTIVITY RAW'!$L:$L,'PRODUCTIVITY RAW'!$B:$B,BIDWARS!$B112),0)</f>
        <v>135</v>
      </c>
      <c r="H112" s="16">
        <f>IFERROR(IF($D112="Proofreader",INDEX('CHURN RAW'!$H:$H,MATCH("SITE LEVEL",'CHURN RAW'!$C:$C,0)),IF($D112="Internal Mods (PSI)","-",INDEX(RESOURCES!$X:$X,MATCH(BIDWARS!$B112,RESOURCES!$C:$C,0)))),"-")</f>
        <v>1</v>
      </c>
      <c r="I112" s="16">
        <f>IFERROR(ROUNDUP(INDEX(RESOURCES!$Y:$Y,MATCH(BIDWARS!$B112,RESOURCES!$C:$C,0)),2),"-")</f>
        <v>1</v>
      </c>
      <c r="J112" s="16" t="str">
        <f>IFERROR(ROUNDUP(INDEX(RESOURCES!$AA:$AA,MATCH(BIDWARS!$B112,RESOURCES!$C:$C,0)),2),"-")</f>
        <v>-</v>
      </c>
      <c r="K112" s="16" t="str">
        <f>IFERROR(VLOOKUP($C112,'CE RAW'!$D:$H,4,FALSE),"-")</f>
        <v>-</v>
      </c>
      <c r="L112" s="16" t="str">
        <f>IFERROR(VLOOKUP($C112,'CE RAW'!$D:$H,5,FALSE),"-")</f>
        <v>-</v>
      </c>
      <c r="M112" s="2">
        <f>COUNTIFS('BONUS RAW'!$D:$D,BIDWARS!$B112,'BONUS RAW'!$J:$J,"KUDOS")</f>
        <v>0</v>
      </c>
      <c r="N112" s="324">
        <f>IF(AND(SUMIFS('ATTENDANCE RAW'!$I:$I,'ATTENDANCE RAW'!$E:$E,BIDWARS!$B112)=0,SUMIFS('ATTENDANCE RAW'!$J:$J,'ATTENDANCE RAW'!$E:$E,BIDWARS!$B112)=0),1,0)</f>
        <v>0</v>
      </c>
      <c r="O112" s="241" t="str">
        <f>IF(ISERROR(VLOOKUP($B112,'ATTRITION RAW'!$E:$E,1,0)),"ACTIVE","INACTIVE")</f>
        <v>ACTIVE</v>
      </c>
      <c r="P112" s="432">
        <f t="shared" si="12"/>
        <v>135</v>
      </c>
      <c r="Q112" s="432">
        <f t="shared" si="13"/>
        <v>400</v>
      </c>
      <c r="R112" s="432">
        <f t="shared" si="14"/>
        <v>200</v>
      </c>
      <c r="S112" s="432" t="str">
        <f t="shared" si="15"/>
        <v>-</v>
      </c>
      <c r="T112" s="432" t="str">
        <f t="shared" si="16"/>
        <v>-</v>
      </c>
      <c r="U112" s="432">
        <f t="shared" si="18"/>
        <v>0</v>
      </c>
      <c r="V112" s="432">
        <f t="shared" si="19"/>
        <v>0</v>
      </c>
      <c r="W112" s="433">
        <f t="shared" si="17"/>
        <v>735</v>
      </c>
    </row>
    <row r="113" spans="1:23">
      <c r="A113" s="2">
        <f>RESOURCES!B109</f>
        <v>106</v>
      </c>
      <c r="B113" s="431">
        <f>RESOURCES!C109</f>
        <v>10072445</v>
      </c>
      <c r="C113" s="431" t="str">
        <f>RESOURCES!D109</f>
        <v>VILLAREAL, MARIJUN I.</v>
      </c>
      <c r="D113" s="2" t="str">
        <f>RESOURCES!E109</f>
        <v>Web Designer</v>
      </c>
      <c r="E113" s="2" t="str">
        <f>RESOURCES!F109</f>
        <v>CRUZ, Noel</v>
      </c>
      <c r="F113" s="2" t="str">
        <f>RESOURCES!G109</f>
        <v>TAGUILASO, Daryl</v>
      </c>
      <c r="G113" s="2">
        <f>ROUNDUP(SUMIFS('PRODUCTIVITY RAW'!$L:$L,'PRODUCTIVITY RAW'!$B:$B,BIDWARS!$B113),0)</f>
        <v>152</v>
      </c>
      <c r="H113" s="517">
        <v>1</v>
      </c>
      <c r="I113" s="517">
        <v>1</v>
      </c>
      <c r="J113" s="16" t="str">
        <f>IFERROR(ROUNDUP(INDEX(RESOURCES!$AA:$AA,MATCH(BIDWARS!$B113,RESOURCES!$C:$C,0)),2),"-")</f>
        <v>-</v>
      </c>
      <c r="K113" s="16" t="str">
        <f>IFERROR(VLOOKUP($C113,'CE RAW'!$D:$H,4,FALSE),"-")</f>
        <v>-</v>
      </c>
      <c r="L113" s="16" t="str">
        <f>IFERROR(VLOOKUP($C113,'CE RAW'!$D:$H,5,FALSE),"-")</f>
        <v>-</v>
      </c>
      <c r="M113" s="2">
        <f>COUNTIFS('BONUS RAW'!$D:$D,BIDWARS!$B113,'BONUS RAW'!$J:$J,"KUDOS")</f>
        <v>0</v>
      </c>
      <c r="N113" s="324">
        <f>IF(AND(SUMIFS('ATTENDANCE RAW'!$I:$I,'ATTENDANCE RAW'!$E:$E,BIDWARS!$B113)=0,SUMIFS('ATTENDANCE RAW'!$J:$J,'ATTENDANCE RAW'!$E:$E,BIDWARS!$B113)=0),1,0)</f>
        <v>0</v>
      </c>
      <c r="O113" s="241" t="str">
        <f>IF(ISERROR(VLOOKUP($B113,'ATTRITION RAW'!$E:$E,1,0)),"ACTIVE","INACTIVE")</f>
        <v>ACTIVE</v>
      </c>
      <c r="P113" s="432">
        <f t="shared" si="12"/>
        <v>152</v>
      </c>
      <c r="Q113" s="432">
        <f t="shared" si="13"/>
        <v>400</v>
      </c>
      <c r="R113" s="432">
        <f t="shared" si="14"/>
        <v>200</v>
      </c>
      <c r="S113" s="432" t="str">
        <f t="shared" si="15"/>
        <v>-</v>
      </c>
      <c r="T113" s="432" t="str">
        <f t="shared" si="16"/>
        <v>-</v>
      </c>
      <c r="U113" s="432">
        <f t="shared" si="18"/>
        <v>0</v>
      </c>
      <c r="V113" s="432">
        <f t="shared" si="19"/>
        <v>0</v>
      </c>
      <c r="W113" s="433">
        <f t="shared" si="17"/>
        <v>752</v>
      </c>
    </row>
    <row r="114" spans="1:23">
      <c r="A114" s="2">
        <f>RESOURCES!B110</f>
        <v>107</v>
      </c>
      <c r="B114" s="431">
        <f>RESOURCES!C110</f>
        <v>10071728</v>
      </c>
      <c r="C114" s="431" t="str">
        <f>RESOURCES!D110</f>
        <v>LUMABAN, KIM LAWRENZE B.</v>
      </c>
      <c r="D114" s="2" t="str">
        <f>RESOURCES!E110</f>
        <v>Web Designer</v>
      </c>
      <c r="E114" s="2" t="str">
        <f>RESOURCES!F110</f>
        <v>CRUZ, Noel</v>
      </c>
      <c r="F114" s="2" t="str">
        <f>RESOURCES!G110</f>
        <v>TAGUILASO, Daryl</v>
      </c>
      <c r="G114" s="2">
        <f>ROUNDUP(SUMIFS('PRODUCTIVITY RAW'!$L:$L,'PRODUCTIVITY RAW'!$B:$B,BIDWARS!$B114),0)</f>
        <v>108</v>
      </c>
      <c r="H114" s="16">
        <f>IFERROR(IF($D114="Proofreader",INDEX('CHURN RAW'!$H:$H,MATCH("SITE LEVEL",'CHURN RAW'!$C:$C,0)),IF($D114="Internal Mods (PSI)","-",INDEX(RESOURCES!$X:$X,MATCH(BIDWARS!$B114,RESOURCES!$C:$C,0)))),"-")</f>
        <v>0.9</v>
      </c>
      <c r="I114" s="16">
        <f>IFERROR(ROUNDUP(INDEX(RESOURCES!$Y:$Y,MATCH(BIDWARS!$B114,RESOURCES!$C:$C,0)),2),"-")</f>
        <v>1</v>
      </c>
      <c r="J114" s="16" t="str">
        <f>IFERROR(ROUNDUP(INDEX(RESOURCES!$AA:$AA,MATCH(BIDWARS!$B114,RESOURCES!$C:$C,0)),2),"-")</f>
        <v>-</v>
      </c>
      <c r="K114" s="16" t="str">
        <f>IFERROR(VLOOKUP($C114,'CE RAW'!$D:$H,4,FALSE),"-")</f>
        <v>-</v>
      </c>
      <c r="L114" s="16" t="str">
        <f>IFERROR(VLOOKUP($C114,'CE RAW'!$D:$H,5,FALSE),"-")</f>
        <v>-</v>
      </c>
      <c r="M114" s="2">
        <f>COUNTIFS('BONUS RAW'!$D:$D,BIDWARS!$B114,'BONUS RAW'!$J:$J,"KUDOS")</f>
        <v>0</v>
      </c>
      <c r="N114" s="324">
        <f>IF(AND(SUMIFS('ATTENDANCE RAW'!$I:$I,'ATTENDANCE RAW'!$E:$E,BIDWARS!$B114)=0,SUMIFS('ATTENDANCE RAW'!$J:$J,'ATTENDANCE RAW'!$E:$E,BIDWARS!$B114)=0),1,0)</f>
        <v>1</v>
      </c>
      <c r="O114" s="241" t="str">
        <f>IF(ISERROR(VLOOKUP($B114,'ATTRITION RAW'!$E:$E,1,0)),"ACTIVE","INACTIVE")</f>
        <v>ACTIVE</v>
      </c>
      <c r="P114" s="432">
        <f t="shared" si="12"/>
        <v>108</v>
      </c>
      <c r="Q114" s="432">
        <f t="shared" si="13"/>
        <v>270</v>
      </c>
      <c r="R114" s="432">
        <f t="shared" si="14"/>
        <v>200</v>
      </c>
      <c r="S114" s="432" t="str">
        <f t="shared" si="15"/>
        <v>-</v>
      </c>
      <c r="T114" s="432" t="str">
        <f t="shared" si="16"/>
        <v>-</v>
      </c>
      <c r="U114" s="432">
        <f t="shared" si="18"/>
        <v>0</v>
      </c>
      <c r="V114" s="432">
        <f t="shared" si="19"/>
        <v>50</v>
      </c>
      <c r="W114" s="433">
        <f t="shared" si="17"/>
        <v>628</v>
      </c>
    </row>
    <row r="115" spans="1:23">
      <c r="A115" s="2">
        <f>RESOURCES!B111</f>
        <v>108</v>
      </c>
      <c r="B115" s="431">
        <f>RESOURCES!C111</f>
        <v>10072438</v>
      </c>
      <c r="C115" s="431" t="str">
        <f>RESOURCES!D111</f>
        <v>ARCABOS, JEROME G.</v>
      </c>
      <c r="D115" s="2" t="str">
        <f>RESOURCES!E111</f>
        <v>Web Designer</v>
      </c>
      <c r="E115" s="2" t="str">
        <f>RESOURCES!F111</f>
        <v>CRUZ, Noel</v>
      </c>
      <c r="F115" s="2" t="str">
        <f>RESOURCES!G111</f>
        <v>TAGUILASO, Daryl</v>
      </c>
      <c r="G115" s="2">
        <f>ROUNDUP(SUMIFS('PRODUCTIVITY RAW'!$L:$L,'PRODUCTIVITY RAW'!$B:$B,BIDWARS!$B115),0)</f>
        <v>144</v>
      </c>
      <c r="H115" s="16">
        <f>IFERROR(IF($D115="Proofreader",INDEX('CHURN RAW'!$H:$H,MATCH("SITE LEVEL",'CHURN RAW'!$C:$C,0)),IF($D115="Internal Mods (PSI)","-",INDEX(RESOURCES!$X:$X,MATCH(BIDWARS!$B115,RESOURCES!$C:$C,0)))),"-")</f>
        <v>0.9</v>
      </c>
      <c r="I115" s="16">
        <f>IFERROR(ROUNDUP(INDEX(RESOURCES!$Y:$Y,MATCH(BIDWARS!$B115,RESOURCES!$C:$C,0)),2),"-")</f>
        <v>1</v>
      </c>
      <c r="J115" s="16" t="str">
        <f>IFERROR(ROUNDUP(INDEX(RESOURCES!$AA:$AA,MATCH(BIDWARS!$B115,RESOURCES!$C:$C,0)),2),"-")</f>
        <v>-</v>
      </c>
      <c r="K115" s="16" t="str">
        <f>IFERROR(VLOOKUP($C115,'CE RAW'!$D:$H,4,FALSE),"-")</f>
        <v>-</v>
      </c>
      <c r="L115" s="16" t="str">
        <f>IFERROR(VLOOKUP($C115,'CE RAW'!$D:$H,5,FALSE),"-")</f>
        <v>-</v>
      </c>
      <c r="M115" s="2">
        <f>COUNTIFS('BONUS RAW'!$D:$D,BIDWARS!$B115,'BONUS RAW'!$J:$J,"KUDOS")</f>
        <v>0</v>
      </c>
      <c r="N115" s="324">
        <f>IF(AND(SUMIFS('ATTENDANCE RAW'!$I:$I,'ATTENDANCE RAW'!$E:$E,BIDWARS!$B115)=0,SUMIFS('ATTENDANCE RAW'!$J:$J,'ATTENDANCE RAW'!$E:$E,BIDWARS!$B115)=0),1,0)</f>
        <v>1</v>
      </c>
      <c r="O115" s="241" t="str">
        <f>IF(ISERROR(VLOOKUP($B115,'ATTRITION RAW'!$E:$E,1,0)),"ACTIVE","INACTIVE")</f>
        <v>ACTIVE</v>
      </c>
      <c r="P115" s="432">
        <f t="shared" si="12"/>
        <v>144</v>
      </c>
      <c r="Q115" s="432">
        <f t="shared" si="13"/>
        <v>270</v>
      </c>
      <c r="R115" s="432">
        <f t="shared" si="14"/>
        <v>200</v>
      </c>
      <c r="S115" s="432" t="str">
        <f t="shared" si="15"/>
        <v>-</v>
      </c>
      <c r="T115" s="432" t="str">
        <f t="shared" si="16"/>
        <v>-</v>
      </c>
      <c r="U115" s="432">
        <f t="shared" si="18"/>
        <v>0</v>
      </c>
      <c r="V115" s="432">
        <f t="shared" si="19"/>
        <v>50</v>
      </c>
      <c r="W115" s="433">
        <f t="shared" si="17"/>
        <v>664</v>
      </c>
    </row>
    <row r="116" spans="1:23">
      <c r="A116" s="2">
        <f>RESOURCES!B112</f>
        <v>109</v>
      </c>
      <c r="B116" s="431">
        <f>RESOURCES!C112</f>
        <v>10072073</v>
      </c>
      <c r="C116" s="431" t="str">
        <f>RESOURCES!D112</f>
        <v>ROSETE, JOHN ANTHONY T.</v>
      </c>
      <c r="D116" s="2" t="str">
        <f>RESOURCES!E112</f>
        <v>Web Designer</v>
      </c>
      <c r="E116" s="2" t="str">
        <f>RESOURCES!F112</f>
        <v>CRUZ, Noel</v>
      </c>
      <c r="F116" s="2" t="str">
        <f>RESOURCES!G112</f>
        <v>TAGUILASO, Daryl</v>
      </c>
      <c r="G116" s="2">
        <f>ROUNDUP(SUMIFS('PRODUCTIVITY RAW'!$L:$L,'PRODUCTIVITY RAW'!$B:$B,BIDWARS!$B116),0)</f>
        <v>103</v>
      </c>
      <c r="H116" s="16">
        <f>IFERROR(IF($D116="Proofreader",INDEX('CHURN RAW'!$H:$H,MATCH("SITE LEVEL",'CHURN RAW'!$C:$C,0)),IF($D116="Internal Mods (PSI)","-",INDEX(RESOURCES!$X:$X,MATCH(BIDWARS!$B116,RESOURCES!$C:$C,0)))),"-")</f>
        <v>0.9</v>
      </c>
      <c r="I116" s="16">
        <f>IFERROR(ROUNDUP(INDEX(RESOURCES!$Y:$Y,MATCH(BIDWARS!$B116,RESOURCES!$C:$C,0)),2),"-")</f>
        <v>1</v>
      </c>
      <c r="J116" s="16" t="str">
        <f>IFERROR(ROUNDUP(INDEX(RESOURCES!$AA:$AA,MATCH(BIDWARS!$B116,RESOURCES!$C:$C,0)),2),"-")</f>
        <v>-</v>
      </c>
      <c r="K116" s="16" t="str">
        <f>IFERROR(VLOOKUP($C116,'CE RAW'!$D:$H,4,FALSE),"-")</f>
        <v>-</v>
      </c>
      <c r="L116" s="16" t="str">
        <f>IFERROR(VLOOKUP($C116,'CE RAW'!$D:$H,5,FALSE),"-")</f>
        <v>-</v>
      </c>
      <c r="M116" s="2">
        <f>COUNTIFS('BONUS RAW'!$D:$D,BIDWARS!$B116,'BONUS RAW'!$J:$J,"KUDOS")</f>
        <v>0</v>
      </c>
      <c r="N116" s="324">
        <f>IF(AND(SUMIFS('ATTENDANCE RAW'!$I:$I,'ATTENDANCE RAW'!$E:$E,BIDWARS!$B116)=0,SUMIFS('ATTENDANCE RAW'!$J:$J,'ATTENDANCE RAW'!$E:$E,BIDWARS!$B116)=0),1,0)</f>
        <v>0</v>
      </c>
      <c r="O116" s="241" t="str">
        <f>IF(ISERROR(VLOOKUP($B116,'ATTRITION RAW'!$E:$E,1,0)),"ACTIVE","INACTIVE")</f>
        <v>ACTIVE</v>
      </c>
      <c r="P116" s="432">
        <f t="shared" si="12"/>
        <v>103</v>
      </c>
      <c r="Q116" s="432">
        <f t="shared" si="13"/>
        <v>270</v>
      </c>
      <c r="R116" s="432">
        <f t="shared" si="14"/>
        <v>200</v>
      </c>
      <c r="S116" s="432" t="str">
        <f t="shared" si="15"/>
        <v>-</v>
      </c>
      <c r="T116" s="432" t="str">
        <f t="shared" si="16"/>
        <v>-</v>
      </c>
      <c r="U116" s="432">
        <f t="shared" si="18"/>
        <v>0</v>
      </c>
      <c r="V116" s="432">
        <f t="shared" si="19"/>
        <v>0</v>
      </c>
      <c r="W116" s="433">
        <f t="shared" si="17"/>
        <v>573</v>
      </c>
    </row>
    <row r="117" spans="1:23">
      <c r="A117" s="2">
        <f>RESOURCES!B113</f>
        <v>110</v>
      </c>
      <c r="B117" s="431">
        <f>RESOURCES!C113</f>
        <v>10071423</v>
      </c>
      <c r="C117" s="431" t="str">
        <f>RESOURCES!D113</f>
        <v>DELOS REYES, VERNARD C.</v>
      </c>
      <c r="D117" s="2" t="str">
        <f>RESOURCES!E113</f>
        <v>Web Designer</v>
      </c>
      <c r="E117" s="2" t="str">
        <f>RESOURCES!F113</f>
        <v>CEDENO, Karleen</v>
      </c>
      <c r="F117" s="2" t="str">
        <f>RESOURCES!G113</f>
        <v>TAGUILASO, Daryl</v>
      </c>
      <c r="G117" s="2">
        <f>ROUNDUP(SUMIFS('PRODUCTIVITY RAW'!$L:$L,'PRODUCTIVITY RAW'!$B:$B,BIDWARS!$B117),0)</f>
        <v>110</v>
      </c>
      <c r="H117" s="16">
        <f>IFERROR(IF($D117="Proofreader",INDEX('CHURN RAW'!$H:$H,MATCH("SITE LEVEL",'CHURN RAW'!$C:$C,0)),IF($D117="Internal Mods (PSI)","-",INDEX(RESOURCES!$X:$X,MATCH(BIDWARS!$B117,RESOURCES!$C:$C,0)))),"-")</f>
        <v>1</v>
      </c>
      <c r="I117" s="16">
        <f>IFERROR(ROUNDUP(INDEX(RESOURCES!$Y:$Y,MATCH(BIDWARS!$B117,RESOURCES!$C:$C,0)),2),"-")</f>
        <v>1</v>
      </c>
      <c r="J117" s="16" t="str">
        <f>IFERROR(ROUNDUP(INDEX(RESOURCES!$AA:$AA,MATCH(BIDWARS!$B117,RESOURCES!$C:$C,0)),2),"-")</f>
        <v>-</v>
      </c>
      <c r="K117" s="16" t="str">
        <f>IFERROR(VLOOKUP($C117,'CE RAW'!$D:$H,4,FALSE),"-")</f>
        <v>-</v>
      </c>
      <c r="L117" s="16" t="str">
        <f>IFERROR(VLOOKUP($C117,'CE RAW'!$D:$H,5,FALSE),"-")</f>
        <v>-</v>
      </c>
      <c r="M117" s="2">
        <f>COUNTIFS('BONUS RAW'!$D:$D,BIDWARS!$B117,'BONUS RAW'!$J:$J,"KUDOS")</f>
        <v>0</v>
      </c>
      <c r="N117" s="324">
        <f>IF(AND(SUMIFS('ATTENDANCE RAW'!$I:$I,'ATTENDANCE RAW'!$E:$E,BIDWARS!$B117)=0,SUMIFS('ATTENDANCE RAW'!$J:$J,'ATTENDANCE RAW'!$E:$E,BIDWARS!$B117)=0),1,0)</f>
        <v>1</v>
      </c>
      <c r="O117" s="241" t="str">
        <f>IF(ISERROR(VLOOKUP($B117,'ATTRITION RAW'!$E:$E,1,0)),"ACTIVE","INACTIVE")</f>
        <v>ACTIVE</v>
      </c>
      <c r="P117" s="432">
        <f t="shared" si="12"/>
        <v>110</v>
      </c>
      <c r="Q117" s="432">
        <f t="shared" si="13"/>
        <v>400</v>
      </c>
      <c r="R117" s="432">
        <f t="shared" si="14"/>
        <v>200</v>
      </c>
      <c r="S117" s="432" t="str">
        <f t="shared" si="15"/>
        <v>-</v>
      </c>
      <c r="T117" s="432" t="str">
        <f t="shared" si="16"/>
        <v>-</v>
      </c>
      <c r="U117" s="432">
        <f t="shared" si="18"/>
        <v>0</v>
      </c>
      <c r="V117" s="432">
        <f t="shared" si="19"/>
        <v>50</v>
      </c>
      <c r="W117" s="433">
        <f t="shared" si="17"/>
        <v>760</v>
      </c>
    </row>
    <row r="118" spans="1:23">
      <c r="A118" s="2">
        <f>RESOURCES!B114</f>
        <v>111</v>
      </c>
      <c r="B118" s="431">
        <f>RESOURCES!C114</f>
        <v>10071301</v>
      </c>
      <c r="C118" s="431" t="str">
        <f>RESOURCES!D114</f>
        <v>ESGUERRA, NOMAR P.</v>
      </c>
      <c r="D118" s="2" t="str">
        <f>RESOURCES!E114</f>
        <v>Web Designer</v>
      </c>
      <c r="E118" s="2" t="str">
        <f>RESOURCES!F114</f>
        <v>CEDENO, Karleen</v>
      </c>
      <c r="F118" s="2" t="str">
        <f>RESOURCES!G114</f>
        <v>TAGUILASO, Daryl</v>
      </c>
      <c r="G118" s="2">
        <f>ROUNDUP(SUMIFS('PRODUCTIVITY RAW'!$L:$L,'PRODUCTIVITY RAW'!$B:$B,BIDWARS!$B118),0)</f>
        <v>120</v>
      </c>
      <c r="H118" s="16">
        <f>IFERROR(IF($D118="Proofreader",INDEX('CHURN RAW'!$H:$H,MATCH("SITE LEVEL",'CHURN RAW'!$C:$C,0)),IF($D118="Internal Mods (PSI)","-",INDEX(RESOURCES!$X:$X,MATCH(BIDWARS!$B118,RESOURCES!$C:$C,0)))),"-")</f>
        <v>0.9</v>
      </c>
      <c r="I118" s="16">
        <f>IFERROR(ROUNDUP(INDEX(RESOURCES!$Y:$Y,MATCH(BIDWARS!$B118,RESOURCES!$C:$C,0)),2),"-")</f>
        <v>1</v>
      </c>
      <c r="J118" s="16" t="str">
        <f>IFERROR(ROUNDUP(INDEX(RESOURCES!$AA:$AA,MATCH(BIDWARS!$B118,RESOURCES!$C:$C,0)),2),"-")</f>
        <v>-</v>
      </c>
      <c r="K118" s="16" t="str">
        <f>IFERROR(VLOOKUP($C118,'CE RAW'!$D:$H,4,FALSE),"-")</f>
        <v>-</v>
      </c>
      <c r="L118" s="16" t="str">
        <f>IFERROR(VLOOKUP($C118,'CE RAW'!$D:$H,5,FALSE),"-")</f>
        <v>-</v>
      </c>
      <c r="M118" s="2">
        <f>COUNTIFS('BONUS RAW'!$D:$D,BIDWARS!$B118,'BONUS RAW'!$J:$J,"KUDOS")</f>
        <v>0</v>
      </c>
      <c r="N118" s="324">
        <f>IF(AND(SUMIFS('ATTENDANCE RAW'!$I:$I,'ATTENDANCE RAW'!$E:$E,BIDWARS!$B118)=0,SUMIFS('ATTENDANCE RAW'!$J:$J,'ATTENDANCE RAW'!$E:$E,BIDWARS!$B118)=0),1,0)</f>
        <v>0</v>
      </c>
      <c r="O118" s="241" t="str">
        <f>IF(ISERROR(VLOOKUP($B118,'ATTRITION RAW'!$E:$E,1,0)),"ACTIVE","INACTIVE")</f>
        <v>ACTIVE</v>
      </c>
      <c r="P118" s="432">
        <f t="shared" si="12"/>
        <v>120</v>
      </c>
      <c r="Q118" s="432">
        <f t="shared" si="13"/>
        <v>270</v>
      </c>
      <c r="R118" s="432">
        <f t="shared" si="14"/>
        <v>200</v>
      </c>
      <c r="S118" s="432" t="str">
        <f t="shared" si="15"/>
        <v>-</v>
      </c>
      <c r="T118" s="432" t="str">
        <f t="shared" si="16"/>
        <v>-</v>
      </c>
      <c r="U118" s="432">
        <f t="shared" si="18"/>
        <v>0</v>
      </c>
      <c r="V118" s="432">
        <f t="shared" si="19"/>
        <v>0</v>
      </c>
      <c r="W118" s="433">
        <f t="shared" si="17"/>
        <v>590</v>
      </c>
    </row>
    <row r="119" spans="1:23">
      <c r="A119" s="2">
        <f>RESOURCES!B115</f>
        <v>112</v>
      </c>
      <c r="B119" s="431">
        <f>RESOURCES!C115</f>
        <v>10072245</v>
      </c>
      <c r="C119" s="431" t="str">
        <f>RESOURCES!D115</f>
        <v>GOROSPE, DYAN JAY H.</v>
      </c>
      <c r="D119" s="2" t="str">
        <f>RESOURCES!E115</f>
        <v>Web Designer</v>
      </c>
      <c r="E119" s="2" t="str">
        <f>RESOURCES!F115</f>
        <v>CEDENO, Karleen</v>
      </c>
      <c r="F119" s="2" t="str">
        <f>RESOURCES!G115</f>
        <v>TAGUILASO, Daryl</v>
      </c>
      <c r="G119" s="2">
        <f>ROUNDUP(SUMIFS('PRODUCTIVITY RAW'!$L:$L,'PRODUCTIVITY RAW'!$B:$B,BIDWARS!$B119),0)</f>
        <v>122</v>
      </c>
      <c r="H119" s="16">
        <f>IFERROR(IF($D119="Proofreader",INDEX('CHURN RAW'!$H:$H,MATCH("SITE LEVEL",'CHURN RAW'!$C:$C,0)),IF($D119="Internal Mods (PSI)","-",INDEX(RESOURCES!$X:$X,MATCH(BIDWARS!$B119,RESOURCES!$C:$C,0)))),"-")</f>
        <v>0.8</v>
      </c>
      <c r="I119" s="16">
        <f>IFERROR(ROUNDUP(INDEX(RESOURCES!$Y:$Y,MATCH(BIDWARS!$B119,RESOURCES!$C:$C,0)),2),"-")</f>
        <v>1</v>
      </c>
      <c r="J119" s="16" t="str">
        <f>IFERROR(ROUNDUP(INDEX(RESOURCES!$AA:$AA,MATCH(BIDWARS!$B119,RESOURCES!$C:$C,0)),2),"-")</f>
        <v>-</v>
      </c>
      <c r="K119" s="16" t="str">
        <f>IFERROR(VLOOKUP($C119,'CE RAW'!$D:$H,4,FALSE),"-")</f>
        <v>-</v>
      </c>
      <c r="L119" s="16" t="str">
        <f>IFERROR(VLOOKUP($C119,'CE RAW'!$D:$H,5,FALSE),"-")</f>
        <v>-</v>
      </c>
      <c r="M119" s="2">
        <f>COUNTIFS('BONUS RAW'!$D:$D,BIDWARS!$B119,'BONUS RAW'!$J:$J,"KUDOS")</f>
        <v>1</v>
      </c>
      <c r="N119" s="324">
        <f>IF(AND(SUMIFS('ATTENDANCE RAW'!$I:$I,'ATTENDANCE RAW'!$E:$E,BIDWARS!$B119)=0,SUMIFS('ATTENDANCE RAW'!$J:$J,'ATTENDANCE RAW'!$E:$E,BIDWARS!$B119)=0),1,0)</f>
        <v>1</v>
      </c>
      <c r="O119" s="241" t="str">
        <f>IF(ISERROR(VLOOKUP($B119,'ATTRITION RAW'!$E:$E,1,0)),"ACTIVE","INACTIVE")</f>
        <v>ACTIVE</v>
      </c>
      <c r="P119" s="432">
        <f t="shared" si="12"/>
        <v>122</v>
      </c>
      <c r="Q119" s="432">
        <f t="shared" si="13"/>
        <v>160</v>
      </c>
      <c r="R119" s="432">
        <f t="shared" si="14"/>
        <v>200</v>
      </c>
      <c r="S119" s="432" t="str">
        <f t="shared" si="15"/>
        <v>-</v>
      </c>
      <c r="T119" s="432" t="str">
        <f t="shared" si="16"/>
        <v>-</v>
      </c>
      <c r="U119" s="432">
        <f t="shared" si="18"/>
        <v>25</v>
      </c>
      <c r="V119" s="432">
        <f t="shared" si="19"/>
        <v>50</v>
      </c>
      <c r="W119" s="433">
        <f t="shared" si="17"/>
        <v>557</v>
      </c>
    </row>
    <row r="120" spans="1:23">
      <c r="A120" s="2">
        <f>RESOURCES!B116</f>
        <v>113</v>
      </c>
      <c r="B120" s="431">
        <f>RESOURCES!C116</f>
        <v>10072160</v>
      </c>
      <c r="C120" s="431" t="str">
        <f>RESOURCES!D116</f>
        <v>LAGAYA, ADRIAN R.</v>
      </c>
      <c r="D120" s="2" t="str">
        <f>RESOURCES!E116</f>
        <v>Web Designer</v>
      </c>
      <c r="E120" s="2" t="str">
        <f>RESOURCES!F116</f>
        <v>CEDENO, Karleen</v>
      </c>
      <c r="F120" s="2" t="str">
        <f>RESOURCES!G116</f>
        <v>TAGUILASO, Daryl</v>
      </c>
      <c r="G120" s="2">
        <f>ROUNDUP(SUMIFS('PRODUCTIVITY RAW'!$L:$L,'PRODUCTIVITY RAW'!$B:$B,BIDWARS!$B120),0)</f>
        <v>196</v>
      </c>
      <c r="H120" s="16">
        <f>IFERROR(IF($D120="Proofreader",INDEX('CHURN RAW'!$H:$H,MATCH("SITE LEVEL",'CHURN RAW'!$C:$C,0)),IF($D120="Internal Mods (PSI)","-",INDEX(RESOURCES!$X:$X,MATCH(BIDWARS!$B120,RESOURCES!$C:$C,0)))),"-")</f>
        <v>0.8</v>
      </c>
      <c r="I120" s="16">
        <f>IFERROR(ROUNDUP(INDEX(RESOURCES!$Y:$Y,MATCH(BIDWARS!$B120,RESOURCES!$C:$C,0)),2),"-")</f>
        <v>1</v>
      </c>
      <c r="J120" s="16" t="str">
        <f>IFERROR(ROUNDUP(INDEX(RESOURCES!$AA:$AA,MATCH(BIDWARS!$B120,RESOURCES!$C:$C,0)),2),"-")</f>
        <v>-</v>
      </c>
      <c r="K120" s="16" t="str">
        <f>IFERROR(VLOOKUP($C120,'CE RAW'!$D:$H,4,FALSE),"-")</f>
        <v>-</v>
      </c>
      <c r="L120" s="16" t="str">
        <f>IFERROR(VLOOKUP($C120,'CE RAW'!$D:$H,5,FALSE),"-")</f>
        <v>-</v>
      </c>
      <c r="M120" s="2">
        <f>COUNTIFS('BONUS RAW'!$D:$D,BIDWARS!$B120,'BONUS RAW'!$J:$J,"KUDOS")</f>
        <v>0</v>
      </c>
      <c r="N120" s="324">
        <f>IF(AND(SUMIFS('ATTENDANCE RAW'!$I:$I,'ATTENDANCE RAW'!$E:$E,BIDWARS!$B120)=0,SUMIFS('ATTENDANCE RAW'!$J:$J,'ATTENDANCE RAW'!$E:$E,BIDWARS!$B120)=0),1,0)</f>
        <v>1</v>
      </c>
      <c r="O120" s="241" t="str">
        <f>IF(ISERROR(VLOOKUP($B120,'ATTRITION RAW'!$E:$E,1,0)),"ACTIVE","INACTIVE")</f>
        <v>ACTIVE</v>
      </c>
      <c r="P120" s="432">
        <f t="shared" si="12"/>
        <v>196</v>
      </c>
      <c r="Q120" s="432">
        <f t="shared" si="13"/>
        <v>160</v>
      </c>
      <c r="R120" s="432">
        <f t="shared" si="14"/>
        <v>200</v>
      </c>
      <c r="S120" s="432" t="str">
        <f t="shared" si="15"/>
        <v>-</v>
      </c>
      <c r="T120" s="432" t="str">
        <f t="shared" si="16"/>
        <v>-</v>
      </c>
      <c r="U120" s="432">
        <f t="shared" si="18"/>
        <v>0</v>
      </c>
      <c r="V120" s="432">
        <f t="shared" si="19"/>
        <v>50</v>
      </c>
      <c r="W120" s="433">
        <f t="shared" si="17"/>
        <v>606</v>
      </c>
    </row>
    <row r="121" spans="1:23">
      <c r="A121" s="2">
        <f>RESOURCES!B117</f>
        <v>114</v>
      </c>
      <c r="B121" s="431">
        <f>RESOURCES!C117</f>
        <v>10071252</v>
      </c>
      <c r="C121" s="431" t="str">
        <f>RESOURCES!D117</f>
        <v>MERCADO, JENNYFER D.</v>
      </c>
      <c r="D121" s="2" t="str">
        <f>RESOURCES!E117</f>
        <v>Web Designer</v>
      </c>
      <c r="E121" s="2" t="str">
        <f>RESOURCES!F117</f>
        <v>CEDENO, Karleen</v>
      </c>
      <c r="F121" s="2" t="str">
        <f>RESOURCES!G117</f>
        <v>TAGUILASO, Daryl</v>
      </c>
      <c r="G121" s="2">
        <f>ROUNDUP(SUMIFS('PRODUCTIVITY RAW'!$L:$L,'PRODUCTIVITY RAW'!$B:$B,BIDWARS!$B121),0)</f>
        <v>104</v>
      </c>
      <c r="H121" s="16">
        <f>IFERROR(IF($D121="Proofreader",INDEX('CHURN RAW'!$H:$H,MATCH("SITE LEVEL",'CHURN RAW'!$C:$C,0)),IF($D121="Internal Mods (PSI)","-",INDEX(RESOURCES!$X:$X,MATCH(BIDWARS!$B121,RESOURCES!$C:$C,0)))),"-")</f>
        <v>0.7</v>
      </c>
      <c r="I121" s="16">
        <f>IFERROR(ROUNDUP(INDEX(RESOURCES!$Y:$Y,MATCH(BIDWARS!$B121,RESOURCES!$C:$C,0)),2),"-")</f>
        <v>1</v>
      </c>
      <c r="J121" s="16" t="str">
        <f>IFERROR(ROUNDUP(INDEX(RESOURCES!$AA:$AA,MATCH(BIDWARS!$B121,RESOURCES!$C:$C,0)),2),"-")</f>
        <v>-</v>
      </c>
      <c r="K121" s="16" t="str">
        <f>IFERROR(VLOOKUP($C121,'CE RAW'!$D:$H,4,FALSE),"-")</f>
        <v>-</v>
      </c>
      <c r="L121" s="16" t="str">
        <f>IFERROR(VLOOKUP($C121,'CE RAW'!$D:$H,5,FALSE),"-")</f>
        <v>-</v>
      </c>
      <c r="M121" s="2">
        <f>COUNTIFS('BONUS RAW'!$D:$D,BIDWARS!$B121,'BONUS RAW'!$J:$J,"KUDOS")</f>
        <v>0</v>
      </c>
      <c r="N121" s="324">
        <f>IF(AND(SUMIFS('ATTENDANCE RAW'!$I:$I,'ATTENDANCE RAW'!$E:$E,BIDWARS!$B121)=0,SUMIFS('ATTENDANCE RAW'!$J:$J,'ATTENDANCE RAW'!$E:$E,BIDWARS!$B121)=0),1,0)</f>
        <v>1</v>
      </c>
      <c r="O121" s="241" t="str">
        <f>IF(ISERROR(VLOOKUP($B121,'ATTRITION RAW'!$E:$E,1,0)),"ACTIVE","INACTIVE")</f>
        <v>ACTIVE</v>
      </c>
      <c r="P121" s="432">
        <f t="shared" si="12"/>
        <v>104</v>
      </c>
      <c r="Q121" s="432">
        <f t="shared" si="13"/>
        <v>140</v>
      </c>
      <c r="R121" s="432">
        <f t="shared" si="14"/>
        <v>200</v>
      </c>
      <c r="S121" s="432" t="str">
        <f t="shared" si="15"/>
        <v>-</v>
      </c>
      <c r="T121" s="432" t="str">
        <f t="shared" si="16"/>
        <v>-</v>
      </c>
      <c r="U121" s="432">
        <f t="shared" si="18"/>
        <v>0</v>
      </c>
      <c r="V121" s="432">
        <f t="shared" si="19"/>
        <v>50</v>
      </c>
      <c r="W121" s="433">
        <f t="shared" si="17"/>
        <v>494</v>
      </c>
    </row>
    <row r="122" spans="1:23">
      <c r="A122" s="2">
        <f>RESOURCES!B118</f>
        <v>115</v>
      </c>
      <c r="B122" s="431">
        <f>RESOURCES!C118</f>
        <v>10072457</v>
      </c>
      <c r="C122" s="431" t="str">
        <f>RESOURCES!D118</f>
        <v>NAPALANG, EZEKIEL L.</v>
      </c>
      <c r="D122" s="2" t="str">
        <f>RESOURCES!E118</f>
        <v>Web Designer</v>
      </c>
      <c r="E122" s="2" t="str">
        <f>RESOURCES!F118</f>
        <v>CEDENO, Karleen</v>
      </c>
      <c r="F122" s="2" t="str">
        <f>RESOURCES!G118</f>
        <v>TAGUILASO, Daryl</v>
      </c>
      <c r="G122" s="2">
        <f>ROUNDUP(SUMIFS('PRODUCTIVITY RAW'!$L:$L,'PRODUCTIVITY RAW'!$B:$B,BIDWARS!$B122),0)</f>
        <v>110</v>
      </c>
      <c r="H122" s="16">
        <f>IFERROR(IF($D122="Proofreader",INDEX('CHURN RAW'!$H:$H,MATCH("SITE LEVEL",'CHURN RAW'!$C:$C,0)),IF($D122="Internal Mods (PSI)","-",INDEX(RESOURCES!$X:$X,MATCH(BIDWARS!$B122,RESOURCES!$C:$C,0)))),"-")</f>
        <v>1</v>
      </c>
      <c r="I122" s="16">
        <f>IFERROR(ROUNDUP(INDEX(RESOURCES!$Y:$Y,MATCH(BIDWARS!$B122,RESOURCES!$C:$C,0)),2),"-")</f>
        <v>1</v>
      </c>
      <c r="J122" s="16" t="str">
        <f>IFERROR(ROUNDUP(INDEX(RESOURCES!$AA:$AA,MATCH(BIDWARS!$B122,RESOURCES!$C:$C,0)),2),"-")</f>
        <v>-</v>
      </c>
      <c r="K122" s="16" t="str">
        <f>IFERROR(VLOOKUP($C122,'CE RAW'!$D:$H,4,FALSE),"-")</f>
        <v>-</v>
      </c>
      <c r="L122" s="16" t="str">
        <f>IFERROR(VLOOKUP($C122,'CE RAW'!$D:$H,5,FALSE),"-")</f>
        <v>-</v>
      </c>
      <c r="M122" s="2">
        <f>COUNTIFS('BONUS RAW'!$D:$D,BIDWARS!$B122,'BONUS RAW'!$J:$J,"KUDOS")</f>
        <v>0</v>
      </c>
      <c r="N122" s="324">
        <f>IF(AND(SUMIFS('ATTENDANCE RAW'!$I:$I,'ATTENDANCE RAW'!$E:$E,BIDWARS!$B122)=0,SUMIFS('ATTENDANCE RAW'!$J:$J,'ATTENDANCE RAW'!$E:$E,BIDWARS!$B122)=0),1,0)</f>
        <v>1</v>
      </c>
      <c r="O122" s="241" t="str">
        <f>IF(ISERROR(VLOOKUP($B122,'ATTRITION RAW'!$E:$E,1,0)),"ACTIVE","INACTIVE")</f>
        <v>ACTIVE</v>
      </c>
      <c r="P122" s="432">
        <f t="shared" si="12"/>
        <v>110</v>
      </c>
      <c r="Q122" s="432">
        <f t="shared" si="13"/>
        <v>400</v>
      </c>
      <c r="R122" s="432">
        <f t="shared" si="14"/>
        <v>200</v>
      </c>
      <c r="S122" s="432" t="str">
        <f t="shared" si="15"/>
        <v>-</v>
      </c>
      <c r="T122" s="432" t="str">
        <f t="shared" si="16"/>
        <v>-</v>
      </c>
      <c r="U122" s="432">
        <f t="shared" si="18"/>
        <v>0</v>
      </c>
      <c r="V122" s="432">
        <f t="shared" si="19"/>
        <v>50</v>
      </c>
      <c r="W122" s="433">
        <f t="shared" si="17"/>
        <v>760</v>
      </c>
    </row>
    <row r="123" spans="1:23">
      <c r="A123" s="2">
        <f>RESOURCES!B119</f>
        <v>116</v>
      </c>
      <c r="B123" s="431">
        <f>RESOURCES!C119</f>
        <v>10070728</v>
      </c>
      <c r="C123" s="431" t="str">
        <f>RESOURCES!D119</f>
        <v>OBISPO, MARY RUTH SUZAINE G.</v>
      </c>
      <c r="D123" s="2" t="str">
        <f>RESOURCES!E119</f>
        <v>Web Designer</v>
      </c>
      <c r="E123" s="2" t="str">
        <f>RESOURCES!F119</f>
        <v>CEDENO, Karleen</v>
      </c>
      <c r="F123" s="2" t="str">
        <f>RESOURCES!G119</f>
        <v>TAGUILASO, Daryl</v>
      </c>
      <c r="G123" s="2">
        <f>ROUNDUP(SUMIFS('PRODUCTIVITY RAW'!$L:$L,'PRODUCTIVITY RAW'!$B:$B,BIDWARS!$B123),0)</f>
        <v>155</v>
      </c>
      <c r="H123" s="16">
        <f>IFERROR(IF($D123="Proofreader",INDEX('CHURN RAW'!$H:$H,MATCH("SITE LEVEL",'CHURN RAW'!$C:$C,0)),IF($D123="Internal Mods (PSI)","-",INDEX(RESOURCES!$X:$X,MATCH(BIDWARS!$B123,RESOURCES!$C:$C,0)))),"-")</f>
        <v>0.9</v>
      </c>
      <c r="I123" s="16">
        <f>IFERROR(ROUNDUP(INDEX(RESOURCES!$Y:$Y,MATCH(BIDWARS!$B123,RESOURCES!$C:$C,0)),2),"-")</f>
        <v>1</v>
      </c>
      <c r="J123" s="16" t="str">
        <f>IFERROR(ROUNDUP(INDEX(RESOURCES!$AA:$AA,MATCH(BIDWARS!$B123,RESOURCES!$C:$C,0)),2),"-")</f>
        <v>-</v>
      </c>
      <c r="K123" s="16" t="str">
        <f>IFERROR(VLOOKUP($C123,'CE RAW'!$D:$H,4,FALSE),"-")</f>
        <v>-</v>
      </c>
      <c r="L123" s="16" t="str">
        <f>IFERROR(VLOOKUP($C123,'CE RAW'!$D:$H,5,FALSE),"-")</f>
        <v>-</v>
      </c>
      <c r="M123" s="2">
        <f>COUNTIFS('BONUS RAW'!$D:$D,BIDWARS!$B123,'BONUS RAW'!$J:$J,"KUDOS")</f>
        <v>0</v>
      </c>
      <c r="N123" s="324">
        <f>IF(AND(SUMIFS('ATTENDANCE RAW'!$I:$I,'ATTENDANCE RAW'!$E:$E,BIDWARS!$B123)=0,SUMIFS('ATTENDANCE RAW'!$J:$J,'ATTENDANCE RAW'!$E:$E,BIDWARS!$B123)=0),1,0)</f>
        <v>1</v>
      </c>
      <c r="O123" s="241" t="str">
        <f>IF(ISERROR(VLOOKUP($B123,'ATTRITION RAW'!$E:$E,1,0)),"ACTIVE","INACTIVE")</f>
        <v>ACTIVE</v>
      </c>
      <c r="P123" s="432">
        <f t="shared" si="12"/>
        <v>155</v>
      </c>
      <c r="Q123" s="432">
        <f t="shared" si="13"/>
        <v>270</v>
      </c>
      <c r="R123" s="432">
        <f t="shared" si="14"/>
        <v>200</v>
      </c>
      <c r="S123" s="432" t="str">
        <f t="shared" si="15"/>
        <v>-</v>
      </c>
      <c r="T123" s="432" t="str">
        <f t="shared" si="16"/>
        <v>-</v>
      </c>
      <c r="U123" s="432">
        <f t="shared" si="18"/>
        <v>0</v>
      </c>
      <c r="V123" s="432">
        <f t="shared" si="19"/>
        <v>50</v>
      </c>
      <c r="W123" s="433">
        <f t="shared" si="17"/>
        <v>675</v>
      </c>
    </row>
    <row r="124" spans="1:23">
      <c r="A124" s="2">
        <f>RESOURCES!B120</f>
        <v>117</v>
      </c>
      <c r="B124" s="431">
        <f>RESOURCES!C120</f>
        <v>10071310</v>
      </c>
      <c r="C124" s="431" t="str">
        <f>RESOURCES!D120</f>
        <v>PAREDES, MA. ANN JELETTE T.</v>
      </c>
      <c r="D124" s="2" t="str">
        <f>RESOURCES!E120</f>
        <v>Web Designer</v>
      </c>
      <c r="E124" s="2" t="str">
        <f>RESOURCES!F120</f>
        <v>CEDENO, Karleen</v>
      </c>
      <c r="F124" s="2" t="str">
        <f>RESOURCES!G120</f>
        <v>TAGUILASO, Daryl</v>
      </c>
      <c r="G124" s="2">
        <f>ROUNDUP(SUMIFS('PRODUCTIVITY RAW'!$L:$L,'PRODUCTIVITY RAW'!$B:$B,BIDWARS!$B124),0)</f>
        <v>125</v>
      </c>
      <c r="H124" s="16">
        <f>IFERROR(IF($D124="Proofreader",INDEX('CHURN RAW'!$H:$H,MATCH("SITE LEVEL",'CHURN RAW'!$C:$C,0)),IF($D124="Internal Mods (PSI)","-",INDEX(RESOURCES!$X:$X,MATCH(BIDWARS!$B124,RESOURCES!$C:$C,0)))),"-")</f>
        <v>0.8</v>
      </c>
      <c r="I124" s="16">
        <f>IFERROR(ROUNDUP(INDEX(RESOURCES!$Y:$Y,MATCH(BIDWARS!$B124,RESOURCES!$C:$C,0)),2),"-")</f>
        <v>1</v>
      </c>
      <c r="J124" s="16" t="str">
        <f>IFERROR(ROUNDUP(INDEX(RESOURCES!$AA:$AA,MATCH(BIDWARS!$B124,RESOURCES!$C:$C,0)),2),"-")</f>
        <v>-</v>
      </c>
      <c r="K124" s="16" t="str">
        <f>IFERROR(VLOOKUP($C124,'CE RAW'!$D:$H,4,FALSE),"-")</f>
        <v>-</v>
      </c>
      <c r="L124" s="16" t="str">
        <f>IFERROR(VLOOKUP($C124,'CE RAW'!$D:$H,5,FALSE),"-")</f>
        <v>-</v>
      </c>
      <c r="M124" s="2">
        <f>COUNTIFS('BONUS RAW'!$D:$D,BIDWARS!$B124,'BONUS RAW'!$J:$J,"KUDOS")</f>
        <v>0</v>
      </c>
      <c r="N124" s="324">
        <f>IF(AND(SUMIFS('ATTENDANCE RAW'!$I:$I,'ATTENDANCE RAW'!$E:$E,BIDWARS!$B124)=0,SUMIFS('ATTENDANCE RAW'!$J:$J,'ATTENDANCE RAW'!$E:$E,BIDWARS!$B124)=0),1,0)</f>
        <v>0</v>
      </c>
      <c r="O124" s="241" t="str">
        <f>IF(ISERROR(VLOOKUP($B124,'ATTRITION RAW'!$E:$E,1,0)),"ACTIVE","INACTIVE")</f>
        <v>ACTIVE</v>
      </c>
      <c r="P124" s="432">
        <f t="shared" si="12"/>
        <v>125</v>
      </c>
      <c r="Q124" s="432">
        <f t="shared" si="13"/>
        <v>160</v>
      </c>
      <c r="R124" s="432">
        <f t="shared" si="14"/>
        <v>200</v>
      </c>
      <c r="S124" s="432" t="str">
        <f t="shared" si="15"/>
        <v>-</v>
      </c>
      <c r="T124" s="432" t="str">
        <f t="shared" si="16"/>
        <v>-</v>
      </c>
      <c r="U124" s="432">
        <f t="shared" si="18"/>
        <v>0</v>
      </c>
      <c r="V124" s="432">
        <f t="shared" si="19"/>
        <v>0</v>
      </c>
      <c r="W124" s="433">
        <f t="shared" si="17"/>
        <v>485</v>
      </c>
    </row>
    <row r="125" spans="1:23">
      <c r="A125" s="2">
        <f>RESOURCES!B121</f>
        <v>118</v>
      </c>
      <c r="B125" s="431">
        <f>RESOURCES!C121</f>
        <v>10072515</v>
      </c>
      <c r="C125" s="431" t="str">
        <f>RESOURCES!D121</f>
        <v>PELEGRINO, KRISTIAN DAVE C.</v>
      </c>
      <c r="D125" s="2" t="str">
        <f>RESOURCES!E121</f>
        <v>Web Designer</v>
      </c>
      <c r="E125" s="2" t="str">
        <f>RESOURCES!F121</f>
        <v>CEDENO, Karleen</v>
      </c>
      <c r="F125" s="2" t="str">
        <f>RESOURCES!G121</f>
        <v>TAGUILASO, Daryl</v>
      </c>
      <c r="G125" s="2">
        <f>ROUNDUP(SUMIFS('PRODUCTIVITY RAW'!$L:$L,'PRODUCTIVITY RAW'!$B:$B,BIDWARS!$B125),0)</f>
        <v>135</v>
      </c>
      <c r="H125" s="16">
        <f>IFERROR(IF($D125="Proofreader",INDEX('CHURN RAW'!$H:$H,MATCH("SITE LEVEL",'CHURN RAW'!$C:$C,0)),IF($D125="Internal Mods (PSI)","-",INDEX(RESOURCES!$X:$X,MATCH(BIDWARS!$B125,RESOURCES!$C:$C,0)))),"-")</f>
        <v>0.9</v>
      </c>
      <c r="I125" s="16">
        <f>IFERROR(ROUNDUP(INDEX(RESOURCES!$Y:$Y,MATCH(BIDWARS!$B125,RESOURCES!$C:$C,0)),2),"-")</f>
        <v>1</v>
      </c>
      <c r="J125" s="16" t="str">
        <f>IFERROR(ROUNDUP(INDEX(RESOURCES!$AA:$AA,MATCH(BIDWARS!$B125,RESOURCES!$C:$C,0)),2),"-")</f>
        <v>-</v>
      </c>
      <c r="K125" s="16" t="str">
        <f>IFERROR(VLOOKUP($C125,'CE RAW'!$D:$H,4,FALSE),"-")</f>
        <v>-</v>
      </c>
      <c r="L125" s="16" t="str">
        <f>IFERROR(VLOOKUP($C125,'CE RAW'!$D:$H,5,FALSE),"-")</f>
        <v>-</v>
      </c>
      <c r="M125" s="2">
        <f>COUNTIFS('BONUS RAW'!$D:$D,BIDWARS!$B125,'BONUS RAW'!$J:$J,"KUDOS")</f>
        <v>0</v>
      </c>
      <c r="N125" s="324">
        <f>IF(AND(SUMIFS('ATTENDANCE RAW'!$I:$I,'ATTENDANCE RAW'!$E:$E,BIDWARS!$B125)=0,SUMIFS('ATTENDANCE RAW'!$J:$J,'ATTENDANCE RAW'!$E:$E,BIDWARS!$B125)=0),1,0)</f>
        <v>0</v>
      </c>
      <c r="O125" s="241" t="str">
        <f>IF(ISERROR(VLOOKUP($B125,'ATTRITION RAW'!$E:$E,1,0)),"ACTIVE","INACTIVE")</f>
        <v>ACTIVE</v>
      </c>
      <c r="P125" s="432">
        <f t="shared" si="12"/>
        <v>135</v>
      </c>
      <c r="Q125" s="432">
        <f t="shared" si="13"/>
        <v>270</v>
      </c>
      <c r="R125" s="432">
        <f t="shared" si="14"/>
        <v>200</v>
      </c>
      <c r="S125" s="432" t="str">
        <f t="shared" si="15"/>
        <v>-</v>
      </c>
      <c r="T125" s="432" t="str">
        <f t="shared" si="16"/>
        <v>-</v>
      </c>
      <c r="U125" s="432">
        <f t="shared" si="18"/>
        <v>0</v>
      </c>
      <c r="V125" s="432">
        <f t="shared" si="19"/>
        <v>0</v>
      </c>
      <c r="W125" s="433">
        <f t="shared" si="17"/>
        <v>605</v>
      </c>
    </row>
    <row r="126" spans="1:23">
      <c r="A126" s="2">
        <f>RESOURCES!B122</f>
        <v>119</v>
      </c>
      <c r="B126" s="431">
        <f>RESOURCES!C122</f>
        <v>10072211</v>
      </c>
      <c r="C126" s="431" t="str">
        <f>RESOURCES!D122</f>
        <v>RANERA, JEDALYN G.</v>
      </c>
      <c r="D126" s="2" t="str">
        <f>RESOURCES!E122</f>
        <v>Web Designer</v>
      </c>
      <c r="E126" s="2" t="str">
        <f>RESOURCES!F122</f>
        <v>CEDENO, Karleen</v>
      </c>
      <c r="F126" s="2" t="str">
        <f>RESOURCES!G122</f>
        <v>TAGUILASO, Daryl</v>
      </c>
      <c r="G126" s="2">
        <f>ROUNDUP(SUMIFS('PRODUCTIVITY RAW'!$L:$L,'PRODUCTIVITY RAW'!$B:$B,BIDWARS!$B126),0)</f>
        <v>135</v>
      </c>
      <c r="H126" s="16">
        <f>IFERROR(IF($D126="Proofreader",INDEX('CHURN RAW'!$H:$H,MATCH("SITE LEVEL",'CHURN RAW'!$C:$C,0)),IF($D126="Internal Mods (PSI)","-",INDEX(RESOURCES!$X:$X,MATCH(BIDWARS!$B126,RESOURCES!$C:$C,0)))),"-")</f>
        <v>0.8</v>
      </c>
      <c r="I126" s="16">
        <f>IFERROR(ROUNDUP(INDEX(RESOURCES!$Y:$Y,MATCH(BIDWARS!$B126,RESOURCES!$C:$C,0)),2),"-")</f>
        <v>1</v>
      </c>
      <c r="J126" s="16" t="str">
        <f>IFERROR(ROUNDUP(INDEX(RESOURCES!$AA:$AA,MATCH(BIDWARS!$B126,RESOURCES!$C:$C,0)),2),"-")</f>
        <v>-</v>
      </c>
      <c r="K126" s="16" t="str">
        <f>IFERROR(VLOOKUP($C126,'CE RAW'!$D:$H,4,FALSE),"-")</f>
        <v>-</v>
      </c>
      <c r="L126" s="16" t="str">
        <f>IFERROR(VLOOKUP($C126,'CE RAW'!$D:$H,5,FALSE),"-")</f>
        <v>-</v>
      </c>
      <c r="M126" s="2">
        <f>COUNTIFS('BONUS RAW'!$D:$D,BIDWARS!$B126,'BONUS RAW'!$J:$J,"KUDOS")</f>
        <v>0</v>
      </c>
      <c r="N126" s="324">
        <f>IF(AND(SUMIFS('ATTENDANCE RAW'!$I:$I,'ATTENDANCE RAW'!$E:$E,BIDWARS!$B126)=0,SUMIFS('ATTENDANCE RAW'!$J:$J,'ATTENDANCE RAW'!$E:$E,BIDWARS!$B126)=0),1,0)</f>
        <v>1</v>
      </c>
      <c r="O126" s="241" t="str">
        <f>IF(ISERROR(VLOOKUP($B126,'ATTRITION RAW'!$E:$E,1,0)),"ACTIVE","INACTIVE")</f>
        <v>ACTIVE</v>
      </c>
      <c r="P126" s="432">
        <f t="shared" si="12"/>
        <v>135</v>
      </c>
      <c r="Q126" s="432">
        <f t="shared" si="13"/>
        <v>160</v>
      </c>
      <c r="R126" s="432">
        <f t="shared" si="14"/>
        <v>200</v>
      </c>
      <c r="S126" s="432" t="str">
        <f t="shared" si="15"/>
        <v>-</v>
      </c>
      <c r="T126" s="432" t="str">
        <f t="shared" si="16"/>
        <v>-</v>
      </c>
      <c r="U126" s="432">
        <f t="shared" si="18"/>
        <v>0</v>
      </c>
      <c r="V126" s="432">
        <f t="shared" si="19"/>
        <v>50</v>
      </c>
      <c r="W126" s="433">
        <f t="shared" si="17"/>
        <v>545</v>
      </c>
    </row>
    <row r="127" spans="1:23">
      <c r="A127" s="2">
        <f>RESOURCES!B123</f>
        <v>120</v>
      </c>
      <c r="B127" s="431">
        <f>RESOURCES!C123</f>
        <v>10072460</v>
      </c>
      <c r="C127" s="431" t="str">
        <f>RESOURCES!D123</f>
        <v>DELA CRUZ, AIRA REGINA D.</v>
      </c>
      <c r="D127" s="2" t="str">
        <f>RESOURCES!E123</f>
        <v>Web Designer</v>
      </c>
      <c r="E127" s="2" t="str">
        <f>RESOURCES!F123</f>
        <v>CEDENO, Karleen</v>
      </c>
      <c r="F127" s="2" t="str">
        <f>RESOURCES!G123</f>
        <v>TAGUILASO, Daryl</v>
      </c>
      <c r="G127" s="2">
        <f>ROUNDUP(SUMIFS('PRODUCTIVITY RAW'!$L:$L,'PRODUCTIVITY RAW'!$B:$B,BIDWARS!$B127),0)</f>
        <v>136</v>
      </c>
      <c r="H127" s="16">
        <f>IFERROR(IF($D127="Proofreader",INDEX('CHURN RAW'!$H:$H,MATCH("SITE LEVEL",'CHURN RAW'!$C:$C,0)),IF($D127="Internal Mods (PSI)","-",INDEX(RESOURCES!$X:$X,MATCH(BIDWARS!$B127,RESOURCES!$C:$C,0)))),"-")</f>
        <v>0.9</v>
      </c>
      <c r="I127" s="16">
        <f>IFERROR(ROUNDUP(INDEX(RESOURCES!$Y:$Y,MATCH(BIDWARS!$B127,RESOURCES!$C:$C,0)),2),"-")</f>
        <v>1</v>
      </c>
      <c r="J127" s="16" t="str">
        <f>IFERROR(ROUNDUP(INDEX(RESOURCES!$AA:$AA,MATCH(BIDWARS!$B127,RESOURCES!$C:$C,0)),2),"-")</f>
        <v>-</v>
      </c>
      <c r="K127" s="16" t="str">
        <f>IFERROR(VLOOKUP($C127,'CE RAW'!$D:$H,4,FALSE),"-")</f>
        <v>-</v>
      </c>
      <c r="L127" s="16" t="str">
        <f>IFERROR(VLOOKUP($C127,'CE RAW'!$D:$H,5,FALSE),"-")</f>
        <v>-</v>
      </c>
      <c r="M127" s="2">
        <f>COUNTIFS('BONUS RAW'!$D:$D,BIDWARS!$B127,'BONUS RAW'!$J:$J,"KUDOS")</f>
        <v>0</v>
      </c>
      <c r="N127" s="324">
        <f>IF(AND(SUMIFS('ATTENDANCE RAW'!$I:$I,'ATTENDANCE RAW'!$E:$E,BIDWARS!$B127)=0,SUMIFS('ATTENDANCE RAW'!$J:$J,'ATTENDANCE RAW'!$E:$E,BIDWARS!$B127)=0),1,0)</f>
        <v>0</v>
      </c>
      <c r="O127" s="241" t="str">
        <f>IF(ISERROR(VLOOKUP($B127,'ATTRITION RAW'!$E:$E,1,0)),"ACTIVE","INACTIVE")</f>
        <v>ACTIVE</v>
      </c>
      <c r="P127" s="432">
        <f t="shared" si="12"/>
        <v>136</v>
      </c>
      <c r="Q127" s="432">
        <f t="shared" si="13"/>
        <v>270</v>
      </c>
      <c r="R127" s="432">
        <f t="shared" si="14"/>
        <v>200</v>
      </c>
      <c r="S127" s="432" t="str">
        <f t="shared" si="15"/>
        <v>-</v>
      </c>
      <c r="T127" s="432" t="str">
        <f t="shared" si="16"/>
        <v>-</v>
      </c>
      <c r="U127" s="432">
        <f t="shared" si="18"/>
        <v>0</v>
      </c>
      <c r="V127" s="432">
        <f t="shared" si="19"/>
        <v>0</v>
      </c>
      <c r="W127" s="433">
        <f t="shared" si="17"/>
        <v>606</v>
      </c>
    </row>
    <row r="128" spans="1:23">
      <c r="A128" s="2">
        <f>RESOURCES!B124</f>
        <v>121</v>
      </c>
      <c r="B128" s="431">
        <f>RESOURCES!C124</f>
        <v>10071903</v>
      </c>
      <c r="C128" s="431" t="str">
        <f>RESOURCES!D124</f>
        <v>SUMALINOG, ROSE ANN B.</v>
      </c>
      <c r="D128" s="2" t="str">
        <f>RESOURCES!E124</f>
        <v>Web Designer</v>
      </c>
      <c r="E128" s="2" t="str">
        <f>RESOURCES!F124</f>
        <v>CEDENO, Karleen</v>
      </c>
      <c r="F128" s="2" t="str">
        <f>RESOURCES!G124</f>
        <v>TAGUILASO, Daryl</v>
      </c>
      <c r="G128" s="2">
        <f>ROUNDUP(SUMIFS('PRODUCTIVITY RAW'!$L:$L,'PRODUCTIVITY RAW'!$B:$B,BIDWARS!$B128),0)</f>
        <v>185</v>
      </c>
      <c r="H128" s="16">
        <f>IFERROR(IF($D128="Proofreader",INDEX('CHURN RAW'!$H:$H,MATCH("SITE LEVEL",'CHURN RAW'!$C:$C,0)),IF($D128="Internal Mods (PSI)","-",INDEX(RESOURCES!$X:$X,MATCH(BIDWARS!$B128,RESOURCES!$C:$C,0)))),"-")</f>
        <v>1</v>
      </c>
      <c r="I128" s="16">
        <f>IFERROR(ROUNDUP(INDEX(RESOURCES!$Y:$Y,MATCH(BIDWARS!$B128,RESOURCES!$C:$C,0)),2),"-")</f>
        <v>1</v>
      </c>
      <c r="J128" s="16" t="str">
        <f>IFERROR(ROUNDUP(INDEX(RESOURCES!$AA:$AA,MATCH(BIDWARS!$B128,RESOURCES!$C:$C,0)),2),"-")</f>
        <v>-</v>
      </c>
      <c r="K128" s="16" t="str">
        <f>IFERROR(VLOOKUP($C128,'CE RAW'!$D:$H,4,FALSE),"-")</f>
        <v>-</v>
      </c>
      <c r="L128" s="16" t="str">
        <f>IFERROR(VLOOKUP($C128,'CE RAW'!$D:$H,5,FALSE),"-")</f>
        <v>-</v>
      </c>
      <c r="M128" s="2">
        <f>COUNTIFS('BONUS RAW'!$D:$D,BIDWARS!$B128,'BONUS RAW'!$J:$J,"KUDOS")</f>
        <v>0</v>
      </c>
      <c r="N128" s="324">
        <f>IF(AND(SUMIFS('ATTENDANCE RAW'!$I:$I,'ATTENDANCE RAW'!$E:$E,BIDWARS!$B128)=0,SUMIFS('ATTENDANCE RAW'!$J:$J,'ATTENDANCE RAW'!$E:$E,BIDWARS!$B128)=0),1,0)</f>
        <v>1</v>
      </c>
      <c r="O128" s="241" t="str">
        <f>IF(ISERROR(VLOOKUP($B128,'ATTRITION RAW'!$E:$E,1,0)),"ACTIVE","INACTIVE")</f>
        <v>ACTIVE</v>
      </c>
      <c r="P128" s="432">
        <f t="shared" si="12"/>
        <v>185</v>
      </c>
      <c r="Q128" s="432">
        <f t="shared" si="13"/>
        <v>400</v>
      </c>
      <c r="R128" s="432">
        <f t="shared" si="14"/>
        <v>200</v>
      </c>
      <c r="S128" s="432" t="str">
        <f t="shared" si="15"/>
        <v>-</v>
      </c>
      <c r="T128" s="432" t="str">
        <f t="shared" si="16"/>
        <v>-</v>
      </c>
      <c r="U128" s="432">
        <f t="shared" si="18"/>
        <v>0</v>
      </c>
      <c r="V128" s="432">
        <f t="shared" si="19"/>
        <v>50</v>
      </c>
      <c r="W128" s="433">
        <f t="shared" si="17"/>
        <v>835</v>
      </c>
    </row>
    <row r="129" spans="1:23">
      <c r="A129" s="2">
        <f>RESOURCES!B125</f>
        <v>122</v>
      </c>
      <c r="B129" s="431">
        <f>RESOURCES!C125</f>
        <v>10071908</v>
      </c>
      <c r="C129" s="431" t="str">
        <f>RESOURCES!D125</f>
        <v>DOMINGO, MARIMAR D.</v>
      </c>
      <c r="D129" s="2" t="str">
        <f>RESOURCES!E125</f>
        <v>Internal Mods (PSI)</v>
      </c>
      <c r="E129" s="2" t="str">
        <f>RESOURCES!F125</f>
        <v>BARRIOS, Renell</v>
      </c>
      <c r="F129" s="2" t="str">
        <f>RESOURCES!G125</f>
        <v>PASQUIN, Ryan</v>
      </c>
      <c r="G129" s="2">
        <f>ROUNDUP(SUMIFS('PRODUCTIVITY RAW'!$L:$L,'PRODUCTIVITY RAW'!$B:$B,BIDWARS!$B129),0)</f>
        <v>203</v>
      </c>
      <c r="H129" s="16" t="str">
        <f>IFERROR(IF($D129="Proofreader",INDEX('CHURN RAW'!$H:$H,MATCH("SITE LEVEL",'CHURN RAW'!$C:$C,0)),IF($D129="Internal Mods (PSI)","-",INDEX(RESOURCES!$X:$X,MATCH(BIDWARS!$B129,RESOURCES!$C:$C,0)))),"-")</f>
        <v>-</v>
      </c>
      <c r="I129" s="16">
        <f>IFERROR(ROUNDUP(INDEX(RESOURCES!$Y:$Y,MATCH(BIDWARS!$B129,RESOURCES!$C:$C,0)),2),"-")</f>
        <v>1</v>
      </c>
      <c r="J129" s="16" t="str">
        <f>IFERROR(ROUNDUP(INDEX(RESOURCES!$AA:$AA,MATCH(BIDWARS!$B129,RESOURCES!$C:$C,0)),2),"-")</f>
        <v>-</v>
      </c>
      <c r="K129" s="16">
        <f>IFERROR(VLOOKUP($C129,'CE RAW'!$D:$H,4,FALSE),"-")</f>
        <v>0.98619999999999997</v>
      </c>
      <c r="L129" s="16">
        <f>IFERROR(VLOOKUP($C129,'CE RAW'!$D:$H,5,FALSE),"-")</f>
        <v>1</v>
      </c>
      <c r="M129" s="2">
        <f>COUNTIFS('BONUS RAW'!$D:$D,BIDWARS!$B129,'BONUS RAW'!$J:$J,"KUDOS")</f>
        <v>0</v>
      </c>
      <c r="N129" s="324">
        <f>IF(AND(SUMIFS('ATTENDANCE RAW'!$I:$I,'ATTENDANCE RAW'!$E:$E,BIDWARS!$B129)=0,SUMIFS('ATTENDANCE RAW'!$J:$J,'ATTENDANCE RAW'!$E:$E,BIDWARS!$B129)=0),1,0)</f>
        <v>1</v>
      </c>
      <c r="O129" s="241" t="str">
        <f>IF(ISERROR(VLOOKUP($B129,'ATTRITION RAW'!$E:$E,1,0)),"ACTIVE","INACTIVE")</f>
        <v>ACTIVE</v>
      </c>
      <c r="P129" s="432">
        <f t="shared" si="12"/>
        <v>203</v>
      </c>
      <c r="Q129" s="432" t="str">
        <f t="shared" si="13"/>
        <v>-</v>
      </c>
      <c r="R129" s="432">
        <f t="shared" si="14"/>
        <v>200</v>
      </c>
      <c r="S129" s="432" t="str">
        <f t="shared" si="15"/>
        <v>-</v>
      </c>
      <c r="T129" s="432">
        <f t="shared" si="16"/>
        <v>198</v>
      </c>
      <c r="U129" s="432">
        <f t="shared" si="18"/>
        <v>0</v>
      </c>
      <c r="V129" s="432">
        <f t="shared" si="19"/>
        <v>50</v>
      </c>
      <c r="W129" s="433">
        <f t="shared" si="17"/>
        <v>651</v>
      </c>
    </row>
    <row r="130" spans="1:23">
      <c r="A130" s="2">
        <f>RESOURCES!B126</f>
        <v>123</v>
      </c>
      <c r="B130" s="431">
        <f>RESOURCES!C126</f>
        <v>10071600</v>
      </c>
      <c r="C130" s="431" t="str">
        <f>RESOURCES!D126</f>
        <v>ORTILLANO, LIZBERT S.</v>
      </c>
      <c r="D130" s="2" t="str">
        <f>RESOURCES!E126</f>
        <v>Internal Mods (PSI)</v>
      </c>
      <c r="E130" s="2" t="str">
        <f>RESOURCES!F126</f>
        <v>BARRIOS, Renell</v>
      </c>
      <c r="F130" s="2" t="str">
        <f>RESOURCES!G126</f>
        <v>PASQUIN, Ryan</v>
      </c>
      <c r="G130" s="2">
        <f>ROUNDUP(SUMIFS('PRODUCTIVITY RAW'!$L:$L,'PRODUCTIVITY RAW'!$B:$B,BIDWARS!$B130),0)</f>
        <v>187</v>
      </c>
      <c r="H130" s="16" t="str">
        <f>IFERROR(IF($D130="Proofreader",INDEX('CHURN RAW'!$H:$H,MATCH("SITE LEVEL",'CHURN RAW'!$C:$C,0)),IF($D130="Internal Mods (PSI)","-",INDEX(RESOURCES!$X:$X,MATCH(BIDWARS!$B130,RESOURCES!$C:$C,0)))),"-")</f>
        <v>-</v>
      </c>
      <c r="I130" s="16">
        <f>IFERROR(ROUNDUP(INDEX(RESOURCES!$Y:$Y,MATCH(BIDWARS!$B130,RESOURCES!$C:$C,0)),2),"-")</f>
        <v>1</v>
      </c>
      <c r="J130" s="16" t="str">
        <f>IFERROR(ROUNDUP(INDEX(RESOURCES!$AA:$AA,MATCH(BIDWARS!$B130,RESOURCES!$C:$C,0)),2),"-")</f>
        <v>-</v>
      </c>
      <c r="K130" s="16">
        <f>IFERROR(VLOOKUP($C130,'CE RAW'!$D:$H,4,FALSE),"-")</f>
        <v>1</v>
      </c>
      <c r="L130" s="16" t="str">
        <f>IFERROR(VLOOKUP($C130,'CE RAW'!$D:$H,5,FALSE),"-")</f>
        <v>-</v>
      </c>
      <c r="M130" s="2">
        <f>COUNTIFS('BONUS RAW'!$D:$D,BIDWARS!$B130,'BONUS RAW'!$J:$J,"KUDOS")</f>
        <v>0</v>
      </c>
      <c r="N130" s="324">
        <f>IF(AND(SUMIFS('ATTENDANCE RAW'!$I:$I,'ATTENDANCE RAW'!$E:$E,BIDWARS!$B130)=0,SUMIFS('ATTENDANCE RAW'!$J:$J,'ATTENDANCE RAW'!$E:$E,BIDWARS!$B130)=0),1,0)</f>
        <v>1</v>
      </c>
      <c r="O130" s="241" t="str">
        <f>IF(ISERROR(VLOOKUP($B130,'ATTRITION RAW'!$E:$E,1,0)),"ACTIVE","INACTIVE")</f>
        <v>ACTIVE</v>
      </c>
      <c r="P130" s="432">
        <f t="shared" si="12"/>
        <v>187</v>
      </c>
      <c r="Q130" s="432" t="str">
        <f t="shared" si="13"/>
        <v>-</v>
      </c>
      <c r="R130" s="432">
        <f t="shared" si="14"/>
        <v>200</v>
      </c>
      <c r="S130" s="432" t="str">
        <f t="shared" si="15"/>
        <v>-</v>
      </c>
      <c r="T130" s="432">
        <f t="shared" si="16"/>
        <v>200</v>
      </c>
      <c r="U130" s="432">
        <f t="shared" si="18"/>
        <v>0</v>
      </c>
      <c r="V130" s="432">
        <f t="shared" si="19"/>
        <v>50</v>
      </c>
      <c r="W130" s="433">
        <f t="shared" si="17"/>
        <v>637</v>
      </c>
    </row>
    <row r="131" spans="1:23">
      <c r="A131" s="2">
        <f>RESOURCES!B127</f>
        <v>124</v>
      </c>
      <c r="B131" s="431">
        <f>RESOURCES!C127</f>
        <v>10072220</v>
      </c>
      <c r="C131" s="431" t="str">
        <f>RESOURCES!D127</f>
        <v>MAGPOC, MARLON B.</v>
      </c>
      <c r="D131" s="2" t="str">
        <f>RESOURCES!E127</f>
        <v>Internal Mods (PSI)</v>
      </c>
      <c r="E131" s="2" t="str">
        <f>RESOURCES!F127</f>
        <v>BARRIOS, Renell</v>
      </c>
      <c r="F131" s="2" t="str">
        <f>RESOURCES!G127</f>
        <v>PASQUIN, Ryan</v>
      </c>
      <c r="G131" s="2">
        <f>ROUNDUP(SUMIFS('PRODUCTIVITY RAW'!$L:$L,'PRODUCTIVITY RAW'!$B:$B,BIDWARS!$B131),0)</f>
        <v>270</v>
      </c>
      <c r="H131" s="16" t="str">
        <f>IFERROR(IF($D131="Proofreader",INDEX('CHURN RAW'!$H:$H,MATCH("SITE LEVEL",'CHURN RAW'!$C:$C,0)),IF($D131="Internal Mods (PSI)","-",INDEX(RESOURCES!$X:$X,MATCH(BIDWARS!$B131,RESOURCES!$C:$C,0)))),"-")</f>
        <v>-</v>
      </c>
      <c r="I131" s="16">
        <f>IFERROR(ROUNDUP(INDEX(RESOURCES!$Y:$Y,MATCH(BIDWARS!$B131,RESOURCES!$C:$C,0)),2),"-")</f>
        <v>1</v>
      </c>
      <c r="J131" s="16" t="str">
        <f>IFERROR(ROUNDUP(INDEX(RESOURCES!$AA:$AA,MATCH(BIDWARS!$B131,RESOURCES!$C:$C,0)),2),"-")</f>
        <v>-</v>
      </c>
      <c r="K131" s="16">
        <f>IFERROR(VLOOKUP($C131,'CE RAW'!$D:$H,4,FALSE),"-")</f>
        <v>1</v>
      </c>
      <c r="L131" s="16">
        <f>IFERROR(VLOOKUP($C131,'CE RAW'!$D:$H,5,FALSE),"-")</f>
        <v>1</v>
      </c>
      <c r="M131" s="2">
        <f>COUNTIFS('BONUS RAW'!$D:$D,BIDWARS!$B131,'BONUS RAW'!$J:$J,"KUDOS")</f>
        <v>0</v>
      </c>
      <c r="N131" s="324">
        <f>IF(AND(SUMIFS('ATTENDANCE RAW'!$I:$I,'ATTENDANCE RAW'!$E:$E,BIDWARS!$B131)=0,SUMIFS('ATTENDANCE RAW'!$J:$J,'ATTENDANCE RAW'!$E:$E,BIDWARS!$B131)=0),1,0)</f>
        <v>1</v>
      </c>
      <c r="O131" s="241" t="str">
        <f>IF(ISERROR(VLOOKUP($B131,'ATTRITION RAW'!$E:$E,1,0)),"ACTIVE","INACTIVE")</f>
        <v>ACTIVE</v>
      </c>
      <c r="P131" s="432">
        <f t="shared" si="12"/>
        <v>270</v>
      </c>
      <c r="Q131" s="432" t="str">
        <f t="shared" si="13"/>
        <v>-</v>
      </c>
      <c r="R131" s="432">
        <f t="shared" si="14"/>
        <v>200</v>
      </c>
      <c r="S131" s="432" t="str">
        <f t="shared" si="15"/>
        <v>-</v>
      </c>
      <c r="T131" s="432">
        <f t="shared" si="16"/>
        <v>200</v>
      </c>
      <c r="U131" s="432">
        <f t="shared" si="18"/>
        <v>0</v>
      </c>
      <c r="V131" s="432">
        <f t="shared" si="19"/>
        <v>50</v>
      </c>
      <c r="W131" s="433">
        <f t="shared" si="17"/>
        <v>720</v>
      </c>
    </row>
    <row r="132" spans="1:23">
      <c r="A132" s="2">
        <f>RESOURCES!B128</f>
        <v>125</v>
      </c>
      <c r="B132" s="431">
        <f>RESOURCES!C128</f>
        <v>10072512</v>
      </c>
      <c r="C132" s="431" t="str">
        <f>RESOURCES!D128</f>
        <v>BAUN, JOHN NEIL G.</v>
      </c>
      <c r="D132" s="2" t="str">
        <f>RESOURCES!E128</f>
        <v>Internal Mods (PSI)</v>
      </c>
      <c r="E132" s="2" t="str">
        <f>RESOURCES!F128</f>
        <v>BARRIOS, Renell</v>
      </c>
      <c r="F132" s="2" t="str">
        <f>RESOURCES!G128</f>
        <v>PASQUIN, Ryan</v>
      </c>
      <c r="G132" s="2">
        <f>ROUNDUP(SUMIFS('PRODUCTIVITY RAW'!$L:$L,'PRODUCTIVITY RAW'!$B:$B,BIDWARS!$B132),0)</f>
        <v>0</v>
      </c>
      <c r="H132" s="16" t="str">
        <f>IFERROR(IF($D132="Proofreader",INDEX('CHURN RAW'!$H:$H,MATCH("SITE LEVEL",'CHURN RAW'!$C:$C,0)),IF($D132="Internal Mods (PSI)","-",INDEX(RESOURCES!$X:$X,MATCH(BIDWARS!$B132,RESOURCES!$C:$C,0)))),"-")</f>
        <v>-</v>
      </c>
      <c r="I132" s="16" t="str">
        <f>IFERROR(ROUNDUP(INDEX(RESOURCES!$Y:$Y,MATCH(BIDWARS!$B132,RESOURCES!$C:$C,0)),2),"-")</f>
        <v>-</v>
      </c>
      <c r="J132" s="16" t="str">
        <f>IFERROR(ROUNDUP(INDEX(RESOURCES!$AA:$AA,MATCH(BIDWARS!$B132,RESOURCES!$C:$C,0)),2),"-")</f>
        <v>-</v>
      </c>
      <c r="K132" s="16" t="str">
        <f>IFERROR(VLOOKUP($C132,'CE RAW'!$D:$H,4,FALSE),"-")</f>
        <v>-</v>
      </c>
      <c r="L132" s="16" t="str">
        <f>IFERROR(VLOOKUP($C132,'CE RAW'!$D:$H,5,FALSE),"-")</f>
        <v>-</v>
      </c>
      <c r="M132" s="2">
        <f>COUNTIFS('BONUS RAW'!$D:$D,BIDWARS!$B132,'BONUS RAW'!$J:$J,"KUDOS")</f>
        <v>0</v>
      </c>
      <c r="N132" s="324">
        <f>IF(AND(SUMIFS('ATTENDANCE RAW'!$I:$I,'ATTENDANCE RAW'!$E:$E,BIDWARS!$B132)=0,SUMIFS('ATTENDANCE RAW'!$J:$J,'ATTENDANCE RAW'!$E:$E,BIDWARS!$B132)=0),1,0)</f>
        <v>0</v>
      </c>
      <c r="O132" s="241" t="str">
        <f>IF(ISERROR(VLOOKUP($B132,'ATTRITION RAW'!$E:$E,1,0)),"ACTIVE","INACTIVE")</f>
        <v>INACTIVE</v>
      </c>
      <c r="P132" s="432">
        <f t="shared" si="12"/>
        <v>0</v>
      </c>
      <c r="Q132" s="432" t="str">
        <f t="shared" si="13"/>
        <v>-</v>
      </c>
      <c r="R132" s="432" t="str">
        <f t="shared" si="14"/>
        <v>-</v>
      </c>
      <c r="S132" s="432" t="str">
        <f t="shared" si="15"/>
        <v>-</v>
      </c>
      <c r="T132" s="432" t="str">
        <f t="shared" si="16"/>
        <v>-</v>
      </c>
      <c r="U132" s="432">
        <f t="shared" ref="U132:U153" si="20">IFERROR(M132*U$1,"-")</f>
        <v>0</v>
      </c>
      <c r="V132" s="432">
        <f t="shared" ref="V132:V153" si="21">IFERROR(N132*V$1,"-")</f>
        <v>0</v>
      </c>
      <c r="W132" s="433">
        <f t="shared" si="17"/>
        <v>0</v>
      </c>
    </row>
    <row r="133" spans="1:23">
      <c r="A133" s="2">
        <f>RESOURCES!B129</f>
        <v>126</v>
      </c>
      <c r="B133" s="431">
        <f>RESOURCES!C129</f>
        <v>10072224</v>
      </c>
      <c r="C133" s="431" t="str">
        <f>RESOURCES!D129</f>
        <v>BUNA, JAYSON C.</v>
      </c>
      <c r="D133" s="2" t="str">
        <f>RESOURCES!E129</f>
        <v>Internal Mods (PSI)</v>
      </c>
      <c r="E133" s="2" t="str">
        <f>RESOURCES!F129</f>
        <v>BARRIOS, Renell</v>
      </c>
      <c r="F133" s="2" t="str">
        <f>RESOURCES!G129</f>
        <v>PASQUIN, Ryan</v>
      </c>
      <c r="G133" s="2">
        <f>ROUNDUP(SUMIFS('PRODUCTIVITY RAW'!$L:$L,'PRODUCTIVITY RAW'!$B:$B,BIDWARS!$B133),0)</f>
        <v>251</v>
      </c>
      <c r="H133" s="16" t="str">
        <f>IFERROR(IF($D133="Proofreader",INDEX('CHURN RAW'!$H:$H,MATCH("SITE LEVEL",'CHURN RAW'!$C:$C,0)),IF($D133="Internal Mods (PSI)","-",INDEX(RESOURCES!$X:$X,MATCH(BIDWARS!$B133,RESOURCES!$C:$C,0)))),"-")</f>
        <v>-</v>
      </c>
      <c r="I133" s="16">
        <f>IFERROR(ROUNDUP(INDEX(RESOURCES!$Y:$Y,MATCH(BIDWARS!$B133,RESOURCES!$C:$C,0)),2),"-")</f>
        <v>1</v>
      </c>
      <c r="J133" s="16" t="str">
        <f>IFERROR(ROUNDUP(INDEX(RESOURCES!$AA:$AA,MATCH(BIDWARS!$B133,RESOURCES!$C:$C,0)),2),"-")</f>
        <v>-</v>
      </c>
      <c r="K133" s="16">
        <f>IFERROR(VLOOKUP($C133,'CE RAW'!$D:$H,4,FALSE),"-")</f>
        <v>0.96060000000000001</v>
      </c>
      <c r="L133" s="16">
        <f>IFERROR(VLOOKUP($C133,'CE RAW'!$D:$H,5,FALSE),"-")</f>
        <v>1</v>
      </c>
      <c r="M133" s="2">
        <f>COUNTIFS('BONUS RAW'!$D:$D,BIDWARS!$B133,'BONUS RAW'!$J:$J,"KUDOS")</f>
        <v>1</v>
      </c>
      <c r="N133" s="324">
        <f>IF(AND(SUMIFS('ATTENDANCE RAW'!$I:$I,'ATTENDANCE RAW'!$E:$E,BIDWARS!$B133)=0,SUMIFS('ATTENDANCE RAW'!$J:$J,'ATTENDANCE RAW'!$E:$E,BIDWARS!$B133)=0),1,0)</f>
        <v>0</v>
      </c>
      <c r="O133" s="241" t="str">
        <f>IF(ISERROR(VLOOKUP($B133,'ATTRITION RAW'!$E:$E,1,0)),"ACTIVE","INACTIVE")</f>
        <v>ACTIVE</v>
      </c>
      <c r="P133" s="432">
        <f t="shared" ref="P133:P153" si="22">IFERROR(IF($D133="Proofreader",ROUNDUP(($G133*$O$1),0),IF($D133="DBA",ROUNDUP(($G133*$N$1*5.21),0),IF($D133="Voice QA",ROUNDUP(($G133*$M$1),0),$G133))),"-")</f>
        <v>251</v>
      </c>
      <c r="Q133" s="432" t="str">
        <f t="shared" ref="Q133:Q153" si="23">IFERROR(IF($H133=100%,$H133*4,IF($H133&gt;=90%,$H133*3,$H133*2))*100,"-")</f>
        <v>-</v>
      </c>
      <c r="R133" s="432">
        <f t="shared" ref="R133:R153" si="24">IFERROR((I133*100)*R$1,"-")</f>
        <v>200</v>
      </c>
      <c r="S133" s="432" t="str">
        <f t="shared" ref="S133:S153" si="25">IFERROR((J133*100)*S$1,"-")</f>
        <v>-</v>
      </c>
      <c r="T133" s="432">
        <f t="shared" ref="T133:T153" si="26">IFERROR(IF($L133&gt;=90%,ROUNDUP($K133,2)*2,IF($L133&gt;=80%,ROUNDUP($K133,2)*1.5,ROUNDUP($K133,2)*1))*100,"-")</f>
        <v>194</v>
      </c>
      <c r="U133" s="432">
        <f t="shared" si="20"/>
        <v>25</v>
      </c>
      <c r="V133" s="432">
        <f t="shared" si="21"/>
        <v>0</v>
      </c>
      <c r="W133" s="433">
        <f t="shared" ref="W133:W153" si="27">SUM(P133:V133)</f>
        <v>670</v>
      </c>
    </row>
    <row r="134" spans="1:23">
      <c r="A134" s="2">
        <f>RESOURCES!B130</f>
        <v>127</v>
      </c>
      <c r="B134" s="431">
        <f>RESOURCES!C130</f>
        <v>10071356</v>
      </c>
      <c r="C134" s="431" t="str">
        <f>RESOURCES!D130</f>
        <v>ARANAS, EMMALYN D.</v>
      </c>
      <c r="D134" s="2" t="str">
        <f>RESOURCES!E130</f>
        <v>Internal Mods (PSI)</v>
      </c>
      <c r="E134" s="2" t="str">
        <f>RESOURCES!F130</f>
        <v>BARRIOS, Renell</v>
      </c>
      <c r="F134" s="2" t="str">
        <f>RESOURCES!G130</f>
        <v>PASQUIN, Ryan</v>
      </c>
      <c r="G134" s="2">
        <f>ROUNDUP(SUMIFS('PRODUCTIVITY RAW'!$L:$L,'PRODUCTIVITY RAW'!$B:$B,BIDWARS!$B134),0)</f>
        <v>259</v>
      </c>
      <c r="H134" s="16" t="str">
        <f>IFERROR(IF($D134="Proofreader",INDEX('CHURN RAW'!$H:$H,MATCH("SITE LEVEL",'CHURN RAW'!$C:$C,0)),IF($D134="Internal Mods (PSI)","-",INDEX(RESOURCES!$X:$X,MATCH(BIDWARS!$B134,RESOURCES!$C:$C,0)))),"-")</f>
        <v>-</v>
      </c>
      <c r="I134" s="16">
        <f>IFERROR(ROUNDUP(INDEX(RESOURCES!$Y:$Y,MATCH(BIDWARS!$B134,RESOURCES!$C:$C,0)),2),"-")</f>
        <v>1</v>
      </c>
      <c r="J134" s="16" t="str">
        <f>IFERROR(ROUNDUP(INDEX(RESOURCES!$AA:$AA,MATCH(BIDWARS!$B134,RESOURCES!$C:$C,0)),2),"-")</f>
        <v>-</v>
      </c>
      <c r="K134" s="16">
        <f>IFERROR(VLOOKUP($C134,'CE RAW'!$D:$H,4,FALSE),"-")</f>
        <v>0.99199999999999999</v>
      </c>
      <c r="L134" s="16">
        <f>IFERROR(VLOOKUP($C134,'CE RAW'!$D:$H,5,FALSE),"-")</f>
        <v>1</v>
      </c>
      <c r="M134" s="2">
        <f>COUNTIFS('BONUS RAW'!$D:$D,BIDWARS!$B134,'BONUS RAW'!$J:$J,"KUDOS")</f>
        <v>0</v>
      </c>
      <c r="N134" s="324">
        <f>IF(AND(SUMIFS('ATTENDANCE RAW'!$I:$I,'ATTENDANCE RAW'!$E:$E,BIDWARS!$B134)=0,SUMIFS('ATTENDANCE RAW'!$J:$J,'ATTENDANCE RAW'!$E:$E,BIDWARS!$B134)=0),1,0)</f>
        <v>1</v>
      </c>
      <c r="O134" s="241" t="str">
        <f>IF(ISERROR(VLOOKUP($B134,'ATTRITION RAW'!$E:$E,1,0)),"ACTIVE","INACTIVE")</f>
        <v>ACTIVE</v>
      </c>
      <c r="P134" s="432">
        <f t="shared" si="22"/>
        <v>259</v>
      </c>
      <c r="Q134" s="432" t="str">
        <f t="shared" si="23"/>
        <v>-</v>
      </c>
      <c r="R134" s="432">
        <f t="shared" si="24"/>
        <v>200</v>
      </c>
      <c r="S134" s="432" t="str">
        <f t="shared" si="25"/>
        <v>-</v>
      </c>
      <c r="T134" s="432">
        <f t="shared" si="26"/>
        <v>200</v>
      </c>
      <c r="U134" s="432">
        <f t="shared" si="20"/>
        <v>0</v>
      </c>
      <c r="V134" s="432">
        <f t="shared" si="21"/>
        <v>50</v>
      </c>
      <c r="W134" s="433">
        <f t="shared" si="27"/>
        <v>709</v>
      </c>
    </row>
    <row r="135" spans="1:23">
      <c r="A135" s="2">
        <f>RESOURCES!B131</f>
        <v>128</v>
      </c>
      <c r="B135" s="431">
        <f>RESOURCES!C131</f>
        <v>10072032</v>
      </c>
      <c r="C135" s="431" t="str">
        <f>RESOURCES!D131</f>
        <v>DELA PAZ, ELDON O.</v>
      </c>
      <c r="D135" s="2" t="str">
        <f>RESOURCES!E131</f>
        <v>Internal Mods (PSI)</v>
      </c>
      <c r="E135" s="2" t="str">
        <f>RESOURCES!F131</f>
        <v>BARRIOS, Renell</v>
      </c>
      <c r="F135" s="2" t="str">
        <f>RESOURCES!G131</f>
        <v>PASQUIN, Ryan</v>
      </c>
      <c r="G135" s="2">
        <f>ROUNDUP(SUMIFS('PRODUCTIVITY RAW'!$L:$L,'PRODUCTIVITY RAW'!$B:$B,BIDWARS!$B135),0)</f>
        <v>133</v>
      </c>
      <c r="H135" s="16" t="str">
        <f>IFERROR(IF($D135="Proofreader",INDEX('CHURN RAW'!$H:$H,MATCH("SITE LEVEL",'CHURN RAW'!$C:$C,0)),IF($D135="Internal Mods (PSI)","-",INDEX(RESOURCES!$X:$X,MATCH(BIDWARS!$B135,RESOURCES!$C:$C,0)))),"-")</f>
        <v>-</v>
      </c>
      <c r="I135" s="16">
        <f>IFERROR(ROUNDUP(INDEX(RESOURCES!$Y:$Y,MATCH(BIDWARS!$B135,RESOURCES!$C:$C,0)),2),"-")</f>
        <v>1</v>
      </c>
      <c r="J135" s="16" t="str">
        <f>IFERROR(ROUNDUP(INDEX(RESOURCES!$AA:$AA,MATCH(BIDWARS!$B135,RESOURCES!$C:$C,0)),2),"-")</f>
        <v>-</v>
      </c>
      <c r="K135" s="16">
        <f>IFERROR(VLOOKUP($C135,'CE RAW'!$D:$H,4,FALSE),"-")</f>
        <v>0.97689999999999999</v>
      </c>
      <c r="L135" s="16">
        <f>IFERROR(VLOOKUP($C135,'CE RAW'!$D:$H,5,FALSE),"-")</f>
        <v>1</v>
      </c>
      <c r="M135" s="2">
        <f>COUNTIFS('BONUS RAW'!$D:$D,BIDWARS!$B135,'BONUS RAW'!$J:$J,"KUDOS")</f>
        <v>0</v>
      </c>
      <c r="N135" s="324">
        <f>IF(AND(SUMIFS('ATTENDANCE RAW'!$I:$I,'ATTENDANCE RAW'!$E:$E,BIDWARS!$B135)=0,SUMIFS('ATTENDANCE RAW'!$J:$J,'ATTENDANCE RAW'!$E:$E,BIDWARS!$B135)=0),1,0)</f>
        <v>0</v>
      </c>
      <c r="O135" s="241" t="str">
        <f>IF(ISERROR(VLOOKUP($B135,'ATTRITION RAW'!$E:$E,1,0)),"ACTIVE","INACTIVE")</f>
        <v>ACTIVE</v>
      </c>
      <c r="P135" s="432">
        <f t="shared" si="22"/>
        <v>133</v>
      </c>
      <c r="Q135" s="432" t="str">
        <f t="shared" si="23"/>
        <v>-</v>
      </c>
      <c r="R135" s="432">
        <f t="shared" si="24"/>
        <v>200</v>
      </c>
      <c r="S135" s="432" t="str">
        <f t="shared" si="25"/>
        <v>-</v>
      </c>
      <c r="T135" s="432">
        <f t="shared" si="26"/>
        <v>196</v>
      </c>
      <c r="U135" s="432">
        <f t="shared" si="20"/>
        <v>0</v>
      </c>
      <c r="V135" s="432">
        <f t="shared" si="21"/>
        <v>0</v>
      </c>
      <c r="W135" s="433">
        <f t="shared" si="27"/>
        <v>529</v>
      </c>
    </row>
    <row r="136" spans="1:23">
      <c r="A136" s="2">
        <f>RESOURCES!B132</f>
        <v>129</v>
      </c>
      <c r="B136" s="431">
        <f>RESOURCES!C132</f>
        <v>10071411</v>
      </c>
      <c r="C136" s="431" t="str">
        <f>RESOURCES!D132</f>
        <v>ENCINARES, JADE B.</v>
      </c>
      <c r="D136" s="2" t="str">
        <f>RESOURCES!E132</f>
        <v>Internal Mods (PSI)</v>
      </c>
      <c r="E136" s="2" t="str">
        <f>RESOURCES!F132</f>
        <v>BARRIOS, Renell</v>
      </c>
      <c r="F136" s="2" t="str">
        <f>RESOURCES!G132</f>
        <v>PASQUIN, Ryan</v>
      </c>
      <c r="G136" s="2">
        <f>ROUNDUP(SUMIFS('PRODUCTIVITY RAW'!$L:$L,'PRODUCTIVITY RAW'!$B:$B,BIDWARS!$B136),0)</f>
        <v>187</v>
      </c>
      <c r="H136" s="16" t="str">
        <f>IFERROR(IF($D136="Proofreader",INDEX('CHURN RAW'!$H:$H,MATCH("SITE LEVEL",'CHURN RAW'!$C:$C,0)),IF($D136="Internal Mods (PSI)","-",INDEX(RESOURCES!$X:$X,MATCH(BIDWARS!$B136,RESOURCES!$C:$C,0)))),"-")</f>
        <v>-</v>
      </c>
      <c r="I136" s="16">
        <f>IFERROR(ROUNDUP(INDEX(RESOURCES!$Y:$Y,MATCH(BIDWARS!$B136,RESOURCES!$C:$C,0)),2),"-")</f>
        <v>1</v>
      </c>
      <c r="J136" s="16" t="str">
        <f>IFERROR(ROUNDUP(INDEX(RESOURCES!$AA:$AA,MATCH(BIDWARS!$B136,RESOURCES!$C:$C,0)),2),"-")</f>
        <v>-</v>
      </c>
      <c r="K136" s="16">
        <f>IFERROR(VLOOKUP($C136,'CE RAW'!$D:$H,4,FALSE),"-")</f>
        <v>0.99209999999999998</v>
      </c>
      <c r="L136" s="16">
        <f>IFERROR(VLOOKUP($C136,'CE RAW'!$D:$H,5,FALSE),"-")</f>
        <v>1</v>
      </c>
      <c r="M136" s="2">
        <f>COUNTIFS('BONUS RAW'!$D:$D,BIDWARS!$B136,'BONUS RAW'!$J:$J,"KUDOS")</f>
        <v>0</v>
      </c>
      <c r="N136" s="324">
        <f>IF(AND(SUMIFS('ATTENDANCE RAW'!$I:$I,'ATTENDANCE RAW'!$E:$E,BIDWARS!$B136)=0,SUMIFS('ATTENDANCE RAW'!$J:$J,'ATTENDANCE RAW'!$E:$E,BIDWARS!$B136)=0),1,0)</f>
        <v>0</v>
      </c>
      <c r="O136" s="241" t="str">
        <f>IF(ISERROR(VLOOKUP($B136,'ATTRITION RAW'!$E:$E,1,0)),"ACTIVE","INACTIVE")</f>
        <v>ACTIVE</v>
      </c>
      <c r="P136" s="432">
        <f t="shared" si="22"/>
        <v>187</v>
      </c>
      <c r="Q136" s="432" t="str">
        <f t="shared" si="23"/>
        <v>-</v>
      </c>
      <c r="R136" s="432">
        <f t="shared" si="24"/>
        <v>200</v>
      </c>
      <c r="S136" s="432" t="str">
        <f t="shared" si="25"/>
        <v>-</v>
      </c>
      <c r="T136" s="432">
        <f t="shared" si="26"/>
        <v>200</v>
      </c>
      <c r="U136" s="432">
        <f t="shared" si="20"/>
        <v>0</v>
      </c>
      <c r="V136" s="432">
        <f t="shared" si="21"/>
        <v>0</v>
      </c>
      <c r="W136" s="433">
        <f t="shared" si="27"/>
        <v>587</v>
      </c>
    </row>
    <row r="137" spans="1:23">
      <c r="A137" s="2">
        <f>RESOURCES!B133</f>
        <v>130</v>
      </c>
      <c r="B137" s="431">
        <f>RESOURCES!C133</f>
        <v>10071946</v>
      </c>
      <c r="C137" s="431" t="str">
        <f>RESOURCES!D133</f>
        <v>NARCISO, HARTY JONES L.</v>
      </c>
      <c r="D137" s="2" t="str">
        <f>RESOURCES!E133</f>
        <v>Internal Mods (PSI)</v>
      </c>
      <c r="E137" s="2" t="str">
        <f>RESOURCES!F133</f>
        <v>BARRIOS, Renell</v>
      </c>
      <c r="F137" s="2" t="str">
        <f>RESOURCES!G133</f>
        <v>PASQUIN, Ryan</v>
      </c>
      <c r="G137" s="2">
        <f>ROUNDUP(SUMIFS('PRODUCTIVITY RAW'!$L:$L,'PRODUCTIVITY RAW'!$B:$B,BIDWARS!$B137),0)</f>
        <v>143</v>
      </c>
      <c r="H137" s="16" t="str">
        <f>IFERROR(IF($D137="Proofreader",INDEX('CHURN RAW'!$H:$H,MATCH("SITE LEVEL",'CHURN RAW'!$C:$C,0)),IF($D137="Internal Mods (PSI)","-",INDEX(RESOURCES!$X:$X,MATCH(BIDWARS!$B137,RESOURCES!$C:$C,0)))),"-")</f>
        <v>-</v>
      </c>
      <c r="I137" s="16" t="str">
        <f>IFERROR(ROUNDUP(INDEX(RESOURCES!$Y:$Y,MATCH(BIDWARS!$B137,RESOURCES!$C:$C,0)),2),"-")</f>
        <v>-</v>
      </c>
      <c r="J137" s="16" t="str">
        <f>IFERROR(ROUNDUP(INDEX(RESOURCES!$AA:$AA,MATCH(BIDWARS!$B137,RESOURCES!$C:$C,0)),2),"-")</f>
        <v>-</v>
      </c>
      <c r="K137" s="16">
        <f>IFERROR(VLOOKUP($C137,'CE RAW'!$D:$H,4,FALSE),"-")</f>
        <v>0.94189999999999996</v>
      </c>
      <c r="L137" s="16">
        <f>IFERROR(VLOOKUP($C137,'CE RAW'!$D:$H,5,FALSE),"-")</f>
        <v>1</v>
      </c>
      <c r="M137" s="2">
        <f>COUNTIFS('BONUS RAW'!$D:$D,BIDWARS!$B137,'BONUS RAW'!$J:$J,"KUDOS")</f>
        <v>0</v>
      </c>
      <c r="N137" s="324">
        <f>IF(AND(SUMIFS('ATTENDANCE RAW'!$I:$I,'ATTENDANCE RAW'!$E:$E,BIDWARS!$B137)=0,SUMIFS('ATTENDANCE RAW'!$J:$J,'ATTENDANCE RAW'!$E:$E,BIDWARS!$B137)=0),1,0)</f>
        <v>0</v>
      </c>
      <c r="O137" s="241" t="str">
        <f>IF(ISERROR(VLOOKUP($B137,'ATTRITION RAW'!$E:$E,1,0)),"ACTIVE","INACTIVE")</f>
        <v>ACTIVE</v>
      </c>
      <c r="P137" s="432">
        <f t="shared" si="22"/>
        <v>143</v>
      </c>
      <c r="Q137" s="432" t="str">
        <f t="shared" si="23"/>
        <v>-</v>
      </c>
      <c r="R137" s="432" t="str">
        <f t="shared" si="24"/>
        <v>-</v>
      </c>
      <c r="S137" s="432" t="str">
        <f t="shared" si="25"/>
        <v>-</v>
      </c>
      <c r="T137" s="432">
        <f t="shared" si="26"/>
        <v>190</v>
      </c>
      <c r="U137" s="432">
        <f t="shared" si="20"/>
        <v>0</v>
      </c>
      <c r="V137" s="432">
        <f t="shared" si="21"/>
        <v>0</v>
      </c>
      <c r="W137" s="433">
        <f t="shared" si="27"/>
        <v>333</v>
      </c>
    </row>
    <row r="138" spans="1:23">
      <c r="A138" s="2">
        <f>RESOURCES!B134</f>
        <v>131</v>
      </c>
      <c r="B138" s="431">
        <f>RESOURCES!C134</f>
        <v>10071729</v>
      </c>
      <c r="C138" s="431" t="str">
        <f>RESOURCES!D134</f>
        <v>PADUA, RHIYANA VENISE M.</v>
      </c>
      <c r="D138" s="2" t="str">
        <f>RESOURCES!E134</f>
        <v>Internal Mods (PSI)</v>
      </c>
      <c r="E138" s="2" t="str">
        <f>RESOURCES!F134</f>
        <v>BARRIOS, Renell</v>
      </c>
      <c r="F138" s="2" t="str">
        <f>RESOURCES!G134</f>
        <v>PASQUIN, Ryan</v>
      </c>
      <c r="G138" s="2">
        <f>ROUNDUP(SUMIFS('PRODUCTIVITY RAW'!$L:$L,'PRODUCTIVITY RAW'!$B:$B,BIDWARS!$B138),0)</f>
        <v>236</v>
      </c>
      <c r="H138" s="16" t="str">
        <f>IFERROR(IF($D138="Proofreader",INDEX('CHURN RAW'!$H:$H,MATCH("SITE LEVEL",'CHURN RAW'!$C:$C,0)),IF($D138="Internal Mods (PSI)","-",INDEX(RESOURCES!$X:$X,MATCH(BIDWARS!$B138,RESOURCES!$C:$C,0)))),"-")</f>
        <v>-</v>
      </c>
      <c r="I138" s="16">
        <f>IFERROR(ROUNDUP(INDEX(RESOURCES!$Y:$Y,MATCH(BIDWARS!$B138,RESOURCES!$C:$C,0)),2),"-")</f>
        <v>1</v>
      </c>
      <c r="J138" s="16" t="str">
        <f>IFERROR(ROUNDUP(INDEX(RESOURCES!$AA:$AA,MATCH(BIDWARS!$B138,RESOURCES!$C:$C,0)),2),"-")</f>
        <v>-</v>
      </c>
      <c r="K138" s="16">
        <f>IFERROR(VLOOKUP($C138,'CE RAW'!$D:$H,4,FALSE),"-")</f>
        <v>0.98519999999999996</v>
      </c>
      <c r="L138" s="16" t="str">
        <f>IFERROR(VLOOKUP($C138,'CE RAW'!$D:$H,5,FALSE),"-")</f>
        <v>-</v>
      </c>
      <c r="M138" s="2">
        <f>COUNTIFS('BONUS RAW'!$D:$D,BIDWARS!$B138,'BONUS RAW'!$J:$J,"KUDOS")</f>
        <v>1</v>
      </c>
      <c r="N138" s="324">
        <f>IF(AND(SUMIFS('ATTENDANCE RAW'!$I:$I,'ATTENDANCE RAW'!$E:$E,BIDWARS!$B138)=0,SUMIFS('ATTENDANCE RAW'!$J:$J,'ATTENDANCE RAW'!$E:$E,BIDWARS!$B138)=0),1,0)</f>
        <v>1</v>
      </c>
      <c r="O138" s="241" t="str">
        <f>IF(ISERROR(VLOOKUP($B138,'ATTRITION RAW'!$E:$E,1,0)),"ACTIVE","INACTIVE")</f>
        <v>ACTIVE</v>
      </c>
      <c r="P138" s="432">
        <f t="shared" si="22"/>
        <v>236</v>
      </c>
      <c r="Q138" s="432" t="str">
        <f t="shared" si="23"/>
        <v>-</v>
      </c>
      <c r="R138" s="432">
        <f t="shared" si="24"/>
        <v>200</v>
      </c>
      <c r="S138" s="432" t="str">
        <f t="shared" si="25"/>
        <v>-</v>
      </c>
      <c r="T138" s="432">
        <f t="shared" si="26"/>
        <v>198</v>
      </c>
      <c r="U138" s="432">
        <f t="shared" si="20"/>
        <v>25</v>
      </c>
      <c r="V138" s="432">
        <f t="shared" si="21"/>
        <v>50</v>
      </c>
      <c r="W138" s="433">
        <f t="shared" si="27"/>
        <v>709</v>
      </c>
    </row>
    <row r="139" spans="1:23">
      <c r="A139" s="2">
        <f>RESOURCES!B135</f>
        <v>132</v>
      </c>
      <c r="B139" s="431">
        <f>RESOURCES!C135</f>
        <v>10071151</v>
      </c>
      <c r="C139" s="431" t="str">
        <f>RESOURCES!D135</f>
        <v>RABE, DARREN H.</v>
      </c>
      <c r="D139" s="2" t="str">
        <f>RESOURCES!E135</f>
        <v>Internal Mods (PSI)</v>
      </c>
      <c r="E139" s="2" t="str">
        <f>RESOURCES!F135</f>
        <v>BARRIOS, Renell</v>
      </c>
      <c r="F139" s="2" t="str">
        <f>RESOURCES!G135</f>
        <v>PASQUIN, Ryan</v>
      </c>
      <c r="G139" s="2">
        <f>ROUNDUP(SUMIFS('PRODUCTIVITY RAW'!$L:$L,'PRODUCTIVITY RAW'!$B:$B,BIDWARS!$B139),0)</f>
        <v>149</v>
      </c>
      <c r="H139" s="16" t="str">
        <f>IFERROR(IF($D139="Proofreader",INDEX('CHURN RAW'!$H:$H,MATCH("SITE LEVEL",'CHURN RAW'!$C:$C,0)),IF($D139="Internal Mods (PSI)","-",INDEX(RESOURCES!$X:$X,MATCH(BIDWARS!$B139,RESOURCES!$C:$C,0)))),"-")</f>
        <v>-</v>
      </c>
      <c r="I139" s="16">
        <f>IFERROR(ROUNDUP(INDEX(RESOURCES!$Y:$Y,MATCH(BIDWARS!$B139,RESOURCES!$C:$C,0)),2),"-")</f>
        <v>1</v>
      </c>
      <c r="J139" s="16" t="str">
        <f>IFERROR(ROUNDUP(INDEX(RESOURCES!$AA:$AA,MATCH(BIDWARS!$B139,RESOURCES!$C:$C,0)),2),"-")</f>
        <v>-</v>
      </c>
      <c r="K139" s="16">
        <f>IFERROR(VLOOKUP($C139,'CE RAW'!$D:$H,4,FALSE),"-")</f>
        <v>0.91849999999999998</v>
      </c>
      <c r="L139" s="16" t="str">
        <f>IFERROR(VLOOKUP($C139,'CE RAW'!$D:$H,5,FALSE),"-")</f>
        <v>-</v>
      </c>
      <c r="M139" s="2">
        <f>COUNTIFS('BONUS RAW'!$D:$D,BIDWARS!$B139,'BONUS RAW'!$J:$J,"KUDOS")</f>
        <v>0</v>
      </c>
      <c r="N139" s="324">
        <f>IF(AND(SUMIFS('ATTENDANCE RAW'!$I:$I,'ATTENDANCE RAW'!$E:$E,BIDWARS!$B139)=0,SUMIFS('ATTENDANCE RAW'!$J:$J,'ATTENDANCE RAW'!$E:$E,BIDWARS!$B139)=0),1,0)</f>
        <v>0</v>
      </c>
      <c r="O139" s="241" t="str">
        <f>IF(ISERROR(VLOOKUP($B139,'ATTRITION RAW'!$E:$E,1,0)),"ACTIVE","INACTIVE")</f>
        <v>ACTIVE</v>
      </c>
      <c r="P139" s="432">
        <f t="shared" si="22"/>
        <v>149</v>
      </c>
      <c r="Q139" s="432" t="str">
        <f t="shared" si="23"/>
        <v>-</v>
      </c>
      <c r="R139" s="432">
        <f t="shared" si="24"/>
        <v>200</v>
      </c>
      <c r="S139" s="432" t="str">
        <f t="shared" si="25"/>
        <v>-</v>
      </c>
      <c r="T139" s="432">
        <f t="shared" si="26"/>
        <v>184</v>
      </c>
      <c r="U139" s="432">
        <f t="shared" si="20"/>
        <v>0</v>
      </c>
      <c r="V139" s="432">
        <f t="shared" si="21"/>
        <v>0</v>
      </c>
      <c r="W139" s="433">
        <f t="shared" si="27"/>
        <v>533</v>
      </c>
    </row>
    <row r="140" spans="1:23">
      <c r="A140" s="2">
        <f>RESOURCES!B136</f>
        <v>133</v>
      </c>
      <c r="B140" s="431">
        <f>RESOURCES!C136</f>
        <v>10072439</v>
      </c>
      <c r="C140" s="431" t="str">
        <f>RESOURCES!D136</f>
        <v>SANDOVAL, MARIANN R.</v>
      </c>
      <c r="D140" s="2" t="str">
        <f>RESOURCES!E136</f>
        <v>Internal Mods (PSI)</v>
      </c>
      <c r="E140" s="2" t="str">
        <f>RESOURCES!F136</f>
        <v>BARRIOS, Renell</v>
      </c>
      <c r="F140" s="2" t="str">
        <f>RESOURCES!G136</f>
        <v>PASQUIN, Ryan</v>
      </c>
      <c r="G140" s="2">
        <f>ROUNDUP(SUMIFS('PRODUCTIVITY RAW'!$L:$L,'PRODUCTIVITY RAW'!$B:$B,BIDWARS!$B140),0)</f>
        <v>172</v>
      </c>
      <c r="H140" s="16" t="str">
        <f>IFERROR(IF($D140="Proofreader",INDEX('CHURN RAW'!$H:$H,MATCH("SITE LEVEL",'CHURN RAW'!$C:$C,0)),IF($D140="Internal Mods (PSI)","-",INDEX(RESOURCES!$X:$X,MATCH(BIDWARS!$B140,RESOURCES!$C:$C,0)))),"-")</f>
        <v>-</v>
      </c>
      <c r="I140" s="16">
        <f>IFERROR(ROUNDUP(INDEX(RESOURCES!$Y:$Y,MATCH(BIDWARS!$B140,RESOURCES!$C:$C,0)),2),"-")</f>
        <v>1</v>
      </c>
      <c r="J140" s="16" t="str">
        <f>IFERROR(ROUNDUP(INDEX(RESOURCES!$AA:$AA,MATCH(BIDWARS!$B140,RESOURCES!$C:$C,0)),2),"-")</f>
        <v>-</v>
      </c>
      <c r="K140" s="16">
        <f>IFERROR(VLOOKUP($C140,'CE RAW'!$D:$H,4,FALSE),"-")</f>
        <v>0.98570000000000002</v>
      </c>
      <c r="L140" s="16">
        <f>IFERROR(VLOOKUP($C140,'CE RAW'!$D:$H,5,FALSE),"-")</f>
        <v>1</v>
      </c>
      <c r="M140" s="2">
        <f>COUNTIFS('BONUS RAW'!$D:$D,BIDWARS!$B140,'BONUS RAW'!$J:$J,"KUDOS")</f>
        <v>0</v>
      </c>
      <c r="N140" s="324">
        <f>IF(AND(SUMIFS('ATTENDANCE RAW'!$I:$I,'ATTENDANCE RAW'!$E:$E,BIDWARS!$B140)=0,SUMIFS('ATTENDANCE RAW'!$J:$J,'ATTENDANCE RAW'!$E:$E,BIDWARS!$B140)=0),1,0)</f>
        <v>0</v>
      </c>
      <c r="O140" s="241" t="str">
        <f>IF(ISERROR(VLOOKUP($B140,'ATTRITION RAW'!$E:$E,1,0)),"ACTIVE","INACTIVE")</f>
        <v>ACTIVE</v>
      </c>
      <c r="P140" s="432">
        <f t="shared" si="22"/>
        <v>172</v>
      </c>
      <c r="Q140" s="432" t="str">
        <f t="shared" si="23"/>
        <v>-</v>
      </c>
      <c r="R140" s="432">
        <f t="shared" si="24"/>
        <v>200</v>
      </c>
      <c r="S140" s="432" t="str">
        <f t="shared" si="25"/>
        <v>-</v>
      </c>
      <c r="T140" s="432">
        <f t="shared" si="26"/>
        <v>198</v>
      </c>
      <c r="U140" s="432">
        <f t="shared" si="20"/>
        <v>0</v>
      </c>
      <c r="V140" s="432">
        <f t="shared" si="21"/>
        <v>0</v>
      </c>
      <c r="W140" s="433">
        <f t="shared" si="27"/>
        <v>570</v>
      </c>
    </row>
    <row r="141" spans="1:23">
      <c r="A141" s="2">
        <f>RESOURCES!B137</f>
        <v>134</v>
      </c>
      <c r="B141" s="431">
        <f>RESOURCES!C137</f>
        <v>10071342</v>
      </c>
      <c r="C141" s="431" t="str">
        <f>RESOURCES!D137</f>
        <v>MOLON, JOHN NICO B.</v>
      </c>
      <c r="D141" s="2" t="str">
        <f>RESOURCES!E137</f>
        <v>Internal Mods (PSI)</v>
      </c>
      <c r="E141" s="2" t="str">
        <f>RESOURCES!F137</f>
        <v>BARRIOS, Renell</v>
      </c>
      <c r="F141" s="2" t="str">
        <f>RESOURCES!G137</f>
        <v>PASQUIN, Ryan</v>
      </c>
      <c r="G141" s="2">
        <f>ROUNDUP(SUMIFS('PRODUCTIVITY RAW'!$L:$L,'PRODUCTIVITY RAW'!$B:$B,BIDWARS!$B141),0)</f>
        <v>176</v>
      </c>
      <c r="H141" s="16" t="str">
        <f>IFERROR(IF($D141="Proofreader",INDEX('CHURN RAW'!$H:$H,MATCH("SITE LEVEL",'CHURN RAW'!$C:$C,0)),IF($D141="Internal Mods (PSI)","-",INDEX(RESOURCES!$X:$X,MATCH(BIDWARS!$B141,RESOURCES!$C:$C,0)))),"-")</f>
        <v>-</v>
      </c>
      <c r="I141" s="16" t="str">
        <f>IFERROR(ROUNDUP(INDEX(RESOURCES!$Y:$Y,MATCH(BIDWARS!$B141,RESOURCES!$C:$C,0)),2),"-")</f>
        <v>-</v>
      </c>
      <c r="J141" s="16" t="str">
        <f>IFERROR(ROUNDUP(INDEX(RESOURCES!$AA:$AA,MATCH(BIDWARS!$B141,RESOURCES!$C:$C,0)),2),"-")</f>
        <v>-</v>
      </c>
      <c r="K141" s="16">
        <f>IFERROR(VLOOKUP($C141,'CE RAW'!$D:$H,4,FALSE),"-")</f>
        <v>0.94230000000000003</v>
      </c>
      <c r="L141" s="16">
        <f>IFERROR(VLOOKUP($C141,'CE RAW'!$D:$H,5,FALSE),"-")</f>
        <v>1</v>
      </c>
      <c r="M141" s="2">
        <f>COUNTIFS('BONUS RAW'!$D:$D,BIDWARS!$B141,'BONUS RAW'!$J:$J,"KUDOS")</f>
        <v>0</v>
      </c>
      <c r="N141" s="324">
        <f>IF(AND(SUMIFS('ATTENDANCE RAW'!$I:$I,'ATTENDANCE RAW'!$E:$E,BIDWARS!$B141)=0,SUMIFS('ATTENDANCE RAW'!$J:$J,'ATTENDANCE RAW'!$E:$E,BIDWARS!$B141)=0),1,0)</f>
        <v>0</v>
      </c>
      <c r="O141" s="241" t="str">
        <f>IF(ISERROR(VLOOKUP($B141,'ATTRITION RAW'!$E:$E,1,0)),"ACTIVE","INACTIVE")</f>
        <v>ACTIVE</v>
      </c>
      <c r="P141" s="432">
        <f t="shared" si="22"/>
        <v>176</v>
      </c>
      <c r="Q141" s="432" t="str">
        <f t="shared" si="23"/>
        <v>-</v>
      </c>
      <c r="R141" s="432" t="str">
        <f t="shared" si="24"/>
        <v>-</v>
      </c>
      <c r="S141" s="432" t="str">
        <f t="shared" si="25"/>
        <v>-</v>
      </c>
      <c r="T141" s="432">
        <f t="shared" si="26"/>
        <v>190</v>
      </c>
      <c r="U141" s="432">
        <f t="shared" si="20"/>
        <v>0</v>
      </c>
      <c r="V141" s="432">
        <f t="shared" si="21"/>
        <v>0</v>
      </c>
      <c r="W141" s="433">
        <f t="shared" si="27"/>
        <v>366</v>
      </c>
    </row>
    <row r="142" spans="1:23">
      <c r="A142" s="2">
        <f>RESOURCES!B138</f>
        <v>135</v>
      </c>
      <c r="B142" s="431">
        <f>RESOURCES!C138</f>
        <v>10071047</v>
      </c>
      <c r="C142" s="431" t="str">
        <f>RESOURCES!D138</f>
        <v>Anova, Michelle</v>
      </c>
      <c r="D142" s="2" t="str">
        <f>RESOURCES!E138</f>
        <v>Voice QA</v>
      </c>
      <c r="E142" s="2" t="str">
        <f>RESOURCES!F138</f>
        <v>ARPON, Katherine</v>
      </c>
      <c r="F142" s="2" t="str">
        <f>RESOURCES!G138</f>
        <v>PASQUIN, Ryan</v>
      </c>
      <c r="G142" s="2">
        <f>ROUNDUP(SUMIFS('PRODUCTIVITY RAW'!$L:$L,'PRODUCTIVITY RAW'!$B:$B,BIDWARS!$B142),0)</f>
        <v>61</v>
      </c>
      <c r="H142" s="16" t="str">
        <f>IFERROR(IF($D142="Proofreader",INDEX('CHURN RAW'!$H:$H,MATCH("SITE LEVEL",'CHURN RAW'!$C:$C,0)),IF($D142="Internal Mods (PSI)","-",INDEX(RESOURCES!$X:$X,MATCH(BIDWARS!$B142,RESOURCES!$C:$C,0)))),"-")</f>
        <v>-</v>
      </c>
      <c r="I142" s="16">
        <f>IFERROR(ROUNDUP(INDEX(RESOURCES!$Y:$Y,MATCH(BIDWARS!$B142,RESOURCES!$C:$C,0)),2),"-")</f>
        <v>1</v>
      </c>
      <c r="J142" s="16">
        <f>IFERROR(ROUNDUP(INDEX(RESOURCES!$AA:$AA,MATCH(BIDWARS!$B142,RESOURCES!$C:$C,0)),2),"-")</f>
        <v>1</v>
      </c>
      <c r="K142" s="16" t="str">
        <f>IFERROR(VLOOKUP($C142,'CE RAW'!$D:$H,4,FALSE),"-")</f>
        <v>-</v>
      </c>
      <c r="L142" s="16" t="str">
        <f>IFERROR(VLOOKUP($C142,'CE RAW'!$D:$H,5,FALSE),"-")</f>
        <v>-</v>
      </c>
      <c r="M142" s="2">
        <f>COUNTIFS('BONUS RAW'!$D:$D,BIDWARS!$B142,'BONUS RAW'!$J:$J,"KUDOS")</f>
        <v>0</v>
      </c>
      <c r="N142" s="324">
        <f>IF(AND(SUMIFS('ATTENDANCE RAW'!$I:$I,'ATTENDANCE RAW'!$E:$E,BIDWARS!$B142)=0,SUMIFS('ATTENDANCE RAW'!$J:$J,'ATTENDANCE RAW'!$E:$E,BIDWARS!$B142)=0),1,0)</f>
        <v>0</v>
      </c>
      <c r="O142" s="241" t="str">
        <f>IF(ISERROR(VLOOKUP($B142,'ATTRITION RAW'!$E:$E,1,0)),"ACTIVE","INACTIVE")</f>
        <v>ACTIVE</v>
      </c>
      <c r="P142" s="432">
        <f t="shared" si="22"/>
        <v>198</v>
      </c>
      <c r="Q142" s="432" t="str">
        <f t="shared" si="23"/>
        <v>-</v>
      </c>
      <c r="R142" s="432">
        <f t="shared" si="24"/>
        <v>200</v>
      </c>
      <c r="S142" s="432">
        <f t="shared" si="25"/>
        <v>300</v>
      </c>
      <c r="T142" s="432" t="str">
        <f t="shared" si="26"/>
        <v>-</v>
      </c>
      <c r="U142" s="432">
        <f t="shared" si="20"/>
        <v>0</v>
      </c>
      <c r="V142" s="432">
        <f t="shared" si="21"/>
        <v>0</v>
      </c>
      <c r="W142" s="433">
        <f t="shared" si="27"/>
        <v>698</v>
      </c>
    </row>
    <row r="143" spans="1:23">
      <c r="A143" s="2">
        <f>RESOURCES!B139</f>
        <v>136</v>
      </c>
      <c r="B143" s="431">
        <f>RESOURCES!C139</f>
        <v>10071190</v>
      </c>
      <c r="C143" s="431" t="str">
        <f>RESOURCES!D139</f>
        <v>Glory, Mary Jane</v>
      </c>
      <c r="D143" s="2" t="str">
        <f>RESOURCES!E139</f>
        <v>Voice QA</v>
      </c>
      <c r="E143" s="2" t="str">
        <f>RESOURCES!F139</f>
        <v>ARPON, Katherine</v>
      </c>
      <c r="F143" s="2" t="str">
        <f>RESOURCES!G139</f>
        <v>PASQUIN, Ryan</v>
      </c>
      <c r="G143" s="2">
        <f>ROUNDUP(SUMIFS('PRODUCTIVITY RAW'!$L:$L,'PRODUCTIVITY RAW'!$B:$B,BIDWARS!$B143),0)</f>
        <v>38</v>
      </c>
      <c r="H143" s="16" t="str">
        <f>IFERROR(IF($D143="Proofreader",INDEX('CHURN RAW'!$H:$H,MATCH("SITE LEVEL",'CHURN RAW'!$C:$C,0)),IF($D143="Internal Mods (PSI)","-",INDEX(RESOURCES!$X:$X,MATCH(BIDWARS!$B143,RESOURCES!$C:$C,0)))),"-")</f>
        <v>-</v>
      </c>
      <c r="I143" s="16">
        <f>IFERROR(ROUNDUP(INDEX(RESOURCES!$Y:$Y,MATCH(BIDWARS!$B143,RESOURCES!$C:$C,0)),2),"-")</f>
        <v>1</v>
      </c>
      <c r="J143" s="16">
        <f>IFERROR(ROUNDUP(INDEX(RESOURCES!$AA:$AA,MATCH(BIDWARS!$B143,RESOURCES!$C:$C,0)),2),"-")</f>
        <v>0.8</v>
      </c>
      <c r="K143" s="16" t="str">
        <f>IFERROR(VLOOKUP($C143,'CE RAW'!$D:$H,4,FALSE),"-")</f>
        <v>-</v>
      </c>
      <c r="L143" s="16" t="str">
        <f>IFERROR(VLOOKUP($C143,'CE RAW'!$D:$H,5,FALSE),"-")</f>
        <v>-</v>
      </c>
      <c r="M143" s="2">
        <f>COUNTIFS('BONUS RAW'!$D:$D,BIDWARS!$B143,'BONUS RAW'!$J:$J,"KUDOS")</f>
        <v>0</v>
      </c>
      <c r="N143" s="324">
        <f>IF(AND(SUMIFS('ATTENDANCE RAW'!$I:$I,'ATTENDANCE RAW'!$E:$E,BIDWARS!$B143)=0,SUMIFS('ATTENDANCE RAW'!$J:$J,'ATTENDANCE RAW'!$E:$E,BIDWARS!$B143)=0),1,0)</f>
        <v>0</v>
      </c>
      <c r="O143" s="241" t="str">
        <f>IF(ISERROR(VLOOKUP($B143,'ATTRITION RAW'!$E:$E,1,0)),"ACTIVE","INACTIVE")</f>
        <v>ACTIVE</v>
      </c>
      <c r="P143" s="432">
        <f t="shared" si="22"/>
        <v>124</v>
      </c>
      <c r="Q143" s="432" t="str">
        <f t="shared" si="23"/>
        <v>-</v>
      </c>
      <c r="R143" s="432">
        <f t="shared" si="24"/>
        <v>200</v>
      </c>
      <c r="S143" s="432">
        <f t="shared" si="25"/>
        <v>240</v>
      </c>
      <c r="T143" s="432" t="str">
        <f t="shared" si="26"/>
        <v>-</v>
      </c>
      <c r="U143" s="432">
        <f t="shared" si="20"/>
        <v>0</v>
      </c>
      <c r="V143" s="432">
        <f t="shared" si="21"/>
        <v>0</v>
      </c>
      <c r="W143" s="433">
        <f t="shared" si="27"/>
        <v>564</v>
      </c>
    </row>
    <row r="144" spans="1:23">
      <c r="A144" s="2">
        <f>RESOURCES!B140</f>
        <v>137</v>
      </c>
      <c r="B144" s="431">
        <f>RESOURCES!C140</f>
        <v>10071902</v>
      </c>
      <c r="C144" s="431" t="str">
        <f>RESOURCES!D140</f>
        <v>Diaz, Jordan</v>
      </c>
      <c r="D144" s="2" t="str">
        <f>RESOURCES!E140</f>
        <v>Voice QA</v>
      </c>
      <c r="E144" s="2" t="str">
        <f>RESOURCES!F140</f>
        <v>ARPON, Katherine</v>
      </c>
      <c r="F144" s="2" t="str">
        <f>RESOURCES!G140</f>
        <v>PASQUIN, Ryan</v>
      </c>
      <c r="G144" s="2">
        <f>ROUNDUP(SUMIFS('PRODUCTIVITY RAW'!$L:$L,'PRODUCTIVITY RAW'!$B:$B,BIDWARS!$B144),0)</f>
        <v>65</v>
      </c>
      <c r="H144" s="16" t="str">
        <f>IFERROR(IF($D144="Proofreader",INDEX('CHURN RAW'!$H:$H,MATCH("SITE LEVEL",'CHURN RAW'!$C:$C,0)),IF($D144="Internal Mods (PSI)","-",INDEX(RESOURCES!$X:$X,MATCH(BIDWARS!$B144,RESOURCES!$C:$C,0)))),"-")</f>
        <v>-</v>
      </c>
      <c r="I144" s="16">
        <f>IFERROR(ROUNDUP(INDEX(RESOURCES!$Y:$Y,MATCH(BIDWARS!$B144,RESOURCES!$C:$C,0)),2),"-")</f>
        <v>0.98</v>
      </c>
      <c r="J144" s="16">
        <f>IFERROR(ROUNDUP(INDEX(RESOURCES!$AA:$AA,MATCH(BIDWARS!$B144,RESOURCES!$C:$C,0)),2),"-")</f>
        <v>0.8</v>
      </c>
      <c r="K144" s="16" t="str">
        <f>IFERROR(VLOOKUP($C144,'CE RAW'!$D:$H,4,FALSE),"-")</f>
        <v>-</v>
      </c>
      <c r="L144" s="16" t="str">
        <f>IFERROR(VLOOKUP($C144,'CE RAW'!$D:$H,5,FALSE),"-")</f>
        <v>-</v>
      </c>
      <c r="M144" s="2">
        <f>COUNTIFS('BONUS RAW'!$D:$D,BIDWARS!$B144,'BONUS RAW'!$J:$J,"KUDOS")</f>
        <v>0</v>
      </c>
      <c r="N144" s="324">
        <f>IF(AND(SUMIFS('ATTENDANCE RAW'!$I:$I,'ATTENDANCE RAW'!$E:$E,BIDWARS!$B144)=0,SUMIFS('ATTENDANCE RAW'!$J:$J,'ATTENDANCE RAW'!$E:$E,BIDWARS!$B144)=0),1,0)</f>
        <v>1</v>
      </c>
      <c r="O144" s="241" t="str">
        <f>IF(ISERROR(VLOOKUP($B144,'ATTRITION RAW'!$E:$E,1,0)),"ACTIVE","INACTIVE")</f>
        <v>ACTIVE</v>
      </c>
      <c r="P144" s="432">
        <f t="shared" si="22"/>
        <v>211</v>
      </c>
      <c r="Q144" s="432" t="str">
        <f t="shared" si="23"/>
        <v>-</v>
      </c>
      <c r="R144" s="432">
        <f t="shared" si="24"/>
        <v>196</v>
      </c>
      <c r="S144" s="432">
        <f t="shared" si="25"/>
        <v>240</v>
      </c>
      <c r="T144" s="432" t="str">
        <f t="shared" si="26"/>
        <v>-</v>
      </c>
      <c r="U144" s="432">
        <f t="shared" si="20"/>
        <v>0</v>
      </c>
      <c r="V144" s="432">
        <f t="shared" si="21"/>
        <v>50</v>
      </c>
      <c r="W144" s="433">
        <f t="shared" si="27"/>
        <v>697</v>
      </c>
    </row>
    <row r="145" spans="1:23">
      <c r="A145" s="2">
        <f>RESOURCES!B141</f>
        <v>138</v>
      </c>
      <c r="B145" s="431">
        <f>RESOURCES!C141</f>
        <v>10072010</v>
      </c>
      <c r="C145" s="431" t="str">
        <f>RESOURCES!D141</f>
        <v>Torres, Julie Ann</v>
      </c>
      <c r="D145" s="2" t="str">
        <f>RESOURCES!E141</f>
        <v>Voice QA</v>
      </c>
      <c r="E145" s="2" t="str">
        <f>RESOURCES!F141</f>
        <v>ARPON, Katherine</v>
      </c>
      <c r="F145" s="2" t="str">
        <f>RESOURCES!G141</f>
        <v>PASQUIN, Ryan</v>
      </c>
      <c r="G145" s="2">
        <f>ROUNDUP(SUMIFS('PRODUCTIVITY RAW'!$L:$L,'PRODUCTIVITY RAW'!$B:$B,BIDWARS!$B145),0)</f>
        <v>65</v>
      </c>
      <c r="H145" s="16" t="str">
        <f>IFERROR(IF($D145="Proofreader",INDEX('CHURN RAW'!$H:$H,MATCH("SITE LEVEL",'CHURN RAW'!$C:$C,0)),IF($D145="Internal Mods (PSI)","-",INDEX(RESOURCES!$X:$X,MATCH(BIDWARS!$B145,RESOURCES!$C:$C,0)))),"-")</f>
        <v>-</v>
      </c>
      <c r="I145" s="16">
        <f>IFERROR(ROUNDUP(INDEX(RESOURCES!$Y:$Y,MATCH(BIDWARS!$B145,RESOURCES!$C:$C,0)),2),"-")</f>
        <v>1</v>
      </c>
      <c r="J145" s="16">
        <f>IFERROR(ROUNDUP(INDEX(RESOURCES!$AA:$AA,MATCH(BIDWARS!$B145,RESOURCES!$C:$C,0)),2),"-")</f>
        <v>0.8</v>
      </c>
      <c r="K145" s="16" t="str">
        <f>IFERROR(VLOOKUP($C145,'CE RAW'!$D:$H,4,FALSE),"-")</f>
        <v>-</v>
      </c>
      <c r="L145" s="16" t="str">
        <f>IFERROR(VLOOKUP($C145,'CE RAW'!$D:$H,5,FALSE),"-")</f>
        <v>-</v>
      </c>
      <c r="M145" s="2">
        <f>COUNTIFS('BONUS RAW'!$D:$D,BIDWARS!$B145,'BONUS RAW'!$J:$J,"KUDOS")</f>
        <v>0</v>
      </c>
      <c r="N145" s="324">
        <f>IF(AND(SUMIFS('ATTENDANCE RAW'!$I:$I,'ATTENDANCE RAW'!$E:$E,BIDWARS!$B145)=0,SUMIFS('ATTENDANCE RAW'!$J:$J,'ATTENDANCE RAW'!$E:$E,BIDWARS!$B145)=0),1,0)</f>
        <v>0</v>
      </c>
      <c r="O145" s="241" t="str">
        <f>IF(ISERROR(VLOOKUP($B145,'ATTRITION RAW'!$E:$E,1,0)),"ACTIVE","INACTIVE")</f>
        <v>ACTIVE</v>
      </c>
      <c r="P145" s="432">
        <f t="shared" si="22"/>
        <v>211</v>
      </c>
      <c r="Q145" s="432" t="str">
        <f t="shared" si="23"/>
        <v>-</v>
      </c>
      <c r="R145" s="432">
        <f t="shared" si="24"/>
        <v>200</v>
      </c>
      <c r="S145" s="432">
        <f t="shared" si="25"/>
        <v>240</v>
      </c>
      <c r="T145" s="432" t="str">
        <f t="shared" si="26"/>
        <v>-</v>
      </c>
      <c r="U145" s="432">
        <f t="shared" si="20"/>
        <v>0</v>
      </c>
      <c r="V145" s="432">
        <f t="shared" si="21"/>
        <v>0</v>
      </c>
      <c r="W145" s="433">
        <f t="shared" si="27"/>
        <v>651</v>
      </c>
    </row>
    <row r="146" spans="1:23">
      <c r="A146" s="2">
        <f>RESOURCES!B142</f>
        <v>139</v>
      </c>
      <c r="B146" s="431">
        <f>RESOURCES!C142</f>
        <v>10072011</v>
      </c>
      <c r="C146" s="431" t="str">
        <f>RESOURCES!D142</f>
        <v>Santos, Hannah Elkanah</v>
      </c>
      <c r="D146" s="2" t="str">
        <f>RESOURCES!E142</f>
        <v>Voice QA</v>
      </c>
      <c r="E146" s="2" t="str">
        <f>RESOURCES!F142</f>
        <v>ARPON, Katherine</v>
      </c>
      <c r="F146" s="2" t="str">
        <f>RESOURCES!G142</f>
        <v>PASQUIN, Ryan</v>
      </c>
      <c r="G146" s="2">
        <f>ROUNDUP(SUMIFS('PRODUCTIVITY RAW'!$L:$L,'PRODUCTIVITY RAW'!$B:$B,BIDWARS!$B146),0)</f>
        <v>64</v>
      </c>
      <c r="H146" s="16" t="str">
        <f>IFERROR(IF($D146="Proofreader",INDEX('CHURN RAW'!$H:$H,MATCH("SITE LEVEL",'CHURN RAW'!$C:$C,0)),IF($D146="Internal Mods (PSI)","-",INDEX(RESOURCES!$X:$X,MATCH(BIDWARS!$B146,RESOURCES!$C:$C,0)))),"-")</f>
        <v>-</v>
      </c>
      <c r="I146" s="16">
        <f>IFERROR(ROUNDUP(INDEX(RESOURCES!$Y:$Y,MATCH(BIDWARS!$B146,RESOURCES!$C:$C,0)),2),"-")</f>
        <v>1</v>
      </c>
      <c r="J146" s="16">
        <f>IFERROR(ROUNDUP(INDEX(RESOURCES!$AA:$AA,MATCH(BIDWARS!$B146,RESOURCES!$C:$C,0)),2),"-")</f>
        <v>1</v>
      </c>
      <c r="K146" s="16" t="str">
        <f>IFERROR(VLOOKUP($C146,'CE RAW'!$D:$H,4,FALSE),"-")</f>
        <v>-</v>
      </c>
      <c r="L146" s="16" t="str">
        <f>IFERROR(VLOOKUP($C146,'CE RAW'!$D:$H,5,FALSE),"-")</f>
        <v>-</v>
      </c>
      <c r="M146" s="2">
        <f>COUNTIFS('BONUS RAW'!$D:$D,BIDWARS!$B146,'BONUS RAW'!$J:$J,"KUDOS")</f>
        <v>0</v>
      </c>
      <c r="N146" s="324">
        <f>IF(AND(SUMIFS('ATTENDANCE RAW'!$I:$I,'ATTENDANCE RAW'!$E:$E,BIDWARS!$B146)=0,SUMIFS('ATTENDANCE RAW'!$J:$J,'ATTENDANCE RAW'!$E:$E,BIDWARS!$B146)=0),1,0)</f>
        <v>0</v>
      </c>
      <c r="O146" s="241" t="str">
        <f>IF(ISERROR(VLOOKUP($B146,'ATTRITION RAW'!$E:$E,1,0)),"ACTIVE","INACTIVE")</f>
        <v>ACTIVE</v>
      </c>
      <c r="P146" s="432">
        <f t="shared" si="22"/>
        <v>208</v>
      </c>
      <c r="Q146" s="432" t="str">
        <f t="shared" si="23"/>
        <v>-</v>
      </c>
      <c r="R146" s="432">
        <f t="shared" si="24"/>
        <v>200</v>
      </c>
      <c r="S146" s="432">
        <f t="shared" si="25"/>
        <v>300</v>
      </c>
      <c r="T146" s="432" t="str">
        <f t="shared" si="26"/>
        <v>-</v>
      </c>
      <c r="U146" s="432">
        <f t="shared" si="20"/>
        <v>0</v>
      </c>
      <c r="V146" s="432">
        <f t="shared" si="21"/>
        <v>0</v>
      </c>
      <c r="W146" s="433">
        <f t="shared" si="27"/>
        <v>708</v>
      </c>
    </row>
    <row r="147" spans="1:23">
      <c r="A147" s="2">
        <f>RESOURCES!B143</f>
        <v>140</v>
      </c>
      <c r="B147" s="431">
        <f>RESOURCES!C143</f>
        <v>10072023</v>
      </c>
      <c r="C147" s="431" t="str">
        <f>RESOURCES!D143</f>
        <v>De Jesus, Bryan Michael</v>
      </c>
      <c r="D147" s="2" t="str">
        <f>RESOURCES!E143</f>
        <v>Voice QA</v>
      </c>
      <c r="E147" s="2" t="str">
        <f>RESOURCES!F143</f>
        <v>ARPON, Katherine</v>
      </c>
      <c r="F147" s="2" t="str">
        <f>RESOURCES!G143</f>
        <v>PASQUIN, Ryan</v>
      </c>
      <c r="G147" s="2">
        <f>ROUNDUP(SUMIFS('PRODUCTIVITY RAW'!$L:$L,'PRODUCTIVITY RAW'!$B:$B,BIDWARS!$B147),0)</f>
        <v>56</v>
      </c>
      <c r="H147" s="16" t="str">
        <f>IFERROR(IF($D147="Proofreader",INDEX('CHURN RAW'!$H:$H,MATCH("SITE LEVEL",'CHURN RAW'!$C:$C,0)),IF($D147="Internal Mods (PSI)","-",INDEX(RESOURCES!$X:$X,MATCH(BIDWARS!$B147,RESOURCES!$C:$C,0)))),"-")</f>
        <v>-</v>
      </c>
      <c r="I147" s="16">
        <f>IFERROR(ROUNDUP(INDEX(RESOURCES!$Y:$Y,MATCH(BIDWARS!$B147,RESOURCES!$C:$C,0)),2),"-")</f>
        <v>0.95</v>
      </c>
      <c r="J147" s="16">
        <f>IFERROR(ROUNDUP(INDEX(RESOURCES!$AA:$AA,MATCH(BIDWARS!$B147,RESOURCES!$C:$C,0)),2),"-")</f>
        <v>1</v>
      </c>
      <c r="K147" s="16" t="str">
        <f>IFERROR(VLOOKUP($C147,'CE RAW'!$D:$H,4,FALSE),"-")</f>
        <v>-</v>
      </c>
      <c r="L147" s="16" t="str">
        <f>IFERROR(VLOOKUP($C147,'CE RAW'!$D:$H,5,FALSE),"-")</f>
        <v>-</v>
      </c>
      <c r="M147" s="2">
        <f>COUNTIFS('BONUS RAW'!$D:$D,BIDWARS!$B147,'BONUS RAW'!$J:$J,"KUDOS")</f>
        <v>0</v>
      </c>
      <c r="N147" s="324">
        <f>IF(AND(SUMIFS('ATTENDANCE RAW'!$I:$I,'ATTENDANCE RAW'!$E:$E,BIDWARS!$B147)=0,SUMIFS('ATTENDANCE RAW'!$J:$J,'ATTENDANCE RAW'!$E:$E,BIDWARS!$B147)=0),1,0)</f>
        <v>0</v>
      </c>
      <c r="O147" s="241" t="str">
        <f>IF(ISERROR(VLOOKUP($B147,'ATTRITION RAW'!$E:$E,1,0)),"ACTIVE","INACTIVE")</f>
        <v>ACTIVE</v>
      </c>
      <c r="P147" s="432">
        <f t="shared" si="22"/>
        <v>182</v>
      </c>
      <c r="Q147" s="432" t="str">
        <f t="shared" si="23"/>
        <v>-</v>
      </c>
      <c r="R147" s="432">
        <f t="shared" si="24"/>
        <v>190</v>
      </c>
      <c r="S147" s="432">
        <f t="shared" si="25"/>
        <v>300</v>
      </c>
      <c r="T147" s="432" t="str">
        <f t="shared" si="26"/>
        <v>-</v>
      </c>
      <c r="U147" s="432">
        <f t="shared" si="20"/>
        <v>0</v>
      </c>
      <c r="V147" s="432">
        <f t="shared" si="21"/>
        <v>0</v>
      </c>
      <c r="W147" s="433">
        <f t="shared" si="27"/>
        <v>672</v>
      </c>
    </row>
    <row r="148" spans="1:23">
      <c r="A148" s="2">
        <f>RESOURCES!B144</f>
        <v>141</v>
      </c>
      <c r="B148" s="431">
        <f>RESOURCES!C144</f>
        <v>10072592</v>
      </c>
      <c r="C148" s="431" t="str">
        <f>RESOURCES!D144</f>
        <v>De Luna, Annalyn</v>
      </c>
      <c r="D148" s="2" t="str">
        <f>RESOURCES!E144</f>
        <v>Voice QA</v>
      </c>
      <c r="E148" s="2" t="str">
        <f>RESOURCES!F144</f>
        <v>ARPON, Katherine</v>
      </c>
      <c r="F148" s="2" t="str">
        <f>RESOURCES!G144</f>
        <v>PASQUIN, Ryan</v>
      </c>
      <c r="G148" s="2">
        <f>ROUNDUP(SUMIFS('PRODUCTIVITY RAW'!$L:$L,'PRODUCTIVITY RAW'!$B:$B,BIDWARS!$B148),0)</f>
        <v>63</v>
      </c>
      <c r="H148" s="16" t="str">
        <f>IFERROR(IF($D148="Proofreader",INDEX('CHURN RAW'!$H:$H,MATCH("SITE LEVEL",'CHURN RAW'!$C:$C,0)),IF($D148="Internal Mods (PSI)","-",INDEX(RESOURCES!$X:$X,MATCH(BIDWARS!$B148,RESOURCES!$C:$C,0)))),"-")</f>
        <v>-</v>
      </c>
      <c r="I148" s="16">
        <f>IFERROR(ROUNDUP(INDEX(RESOURCES!$Y:$Y,MATCH(BIDWARS!$B148,RESOURCES!$C:$C,0)),2),"-")</f>
        <v>1</v>
      </c>
      <c r="J148" s="16">
        <f>IFERROR(ROUNDUP(INDEX(RESOURCES!$AA:$AA,MATCH(BIDWARS!$B148,RESOURCES!$C:$C,0)),2),"-")</f>
        <v>1</v>
      </c>
      <c r="K148" s="16" t="str">
        <f>IFERROR(VLOOKUP($C148,'CE RAW'!$D:$H,4,FALSE),"-")</f>
        <v>-</v>
      </c>
      <c r="L148" s="16" t="str">
        <f>IFERROR(VLOOKUP($C148,'CE RAW'!$D:$H,5,FALSE),"-")</f>
        <v>-</v>
      </c>
      <c r="M148" s="2">
        <f>COUNTIFS('BONUS RAW'!$D:$D,BIDWARS!$B148,'BONUS RAW'!$J:$J,"KUDOS")</f>
        <v>0</v>
      </c>
      <c r="N148" s="324">
        <f>IF(AND(SUMIFS('ATTENDANCE RAW'!$I:$I,'ATTENDANCE RAW'!$E:$E,BIDWARS!$B148)=0,SUMIFS('ATTENDANCE RAW'!$J:$J,'ATTENDANCE RAW'!$E:$E,BIDWARS!$B148)=0),1,0)</f>
        <v>0</v>
      </c>
      <c r="O148" s="241" t="str">
        <f>IF(ISERROR(VLOOKUP($B148,'ATTRITION RAW'!$E:$E,1,0)),"ACTIVE","INACTIVE")</f>
        <v>ACTIVE</v>
      </c>
      <c r="P148" s="432">
        <f t="shared" si="22"/>
        <v>205</v>
      </c>
      <c r="Q148" s="432" t="str">
        <f t="shared" si="23"/>
        <v>-</v>
      </c>
      <c r="R148" s="432">
        <f t="shared" si="24"/>
        <v>200</v>
      </c>
      <c r="S148" s="432">
        <f t="shared" si="25"/>
        <v>300</v>
      </c>
      <c r="T148" s="432" t="str">
        <f t="shared" si="26"/>
        <v>-</v>
      </c>
      <c r="U148" s="432">
        <f t="shared" si="20"/>
        <v>0</v>
      </c>
      <c r="V148" s="432">
        <f t="shared" si="21"/>
        <v>0</v>
      </c>
      <c r="W148" s="433">
        <f t="shared" si="27"/>
        <v>705</v>
      </c>
    </row>
    <row r="149" spans="1:23">
      <c r="A149" s="2">
        <f>RESOURCES!B145</f>
        <v>142</v>
      </c>
      <c r="B149" s="431">
        <f>RESOURCES!C145</f>
        <v>10072604</v>
      </c>
      <c r="C149" s="431" t="str">
        <f>RESOURCES!D145</f>
        <v>Moldes, Rainier Allan</v>
      </c>
      <c r="D149" s="2" t="str">
        <f>RESOURCES!E145</f>
        <v>Voice QA</v>
      </c>
      <c r="E149" s="2" t="str">
        <f>RESOURCES!F145</f>
        <v>ARPON, Katherine</v>
      </c>
      <c r="F149" s="2" t="str">
        <f>RESOURCES!G145</f>
        <v>PASQUIN, Ryan</v>
      </c>
      <c r="G149" s="2">
        <f>ROUNDUP(SUMIFS('PRODUCTIVITY RAW'!$L:$L,'PRODUCTIVITY RAW'!$B:$B,BIDWARS!$B149),0)</f>
        <v>42</v>
      </c>
      <c r="H149" s="16" t="str">
        <f>IFERROR(IF($D149="Proofreader",INDEX('CHURN RAW'!$H:$H,MATCH("SITE LEVEL",'CHURN RAW'!$C:$C,0)),IF($D149="Internal Mods (PSI)","-",INDEX(RESOURCES!$X:$X,MATCH(BIDWARS!$B149,RESOURCES!$C:$C,0)))),"-")</f>
        <v>-</v>
      </c>
      <c r="I149" s="16">
        <f>IFERROR(ROUNDUP(INDEX(RESOURCES!$Y:$Y,MATCH(BIDWARS!$B149,RESOURCES!$C:$C,0)),2),"-")</f>
        <v>0.99</v>
      </c>
      <c r="J149" s="16">
        <f>IFERROR(ROUNDUP(INDEX(RESOURCES!$AA:$AA,MATCH(BIDWARS!$B149,RESOURCES!$C:$C,0)),2),"-")</f>
        <v>1</v>
      </c>
      <c r="K149" s="16" t="str">
        <f>IFERROR(VLOOKUP($C149,'CE RAW'!$D:$H,4,FALSE),"-")</f>
        <v>-</v>
      </c>
      <c r="L149" s="16" t="str">
        <f>IFERROR(VLOOKUP($C149,'CE RAW'!$D:$H,5,FALSE),"-")</f>
        <v>-</v>
      </c>
      <c r="M149" s="2">
        <f>COUNTIFS('BONUS RAW'!$D:$D,BIDWARS!$B149,'BONUS RAW'!$J:$J,"KUDOS")</f>
        <v>0</v>
      </c>
      <c r="N149" s="324">
        <f>IF(AND(SUMIFS('ATTENDANCE RAW'!$I:$I,'ATTENDANCE RAW'!$E:$E,BIDWARS!$B149)=0,SUMIFS('ATTENDANCE RAW'!$J:$J,'ATTENDANCE RAW'!$E:$E,BIDWARS!$B149)=0),1,0)</f>
        <v>1</v>
      </c>
      <c r="O149" s="241" t="str">
        <f>IF(ISERROR(VLOOKUP($B149,'ATTRITION RAW'!$E:$E,1,0)),"ACTIVE","INACTIVE")</f>
        <v>ACTIVE</v>
      </c>
      <c r="P149" s="432">
        <f t="shared" si="22"/>
        <v>137</v>
      </c>
      <c r="Q149" s="432" t="str">
        <f t="shared" si="23"/>
        <v>-</v>
      </c>
      <c r="R149" s="432">
        <f t="shared" si="24"/>
        <v>198</v>
      </c>
      <c r="S149" s="432">
        <f t="shared" si="25"/>
        <v>300</v>
      </c>
      <c r="T149" s="432" t="str">
        <f t="shared" si="26"/>
        <v>-</v>
      </c>
      <c r="U149" s="432">
        <f t="shared" si="20"/>
        <v>0</v>
      </c>
      <c r="V149" s="432">
        <f t="shared" si="21"/>
        <v>50</v>
      </c>
      <c r="W149" s="433">
        <f t="shared" si="27"/>
        <v>685</v>
      </c>
    </row>
    <row r="150" spans="1:23">
      <c r="A150" s="2">
        <f>RESOURCES!B146</f>
        <v>143</v>
      </c>
      <c r="B150" s="431">
        <f>RESOURCES!C146</f>
        <v>10072613</v>
      </c>
      <c r="C150" s="431" t="str">
        <f>RESOURCES!D146</f>
        <v>Rempillo, Francis</v>
      </c>
      <c r="D150" s="2" t="str">
        <f>RESOURCES!E146</f>
        <v>Voice QA</v>
      </c>
      <c r="E150" s="2" t="str">
        <f>RESOURCES!F146</f>
        <v>ARPON, Katherine</v>
      </c>
      <c r="F150" s="2" t="str">
        <f>RESOURCES!G146</f>
        <v>PASQUIN, Ryan</v>
      </c>
      <c r="G150" s="2">
        <f>ROUNDUP(SUMIFS('PRODUCTIVITY RAW'!$L:$L,'PRODUCTIVITY RAW'!$B:$B,BIDWARS!$B150),0)</f>
        <v>59</v>
      </c>
      <c r="H150" s="16" t="str">
        <f>IFERROR(IF($D150="Proofreader",INDEX('CHURN RAW'!$H:$H,MATCH("SITE LEVEL",'CHURN RAW'!$C:$C,0)),IF($D150="Internal Mods (PSI)","-",INDEX(RESOURCES!$X:$X,MATCH(BIDWARS!$B150,RESOURCES!$C:$C,0)))),"-")</f>
        <v>-</v>
      </c>
      <c r="I150" s="16">
        <f>IFERROR(ROUNDUP(INDEX(RESOURCES!$Y:$Y,MATCH(BIDWARS!$B150,RESOURCES!$C:$C,0)),2),"-")</f>
        <v>1</v>
      </c>
      <c r="J150" s="16">
        <f>IFERROR(ROUNDUP(INDEX(RESOURCES!$AA:$AA,MATCH(BIDWARS!$B150,RESOURCES!$C:$C,0)),2),"-")</f>
        <v>1</v>
      </c>
      <c r="K150" s="16" t="str">
        <f>IFERROR(VLOOKUP($C150,'CE RAW'!$D:$H,4,FALSE),"-")</f>
        <v>-</v>
      </c>
      <c r="L150" s="16" t="str">
        <f>IFERROR(VLOOKUP($C150,'CE RAW'!$D:$H,5,FALSE),"-")</f>
        <v>-</v>
      </c>
      <c r="M150" s="2">
        <f>COUNTIFS('BONUS RAW'!$D:$D,BIDWARS!$B150,'BONUS RAW'!$J:$J,"KUDOS")</f>
        <v>0</v>
      </c>
      <c r="N150" s="324">
        <f>IF(AND(SUMIFS('ATTENDANCE RAW'!$I:$I,'ATTENDANCE RAW'!$E:$E,BIDWARS!$B150)=0,SUMIFS('ATTENDANCE RAW'!$J:$J,'ATTENDANCE RAW'!$E:$E,BIDWARS!$B150)=0),1,0)</f>
        <v>1</v>
      </c>
      <c r="O150" s="241" t="str">
        <f>IF(ISERROR(VLOOKUP($B150,'ATTRITION RAW'!$E:$E,1,0)),"ACTIVE","INACTIVE")</f>
        <v>ACTIVE</v>
      </c>
      <c r="P150" s="432">
        <f t="shared" si="22"/>
        <v>192</v>
      </c>
      <c r="Q150" s="432" t="str">
        <f t="shared" si="23"/>
        <v>-</v>
      </c>
      <c r="R150" s="432">
        <f t="shared" si="24"/>
        <v>200</v>
      </c>
      <c r="S150" s="432">
        <f t="shared" si="25"/>
        <v>300</v>
      </c>
      <c r="T150" s="432" t="str">
        <f t="shared" si="26"/>
        <v>-</v>
      </c>
      <c r="U150" s="432">
        <f t="shared" si="20"/>
        <v>0</v>
      </c>
      <c r="V150" s="432">
        <f t="shared" si="21"/>
        <v>50</v>
      </c>
      <c r="W150" s="433">
        <f t="shared" si="27"/>
        <v>742</v>
      </c>
    </row>
    <row r="151" spans="1:23">
      <c r="A151" s="2">
        <f>RESOURCES!B147</f>
        <v>144</v>
      </c>
      <c r="B151" s="431">
        <f>RESOURCES!C147</f>
        <v>10072441</v>
      </c>
      <c r="C151" s="431" t="str">
        <f>RESOURCES!D147</f>
        <v>Mendoza, Ken Andrei</v>
      </c>
      <c r="D151" s="2" t="str">
        <f>RESOURCES!E147</f>
        <v>Voice QA</v>
      </c>
      <c r="E151" s="2" t="str">
        <f>RESOURCES!F147</f>
        <v>ARPON, Katherine</v>
      </c>
      <c r="F151" s="2" t="str">
        <f>RESOURCES!G147</f>
        <v>PASQUIN, Ryan</v>
      </c>
      <c r="G151" s="2">
        <f>ROUNDUP(SUMIFS('PRODUCTIVITY RAW'!$L:$L,'PRODUCTIVITY RAW'!$B:$B,BIDWARS!$B151),0)</f>
        <v>28</v>
      </c>
      <c r="H151" s="16" t="str">
        <f>IFERROR(IF($D151="Proofreader",INDEX('CHURN RAW'!$H:$H,MATCH("SITE LEVEL",'CHURN RAW'!$C:$C,0)),IF($D151="Internal Mods (PSI)","-",INDEX(RESOURCES!$X:$X,MATCH(BIDWARS!$B151,RESOURCES!$C:$C,0)))),"-")</f>
        <v>-</v>
      </c>
      <c r="I151" s="16">
        <f>IFERROR(ROUNDUP(INDEX(RESOURCES!$Y:$Y,MATCH(BIDWARS!$B151,RESOURCES!$C:$C,0)),2),"-")</f>
        <v>0.99</v>
      </c>
      <c r="J151" s="16">
        <f>IFERROR(ROUNDUP(INDEX(RESOURCES!$AA:$AA,MATCH(BIDWARS!$B151,RESOURCES!$C:$C,0)),2),"-")</f>
        <v>1</v>
      </c>
      <c r="K151" s="16" t="str">
        <f>IFERROR(VLOOKUP($C151,'CE RAW'!$D:$H,4,FALSE),"-")</f>
        <v>-</v>
      </c>
      <c r="L151" s="16" t="str">
        <f>IFERROR(VLOOKUP($C151,'CE RAW'!$D:$H,5,FALSE),"-")</f>
        <v>-</v>
      </c>
      <c r="M151" s="2">
        <f>COUNTIFS('BONUS RAW'!$D:$D,BIDWARS!$B151,'BONUS RAW'!$J:$J,"KUDOS")</f>
        <v>0</v>
      </c>
      <c r="N151" s="324">
        <f>IF(AND(SUMIFS('ATTENDANCE RAW'!$I:$I,'ATTENDANCE RAW'!$E:$E,BIDWARS!$B151)=0,SUMIFS('ATTENDANCE RAW'!$J:$J,'ATTENDANCE RAW'!$E:$E,BIDWARS!$B151)=0),1,0)</f>
        <v>0</v>
      </c>
      <c r="O151" s="241" t="str">
        <f>IF(ISERROR(VLOOKUP($B151,'ATTRITION RAW'!$E:$E,1,0)),"ACTIVE","INACTIVE")</f>
        <v>ACTIVE</v>
      </c>
      <c r="P151" s="432">
        <f t="shared" si="22"/>
        <v>91</v>
      </c>
      <c r="Q151" s="432" t="str">
        <f t="shared" si="23"/>
        <v>-</v>
      </c>
      <c r="R151" s="432">
        <f t="shared" si="24"/>
        <v>198</v>
      </c>
      <c r="S151" s="432">
        <f t="shared" si="25"/>
        <v>300</v>
      </c>
      <c r="T151" s="432" t="str">
        <f t="shared" si="26"/>
        <v>-</v>
      </c>
      <c r="U151" s="432">
        <f t="shared" si="20"/>
        <v>0</v>
      </c>
      <c r="V151" s="432">
        <f t="shared" si="21"/>
        <v>0</v>
      </c>
      <c r="W151" s="433">
        <f t="shared" si="27"/>
        <v>589</v>
      </c>
    </row>
    <row r="152" spans="1:23">
      <c r="A152" s="2">
        <f>RESOURCES!B148</f>
        <v>145</v>
      </c>
      <c r="B152" s="431">
        <f>RESOURCES!C148</f>
        <v>10072203</v>
      </c>
      <c r="C152" s="431" t="str">
        <f>RESOURCES!D148</f>
        <v>Pariñas, Joeseph Deinniel</v>
      </c>
      <c r="D152" s="2" t="str">
        <f>RESOURCES!E148</f>
        <v>Voice QA</v>
      </c>
      <c r="E152" s="2" t="str">
        <f>RESOURCES!F148</f>
        <v>ARPON, Katherine</v>
      </c>
      <c r="F152" s="2" t="str">
        <f>RESOURCES!G148</f>
        <v>PASQUIN, Ryan</v>
      </c>
      <c r="G152" s="2">
        <f>ROUNDUP(SUMIFS('PRODUCTIVITY RAW'!$L:$L,'PRODUCTIVITY RAW'!$B:$B,BIDWARS!$B152),0)</f>
        <v>51</v>
      </c>
      <c r="H152" s="16" t="str">
        <f>IFERROR(IF($D152="Proofreader",INDEX('CHURN RAW'!$H:$H,MATCH("SITE LEVEL",'CHURN RAW'!$C:$C,0)),IF($D152="Internal Mods (PSI)","-",INDEX(RESOURCES!$X:$X,MATCH(BIDWARS!$B152,RESOURCES!$C:$C,0)))),"-")</f>
        <v>-</v>
      </c>
      <c r="I152" s="16">
        <f>IFERROR(ROUNDUP(INDEX(RESOURCES!$Y:$Y,MATCH(BIDWARS!$B152,RESOURCES!$C:$C,0)),2),"-")</f>
        <v>1</v>
      </c>
      <c r="J152" s="16">
        <f>IFERROR(ROUNDUP(INDEX(RESOURCES!$AA:$AA,MATCH(BIDWARS!$B152,RESOURCES!$C:$C,0)),2),"-")</f>
        <v>1</v>
      </c>
      <c r="K152" s="16" t="str">
        <f>IFERROR(VLOOKUP($C152,'CE RAW'!$D:$H,4,FALSE),"-")</f>
        <v>-</v>
      </c>
      <c r="L152" s="16" t="str">
        <f>IFERROR(VLOOKUP($C152,'CE RAW'!$D:$H,5,FALSE),"-")</f>
        <v>-</v>
      </c>
      <c r="M152" s="2">
        <f>COUNTIFS('BONUS RAW'!$D:$D,BIDWARS!$B152,'BONUS RAW'!$J:$J,"KUDOS")</f>
        <v>0</v>
      </c>
      <c r="N152" s="324">
        <f>IF(AND(SUMIFS('ATTENDANCE RAW'!$I:$I,'ATTENDANCE RAW'!$E:$E,BIDWARS!$B152)=0,SUMIFS('ATTENDANCE RAW'!$J:$J,'ATTENDANCE RAW'!$E:$E,BIDWARS!$B152)=0),1,0)</f>
        <v>0</v>
      </c>
      <c r="O152" s="241" t="str">
        <f>IF(ISERROR(VLOOKUP($B152,'ATTRITION RAW'!$E:$E,1,0)),"ACTIVE","INACTIVE")</f>
        <v>ACTIVE</v>
      </c>
      <c r="P152" s="432">
        <f t="shared" si="22"/>
        <v>166</v>
      </c>
      <c r="Q152" s="432" t="str">
        <f t="shared" si="23"/>
        <v>-</v>
      </c>
      <c r="R152" s="432">
        <f t="shared" si="24"/>
        <v>200</v>
      </c>
      <c r="S152" s="432">
        <f t="shared" si="25"/>
        <v>300</v>
      </c>
      <c r="T152" s="432" t="str">
        <f t="shared" si="26"/>
        <v>-</v>
      </c>
      <c r="U152" s="432">
        <f t="shared" si="20"/>
        <v>0</v>
      </c>
      <c r="V152" s="432">
        <f t="shared" si="21"/>
        <v>0</v>
      </c>
      <c r="W152" s="433">
        <f t="shared" si="27"/>
        <v>666</v>
      </c>
    </row>
    <row r="153" spans="1:23">
      <c r="A153" s="2">
        <f>RESOURCES!B149</f>
        <v>146</v>
      </c>
      <c r="B153" s="431">
        <f>RESOURCES!C149</f>
        <v>10071428</v>
      </c>
      <c r="C153" s="431" t="str">
        <f>RESOURCES!D149</f>
        <v>Rico, Cler</v>
      </c>
      <c r="D153" s="2" t="str">
        <f>RESOURCES!E149</f>
        <v>Voice QA</v>
      </c>
      <c r="E153" s="2" t="str">
        <f>RESOURCES!F149</f>
        <v>ARPON, Katherine</v>
      </c>
      <c r="F153" s="2" t="str">
        <f>RESOURCES!G149</f>
        <v>PASQUIN, Ryan</v>
      </c>
      <c r="G153" s="2">
        <f>ROUNDUP(SUMIFS('PRODUCTIVITY RAW'!$L:$L,'PRODUCTIVITY RAW'!$B:$B,BIDWARS!$B153),0)</f>
        <v>38</v>
      </c>
      <c r="H153" s="16" t="str">
        <f>IFERROR(IF($D153="Proofreader",INDEX('CHURN RAW'!$H:$H,MATCH("SITE LEVEL",'CHURN RAW'!$C:$C,0)),IF($D153="Internal Mods (PSI)","-",INDEX(RESOURCES!$X:$X,MATCH(BIDWARS!$B153,RESOURCES!$C:$C,0)))),"-")</f>
        <v>-</v>
      </c>
      <c r="I153" s="16">
        <f>IFERROR(ROUNDUP(INDEX(RESOURCES!$Y:$Y,MATCH(BIDWARS!$B153,RESOURCES!$C:$C,0)),2),"-")</f>
        <v>0.99</v>
      </c>
      <c r="J153" s="16">
        <f>IFERROR(ROUNDUP(INDEX(RESOURCES!$AA:$AA,MATCH(BIDWARS!$B153,RESOURCES!$C:$C,0)),2),"-")</f>
        <v>1</v>
      </c>
      <c r="K153" s="16" t="str">
        <f>IFERROR(VLOOKUP($C153,'CE RAW'!$D:$H,4,FALSE),"-")</f>
        <v>-</v>
      </c>
      <c r="L153" s="16" t="str">
        <f>IFERROR(VLOOKUP($C153,'CE RAW'!$D:$H,5,FALSE),"-")</f>
        <v>-</v>
      </c>
      <c r="M153" s="2">
        <f>COUNTIFS('BONUS RAW'!$D:$D,BIDWARS!$B153,'BONUS RAW'!$J:$J,"KUDOS")</f>
        <v>0</v>
      </c>
      <c r="N153" s="324">
        <f>IF(AND(SUMIFS('ATTENDANCE RAW'!$I:$I,'ATTENDANCE RAW'!$E:$E,BIDWARS!$B153)=0,SUMIFS('ATTENDANCE RAW'!$J:$J,'ATTENDANCE RAW'!$E:$E,BIDWARS!$B153)=0),1,0)</f>
        <v>0</v>
      </c>
      <c r="O153" s="241" t="str">
        <f>IF(ISERROR(VLOOKUP($B153,'ATTRITION RAW'!$E:$E,1,0)),"ACTIVE","INACTIVE")</f>
        <v>ACTIVE</v>
      </c>
      <c r="P153" s="432">
        <f t="shared" si="22"/>
        <v>124</v>
      </c>
      <c r="Q153" s="432" t="str">
        <f t="shared" si="23"/>
        <v>-</v>
      </c>
      <c r="R153" s="432">
        <f t="shared" si="24"/>
        <v>198</v>
      </c>
      <c r="S153" s="432">
        <f t="shared" si="25"/>
        <v>300</v>
      </c>
      <c r="T153" s="432" t="str">
        <f t="shared" si="26"/>
        <v>-</v>
      </c>
      <c r="U153" s="432">
        <f t="shared" si="20"/>
        <v>0</v>
      </c>
      <c r="V153" s="432">
        <f t="shared" si="21"/>
        <v>0</v>
      </c>
      <c r="W153" s="433">
        <f t="shared" si="27"/>
        <v>622</v>
      </c>
    </row>
    <row r="154" spans="1:23">
      <c r="B154" s="431"/>
      <c r="C154" s="431"/>
      <c r="I154" s="16"/>
      <c r="J154" s="16"/>
      <c r="O154" s="241"/>
      <c r="P154" s="432"/>
      <c r="Q154" s="432"/>
      <c r="R154" s="432"/>
      <c r="S154" s="432"/>
      <c r="T154" s="432"/>
      <c r="U154" s="432"/>
      <c r="V154" s="432"/>
      <c r="W154" s="433"/>
    </row>
    <row r="155" spans="1:23">
      <c r="B155" s="431"/>
      <c r="C155" s="431"/>
      <c r="I155" s="16"/>
      <c r="J155" s="16"/>
      <c r="O155" s="241"/>
      <c r="P155" s="432"/>
      <c r="Q155" s="432"/>
      <c r="R155" s="432"/>
      <c r="S155" s="432"/>
      <c r="T155" s="432"/>
      <c r="U155" s="432"/>
      <c r="V155" s="432"/>
      <c r="W155" s="433"/>
    </row>
    <row r="156" spans="1:23">
      <c r="B156" s="431"/>
      <c r="C156" s="431"/>
      <c r="I156" s="16"/>
      <c r="J156" s="16"/>
      <c r="O156" s="241"/>
      <c r="P156" s="432"/>
      <c r="Q156" s="432"/>
      <c r="R156" s="432"/>
      <c r="S156" s="432"/>
      <c r="T156" s="432"/>
      <c r="U156" s="432"/>
      <c r="V156" s="432"/>
      <c r="W156" s="433"/>
    </row>
    <row r="157" spans="1:23">
      <c r="B157" s="431"/>
      <c r="C157" s="431"/>
      <c r="I157" s="16"/>
      <c r="J157" s="16"/>
      <c r="O157" s="241"/>
      <c r="P157" s="432"/>
      <c r="Q157" s="432"/>
      <c r="R157" s="432"/>
      <c r="S157" s="432"/>
      <c r="T157" s="432"/>
      <c r="U157" s="432"/>
      <c r="V157" s="432"/>
      <c r="W157" s="433"/>
    </row>
    <row r="158" spans="1:23">
      <c r="B158" s="431"/>
      <c r="C158" s="431"/>
      <c r="I158" s="16"/>
      <c r="J158" s="16"/>
      <c r="O158" s="241"/>
      <c r="P158" s="432"/>
      <c r="Q158" s="432"/>
      <c r="R158" s="432"/>
      <c r="S158" s="432"/>
      <c r="T158" s="432"/>
      <c r="U158" s="432"/>
      <c r="V158" s="432"/>
      <c r="W158" s="433"/>
    </row>
    <row r="159" spans="1:23">
      <c r="B159" s="431"/>
      <c r="C159" s="431"/>
      <c r="I159" s="16"/>
      <c r="J159" s="16"/>
      <c r="O159" s="241"/>
      <c r="P159" s="432"/>
      <c r="Q159" s="432"/>
      <c r="R159" s="432"/>
      <c r="S159" s="432"/>
      <c r="T159" s="432"/>
      <c r="U159" s="432"/>
      <c r="V159" s="432"/>
      <c r="W159" s="433"/>
    </row>
    <row r="160" spans="1:23">
      <c r="B160" s="431"/>
      <c r="C160" s="431"/>
      <c r="I160" s="16"/>
      <c r="J160" s="16"/>
      <c r="O160" s="241"/>
      <c r="P160" s="432"/>
      <c r="Q160" s="432"/>
      <c r="R160" s="432"/>
      <c r="S160" s="432"/>
      <c r="T160" s="432"/>
      <c r="U160" s="432"/>
      <c r="V160" s="432"/>
      <c r="W160" s="433"/>
    </row>
    <row r="161" spans="2:23">
      <c r="B161" s="431"/>
      <c r="C161" s="431"/>
      <c r="I161" s="16"/>
      <c r="J161" s="16"/>
      <c r="O161" s="241"/>
      <c r="P161" s="432"/>
      <c r="Q161" s="432"/>
      <c r="R161" s="432"/>
      <c r="S161" s="432"/>
      <c r="T161" s="432"/>
      <c r="U161" s="432"/>
      <c r="V161" s="432"/>
      <c r="W161" s="433"/>
    </row>
    <row r="162" spans="2:23">
      <c r="B162" s="431"/>
      <c r="C162" s="431"/>
      <c r="I162" s="16"/>
      <c r="J162" s="16"/>
      <c r="O162" s="241"/>
      <c r="P162" s="432"/>
      <c r="Q162" s="432"/>
      <c r="R162" s="432"/>
      <c r="S162" s="432"/>
      <c r="T162" s="432"/>
      <c r="U162" s="432"/>
      <c r="V162" s="432"/>
      <c r="W162" s="433"/>
    </row>
    <row r="163" spans="2:23">
      <c r="B163" s="431"/>
      <c r="C163" s="431"/>
      <c r="I163" s="16"/>
      <c r="J163" s="16"/>
      <c r="O163" s="241"/>
      <c r="P163" s="432"/>
      <c r="Q163" s="432"/>
      <c r="R163" s="432"/>
      <c r="S163" s="432"/>
      <c r="T163" s="432"/>
      <c r="U163" s="432"/>
      <c r="V163" s="432"/>
      <c r="W163" s="433"/>
    </row>
    <row r="164" spans="2:23">
      <c r="B164" s="431"/>
      <c r="C164" s="431"/>
      <c r="I164" s="16"/>
      <c r="J164" s="16"/>
      <c r="O164" s="241"/>
      <c r="P164" s="432"/>
      <c r="Q164" s="432"/>
      <c r="R164" s="432"/>
      <c r="S164" s="432"/>
      <c r="T164" s="432"/>
      <c r="U164" s="432"/>
      <c r="V164" s="432"/>
      <c r="W164" s="433"/>
    </row>
    <row r="165" spans="2:23">
      <c r="B165" s="431"/>
      <c r="C165" s="431"/>
      <c r="I165" s="16"/>
      <c r="J165" s="16"/>
      <c r="O165" s="241"/>
      <c r="P165" s="432"/>
      <c r="Q165" s="432"/>
      <c r="R165" s="432"/>
      <c r="S165" s="432"/>
      <c r="T165" s="432"/>
      <c r="U165" s="432"/>
      <c r="V165" s="432"/>
      <c r="W165" s="433"/>
    </row>
    <row r="166" spans="2:23">
      <c r="B166" s="431"/>
      <c r="C166" s="431"/>
      <c r="I166" s="16"/>
      <c r="J166" s="16"/>
      <c r="O166" s="241"/>
      <c r="P166" s="432"/>
      <c r="Q166" s="432"/>
      <c r="R166" s="432"/>
      <c r="S166" s="432"/>
      <c r="T166" s="432"/>
      <c r="U166" s="432"/>
      <c r="V166" s="432"/>
      <c r="W166" s="433"/>
    </row>
    <row r="167" spans="2:23">
      <c r="B167" s="431"/>
      <c r="C167" s="431"/>
      <c r="I167" s="16"/>
      <c r="J167" s="16"/>
      <c r="O167" s="241"/>
      <c r="P167" s="432"/>
      <c r="Q167" s="432"/>
      <c r="R167" s="432"/>
      <c r="S167" s="432"/>
      <c r="T167" s="432"/>
      <c r="U167" s="432"/>
      <c r="V167" s="432"/>
      <c r="W167" s="433"/>
    </row>
    <row r="168" spans="2:23">
      <c r="B168" s="431"/>
      <c r="C168" s="431"/>
      <c r="I168" s="16"/>
      <c r="J168" s="16"/>
      <c r="O168" s="241"/>
      <c r="P168" s="432"/>
      <c r="Q168" s="432"/>
      <c r="R168" s="432"/>
      <c r="S168" s="432"/>
      <c r="T168" s="432"/>
      <c r="U168" s="432"/>
      <c r="V168" s="432"/>
      <c r="W168" s="433"/>
    </row>
    <row r="169" spans="2:23">
      <c r="B169" s="431"/>
      <c r="C169" s="431"/>
      <c r="I169" s="16"/>
      <c r="J169" s="16"/>
      <c r="O169" s="241"/>
      <c r="P169" s="432"/>
      <c r="Q169" s="432"/>
      <c r="R169" s="432"/>
      <c r="S169" s="432"/>
      <c r="T169" s="432"/>
      <c r="U169" s="432"/>
      <c r="V169" s="432"/>
      <c r="W169" s="433"/>
    </row>
    <row r="170" spans="2:23">
      <c r="B170" s="431"/>
      <c r="C170" s="431"/>
      <c r="I170" s="16"/>
      <c r="J170" s="16"/>
      <c r="O170" s="241"/>
      <c r="P170" s="432"/>
      <c r="Q170" s="432"/>
      <c r="R170" s="432"/>
      <c r="S170" s="432"/>
      <c r="T170" s="432"/>
      <c r="U170" s="432"/>
      <c r="V170" s="432"/>
      <c r="W170" s="433"/>
    </row>
    <row r="171" spans="2:23">
      <c r="B171" s="431"/>
      <c r="C171" s="431"/>
      <c r="I171" s="16"/>
      <c r="J171" s="16"/>
      <c r="O171" s="241"/>
      <c r="P171" s="432"/>
      <c r="Q171" s="432"/>
      <c r="R171" s="432"/>
      <c r="S171" s="432"/>
      <c r="T171" s="432"/>
      <c r="U171" s="432"/>
      <c r="V171" s="432"/>
      <c r="W171" s="433"/>
    </row>
    <row r="172" spans="2:23">
      <c r="B172" s="431"/>
      <c r="C172" s="431"/>
      <c r="I172" s="16"/>
      <c r="J172" s="16"/>
      <c r="O172" s="241"/>
      <c r="P172" s="432"/>
      <c r="Q172" s="432"/>
      <c r="R172" s="432"/>
      <c r="S172" s="432"/>
      <c r="T172" s="432"/>
      <c r="U172" s="432"/>
      <c r="V172" s="432"/>
      <c r="W172" s="433"/>
    </row>
    <row r="173" spans="2:23">
      <c r="B173" s="431"/>
      <c r="C173" s="431"/>
      <c r="I173" s="16"/>
      <c r="J173" s="16"/>
      <c r="O173" s="241"/>
      <c r="P173" s="432"/>
      <c r="Q173" s="432"/>
      <c r="R173" s="432"/>
      <c r="S173" s="432"/>
      <c r="T173" s="432"/>
      <c r="U173" s="432"/>
      <c r="V173" s="432"/>
      <c r="W173" s="433"/>
    </row>
    <row r="174" spans="2:23">
      <c r="B174" s="431"/>
      <c r="C174" s="431"/>
      <c r="I174" s="16"/>
      <c r="J174" s="16"/>
      <c r="O174" s="241"/>
      <c r="P174" s="432"/>
      <c r="Q174" s="432"/>
      <c r="R174" s="432"/>
      <c r="S174" s="432"/>
      <c r="T174" s="432"/>
      <c r="U174" s="432"/>
      <c r="V174" s="432"/>
      <c r="W174" s="433"/>
    </row>
    <row r="175" spans="2:23">
      <c r="B175" s="431"/>
      <c r="C175" s="431"/>
      <c r="I175" s="16"/>
      <c r="J175" s="16"/>
      <c r="O175" s="241"/>
      <c r="P175" s="432"/>
      <c r="Q175" s="432"/>
      <c r="R175" s="432"/>
      <c r="S175" s="432"/>
      <c r="T175" s="432"/>
      <c r="U175" s="432"/>
      <c r="V175" s="432"/>
      <c r="W175" s="433"/>
    </row>
    <row r="176" spans="2:23">
      <c r="B176" s="431"/>
      <c r="C176" s="431"/>
      <c r="I176" s="16"/>
      <c r="J176" s="16"/>
      <c r="O176" s="241"/>
      <c r="P176" s="432"/>
      <c r="Q176" s="432"/>
      <c r="R176" s="432"/>
      <c r="S176" s="432"/>
      <c r="T176" s="432"/>
      <c r="U176" s="432"/>
      <c r="V176" s="432"/>
      <c r="W176" s="433"/>
    </row>
    <row r="177" spans="2:23">
      <c r="B177" s="431"/>
      <c r="C177" s="431"/>
      <c r="I177" s="16"/>
      <c r="J177" s="16"/>
      <c r="O177" s="241"/>
      <c r="P177" s="432"/>
      <c r="Q177" s="432"/>
      <c r="R177" s="432"/>
      <c r="S177" s="432"/>
      <c r="T177" s="432"/>
      <c r="U177" s="432"/>
      <c r="V177" s="432"/>
      <c r="W177" s="433"/>
    </row>
    <row r="178" spans="2:23">
      <c r="B178" s="431"/>
      <c r="C178" s="431"/>
      <c r="I178" s="16"/>
      <c r="J178" s="16"/>
      <c r="O178" s="241"/>
      <c r="P178" s="432"/>
      <c r="Q178" s="432"/>
      <c r="R178" s="432"/>
      <c r="S178" s="432"/>
      <c r="T178" s="432"/>
      <c r="U178" s="432"/>
      <c r="V178" s="432"/>
      <c r="W178" s="433"/>
    </row>
    <row r="179" spans="2:23">
      <c r="B179" s="431"/>
      <c r="C179" s="431"/>
      <c r="I179" s="16"/>
      <c r="J179" s="16"/>
      <c r="O179" s="241"/>
      <c r="P179" s="432"/>
      <c r="Q179" s="432"/>
      <c r="R179" s="432"/>
      <c r="S179" s="432"/>
      <c r="T179" s="432"/>
      <c r="U179" s="432"/>
      <c r="V179" s="432"/>
      <c r="W179" s="433"/>
    </row>
    <row r="180" spans="2:23">
      <c r="B180" s="431"/>
      <c r="C180" s="431"/>
      <c r="I180" s="16"/>
      <c r="J180" s="16"/>
      <c r="O180" s="241"/>
      <c r="P180" s="432"/>
      <c r="Q180" s="432"/>
      <c r="R180" s="432"/>
      <c r="S180" s="432"/>
      <c r="T180" s="432"/>
      <c r="U180" s="432"/>
      <c r="V180" s="432"/>
      <c r="W180" s="433"/>
    </row>
    <row r="181" spans="2:23">
      <c r="B181" s="431"/>
      <c r="C181" s="431"/>
      <c r="I181" s="16"/>
      <c r="J181" s="16"/>
      <c r="O181" s="241"/>
      <c r="P181" s="432"/>
      <c r="Q181" s="432"/>
      <c r="R181" s="432"/>
      <c r="S181" s="432"/>
      <c r="T181" s="432"/>
      <c r="U181" s="432"/>
      <c r="V181" s="432"/>
      <c r="W181" s="433"/>
    </row>
    <row r="182" spans="2:23">
      <c r="B182" s="431"/>
      <c r="C182" s="431"/>
      <c r="I182" s="16"/>
      <c r="J182" s="16"/>
      <c r="O182" s="241"/>
      <c r="P182" s="432"/>
      <c r="Q182" s="432"/>
      <c r="R182" s="432"/>
      <c r="S182" s="432"/>
      <c r="T182" s="432"/>
      <c r="U182" s="432"/>
      <c r="V182" s="432"/>
      <c r="W182" s="433"/>
    </row>
    <row r="183" spans="2:23">
      <c r="B183" s="431"/>
      <c r="C183" s="431"/>
      <c r="I183" s="16"/>
      <c r="J183" s="16"/>
      <c r="O183" s="241"/>
      <c r="P183" s="432"/>
      <c r="Q183" s="432"/>
      <c r="R183" s="432"/>
      <c r="S183" s="432"/>
      <c r="T183" s="432"/>
      <c r="U183" s="432"/>
      <c r="V183" s="432"/>
      <c r="W183" s="433"/>
    </row>
    <row r="184" spans="2:23">
      <c r="B184" s="431"/>
      <c r="C184" s="431"/>
      <c r="I184" s="16"/>
      <c r="J184" s="16"/>
      <c r="O184" s="241"/>
      <c r="P184" s="432"/>
      <c r="Q184" s="432"/>
      <c r="R184" s="432"/>
      <c r="S184" s="432"/>
      <c r="T184" s="432"/>
      <c r="U184" s="432"/>
      <c r="V184" s="432"/>
      <c r="W184" s="433"/>
    </row>
    <row r="185" spans="2:23">
      <c r="B185" s="431"/>
      <c r="C185" s="431"/>
      <c r="I185" s="16"/>
      <c r="J185" s="16"/>
      <c r="O185" s="241"/>
      <c r="P185" s="432"/>
      <c r="Q185" s="432"/>
      <c r="R185" s="432"/>
      <c r="S185" s="432"/>
      <c r="T185" s="432"/>
      <c r="U185" s="432"/>
      <c r="V185" s="432"/>
      <c r="W185" s="433"/>
    </row>
    <row r="186" spans="2:23">
      <c r="B186" s="431"/>
      <c r="C186" s="431"/>
      <c r="I186" s="16"/>
      <c r="J186" s="16"/>
      <c r="O186" s="241"/>
      <c r="P186" s="432"/>
      <c r="Q186" s="432"/>
      <c r="R186" s="432"/>
      <c r="S186" s="432"/>
      <c r="T186" s="432"/>
      <c r="U186" s="432"/>
      <c r="V186" s="432"/>
      <c r="W186" s="433"/>
    </row>
    <row r="187" spans="2:23">
      <c r="B187" s="431"/>
      <c r="C187" s="431"/>
      <c r="I187" s="16"/>
      <c r="J187" s="16"/>
      <c r="O187" s="241"/>
      <c r="P187" s="432"/>
      <c r="Q187" s="432"/>
      <c r="R187" s="432"/>
      <c r="S187" s="432"/>
      <c r="T187" s="432"/>
      <c r="U187" s="432"/>
      <c r="V187" s="432"/>
      <c r="W187" s="433"/>
    </row>
    <row r="188" spans="2:23">
      <c r="I188" s="16"/>
      <c r="J188" s="16"/>
      <c r="O188" s="241"/>
    </row>
    <row r="189" spans="2:23">
      <c r="I189" s="16"/>
      <c r="J189" s="16"/>
      <c r="O189" s="241"/>
    </row>
    <row r="190" spans="2:23">
      <c r="I190" s="16"/>
      <c r="J190" s="16"/>
      <c r="O190" s="241"/>
    </row>
    <row r="191" spans="2:23">
      <c r="I191" s="16"/>
      <c r="J191" s="16"/>
      <c r="O191" s="241"/>
    </row>
    <row r="192" spans="2:23">
      <c r="I192" s="16"/>
      <c r="J192" s="16"/>
      <c r="O192" s="241"/>
    </row>
    <row r="193" spans="9:15">
      <c r="I193" s="16"/>
      <c r="J193" s="16"/>
      <c r="O193" s="241"/>
    </row>
    <row r="194" spans="9:15">
      <c r="I194" s="16"/>
      <c r="J194" s="16"/>
      <c r="O194" s="241"/>
    </row>
    <row r="195" spans="9:15">
      <c r="I195" s="16"/>
      <c r="J195" s="16"/>
      <c r="O195" s="241"/>
    </row>
    <row r="196" spans="9:15">
      <c r="I196" s="16"/>
      <c r="J196" s="16"/>
      <c r="O196" s="241"/>
    </row>
    <row r="197" spans="9:15">
      <c r="I197" s="16"/>
      <c r="J197" s="16"/>
      <c r="O197" s="241"/>
    </row>
    <row r="198" spans="9:15">
      <c r="I198" s="16"/>
      <c r="J198" s="16"/>
      <c r="O198" s="241"/>
    </row>
    <row r="199" spans="9:15">
      <c r="I199" s="16"/>
      <c r="J199" s="16"/>
      <c r="O199" s="241"/>
    </row>
    <row r="200" spans="9:15">
      <c r="I200" s="16"/>
      <c r="J200" s="16"/>
      <c r="O200" s="241"/>
    </row>
    <row r="201" spans="9:15">
      <c r="I201" s="16"/>
      <c r="J201" s="16"/>
      <c r="O201" s="241"/>
    </row>
  </sheetData>
  <mergeCells count="2">
    <mergeCell ref="G2:N2"/>
    <mergeCell ref="P2:W2"/>
  </mergeCells>
  <conditionalFormatting sqref="W4:W187">
    <cfRule type="cellIs" dxfId="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00B0F0"/>
    <outlinePr summaryBelow="0" summaryRight="0"/>
  </sheetPr>
  <dimension ref="A1:W1000"/>
  <sheetViews>
    <sheetView showGridLines="0" zoomScale="85" zoomScaleNormal="85" workbookViewId="0"/>
  </sheetViews>
  <sheetFormatPr defaultColWidth="14.42578125" defaultRowHeight="15.75" customHeight="1"/>
  <cols>
    <col min="1" max="1" width="14.5703125" style="154" bestFit="1" customWidth="1"/>
    <col min="2" max="2" width="17.5703125" style="63" hidden="1" customWidth="1"/>
    <col min="3" max="3" width="15" style="63" bestFit="1" customWidth="1"/>
    <col min="4" max="4" width="23.5703125" style="63" customWidth="1"/>
    <col min="5" max="7" width="14.5703125" style="63" bestFit="1" customWidth="1"/>
    <col min="8" max="10" width="14.5703125" style="63" hidden="1" customWidth="1"/>
    <col min="11" max="11" width="14.5703125" style="244" bestFit="1" customWidth="1"/>
    <col min="12" max="12" width="25.28515625" style="61" bestFit="1" customWidth="1"/>
    <col min="13" max="13" width="20" style="61" bestFit="1" customWidth="1"/>
    <col min="14" max="14" width="22" style="260" bestFit="1" customWidth="1"/>
    <col min="15" max="15" width="20" style="260" bestFit="1" customWidth="1"/>
    <col min="16" max="18" width="14.42578125" style="61"/>
    <col min="19" max="19" width="24.85546875" style="61" bestFit="1" customWidth="1"/>
    <col min="20" max="20" width="11.85546875" style="61" bestFit="1" customWidth="1"/>
    <col min="21" max="21" width="10.28515625" style="61" bestFit="1" customWidth="1"/>
    <col min="22" max="22" width="22.28515625" style="61" bestFit="1" customWidth="1"/>
    <col min="23" max="23" width="35.5703125" style="61" bestFit="1" customWidth="1"/>
    <col min="24" max="16384" width="14.42578125" style="61"/>
  </cols>
  <sheetData>
    <row r="1" spans="1:23" ht="15.75" customHeight="1">
      <c r="A1" s="243" t="s">
        <v>642</v>
      </c>
      <c r="B1" s="251" t="s">
        <v>1</v>
      </c>
      <c r="C1" s="259" t="s">
        <v>727</v>
      </c>
      <c r="D1" s="259" t="s">
        <v>599</v>
      </c>
      <c r="E1" s="259" t="s">
        <v>34</v>
      </c>
      <c r="F1" s="259" t="s">
        <v>728</v>
      </c>
      <c r="G1" s="259" t="s">
        <v>729</v>
      </c>
      <c r="H1" s="59" t="s">
        <v>34</v>
      </c>
      <c r="I1" s="59" t="s">
        <v>728</v>
      </c>
      <c r="J1" s="557" t="s">
        <v>729</v>
      </c>
      <c r="K1" s="558" t="s">
        <v>600</v>
      </c>
    </row>
    <row r="2" spans="1:23" ht="15.75" customHeight="1" thickBot="1">
      <c r="A2" s="244">
        <f>IFERROR(VLOOKUP($D2,$N:$O,2,FALSE),"-")</f>
        <v>10071309</v>
      </c>
      <c r="B2" s="775">
        <v>43525</v>
      </c>
      <c r="C2" s="254" t="s">
        <v>170</v>
      </c>
      <c r="D2" s="254" t="s">
        <v>730</v>
      </c>
      <c r="E2" s="254">
        <v>12</v>
      </c>
      <c r="F2" s="254">
        <v>12</v>
      </c>
      <c r="G2" s="255">
        <f t="shared" ref="G2:G20" si="0">F2/E2</f>
        <v>1</v>
      </c>
      <c r="H2" s="778">
        <f>SUM(E2:E7)</f>
        <v>86</v>
      </c>
      <c r="I2" s="778">
        <f>SUM(F2:F7)</f>
        <v>86</v>
      </c>
      <c r="J2" s="780">
        <f>I2/H2</f>
        <v>1</v>
      </c>
      <c r="K2" s="559">
        <f>IF(G2&gt;=90%,100%,IF(G2&gt;=85%,80%,IF(G2&gt;=80%,60%,0)))</f>
        <v>1</v>
      </c>
      <c r="L2" s="60"/>
      <c r="M2" s="60"/>
      <c r="N2" s="260" t="s">
        <v>731</v>
      </c>
      <c r="O2" s="260">
        <v>10071099</v>
      </c>
      <c r="P2" s="58"/>
      <c r="R2" s="61" t="s">
        <v>732</v>
      </c>
      <c r="S2" s="774"/>
      <c r="T2" s="774"/>
      <c r="U2" s="774"/>
      <c r="V2" s="774"/>
      <c r="W2" s="774"/>
    </row>
    <row r="3" spans="1:23" ht="15.75" customHeight="1" thickBot="1">
      <c r="A3" s="244">
        <f t="shared" ref="A3:A19" si="1">IFERROR(VLOOKUP($D3,$N:$O,2,FALSE),"-")</f>
        <v>10072501</v>
      </c>
      <c r="B3" s="776"/>
      <c r="C3" s="254" t="s">
        <v>170</v>
      </c>
      <c r="D3" s="254" t="s">
        <v>733</v>
      </c>
      <c r="E3" s="254">
        <v>26</v>
      </c>
      <c r="F3" s="254">
        <v>26</v>
      </c>
      <c r="G3" s="255">
        <f t="shared" si="0"/>
        <v>1</v>
      </c>
      <c r="H3" s="778"/>
      <c r="I3" s="778"/>
      <c r="J3" s="781"/>
      <c r="K3" s="559">
        <f t="shared" ref="K3:K27" si="2">IF(G3&gt;=90%,100%,IF(G3&gt;=85%,80%,IF(G3&gt;=80%,60%,0)))</f>
        <v>1</v>
      </c>
      <c r="L3" s="60"/>
      <c r="M3" s="60"/>
      <c r="N3" s="260" t="s">
        <v>730</v>
      </c>
      <c r="O3" s="260">
        <v>10071309</v>
      </c>
      <c r="P3" s="58"/>
      <c r="S3" s="587"/>
      <c r="T3" s="588"/>
      <c r="U3" s="588"/>
      <c r="V3" s="588"/>
      <c r="W3" s="588"/>
    </row>
    <row r="4" spans="1:23" ht="15.75" customHeight="1" thickBot="1">
      <c r="A4" s="244">
        <f t="shared" si="1"/>
        <v>10071099</v>
      </c>
      <c r="B4" s="776"/>
      <c r="C4" s="254" t="s">
        <v>170</v>
      </c>
      <c r="D4" s="254" t="s">
        <v>731</v>
      </c>
      <c r="E4" s="254">
        <v>23</v>
      </c>
      <c r="F4" s="254">
        <v>23</v>
      </c>
      <c r="G4" s="255">
        <f t="shared" si="0"/>
        <v>1</v>
      </c>
      <c r="H4" s="778"/>
      <c r="I4" s="778"/>
      <c r="J4" s="781"/>
      <c r="K4" s="559">
        <f t="shared" si="2"/>
        <v>1</v>
      </c>
      <c r="L4" s="60"/>
      <c r="M4" s="60"/>
      <c r="N4" s="260" t="s">
        <v>733</v>
      </c>
      <c r="O4" s="260">
        <v>10072501</v>
      </c>
      <c r="P4" s="58"/>
      <c r="S4" s="589"/>
      <c r="T4" s="590"/>
      <c r="U4" s="590"/>
      <c r="V4" s="591"/>
      <c r="W4" s="592"/>
    </row>
    <row r="5" spans="1:23" ht="15.75" customHeight="1" thickBot="1">
      <c r="A5" s="244">
        <f t="shared" si="1"/>
        <v>10072072</v>
      </c>
      <c r="B5" s="776"/>
      <c r="C5" s="254" t="s">
        <v>170</v>
      </c>
      <c r="D5" s="254" t="s">
        <v>734</v>
      </c>
      <c r="E5" s="254">
        <v>25</v>
      </c>
      <c r="F5" s="254">
        <v>25</v>
      </c>
      <c r="G5" s="255">
        <f t="shared" si="0"/>
        <v>1</v>
      </c>
      <c r="H5" s="778"/>
      <c r="I5" s="778"/>
      <c r="J5" s="781"/>
      <c r="K5" s="559">
        <f t="shared" si="2"/>
        <v>1</v>
      </c>
      <c r="L5" s="60"/>
      <c r="M5" s="60"/>
      <c r="N5" s="260" t="s">
        <v>735</v>
      </c>
      <c r="O5" s="260">
        <v>10071256</v>
      </c>
      <c r="P5" s="58"/>
      <c r="S5" s="593"/>
      <c r="T5" s="594"/>
      <c r="U5" s="594"/>
      <c r="V5" s="595"/>
      <c r="W5" s="596"/>
    </row>
    <row r="6" spans="1:23" ht="15.75" customHeight="1" thickBot="1">
      <c r="A6" s="244" t="str">
        <f t="shared" si="1"/>
        <v>-</v>
      </c>
      <c r="B6" s="776"/>
      <c r="C6" s="257"/>
      <c r="D6" s="257"/>
      <c r="E6" s="257"/>
      <c r="F6" s="257"/>
      <c r="G6" s="258"/>
      <c r="H6" s="778"/>
      <c r="I6" s="778"/>
      <c r="J6" s="781"/>
      <c r="K6" s="559"/>
      <c r="L6" s="60"/>
      <c r="M6" s="60"/>
      <c r="N6" s="260" t="s">
        <v>736</v>
      </c>
      <c r="O6" s="260">
        <v>10070715</v>
      </c>
      <c r="P6" s="58"/>
      <c r="S6" s="589"/>
      <c r="T6" s="590"/>
      <c r="U6" s="590"/>
      <c r="V6" s="591"/>
      <c r="W6" s="592"/>
    </row>
    <row r="7" spans="1:23" ht="15.75" customHeight="1" thickBot="1">
      <c r="A7" s="244" t="str">
        <f t="shared" si="1"/>
        <v>-</v>
      </c>
      <c r="B7" s="776"/>
      <c r="C7" s="257"/>
      <c r="D7" s="257"/>
      <c r="E7" s="257"/>
      <c r="F7" s="257"/>
      <c r="G7" s="258"/>
      <c r="H7" s="779"/>
      <c r="I7" s="779"/>
      <c r="J7" s="782"/>
      <c r="K7" s="559"/>
      <c r="L7" s="60"/>
      <c r="M7" s="60"/>
      <c r="N7" s="260" t="s">
        <v>737</v>
      </c>
      <c r="O7" s="260">
        <v>10072502</v>
      </c>
      <c r="P7" s="58"/>
      <c r="S7" s="593"/>
      <c r="T7" s="594"/>
      <c r="U7" s="594"/>
      <c r="V7" s="595"/>
      <c r="W7" s="596"/>
    </row>
    <row r="8" spans="1:23" ht="15.75" customHeight="1" thickBot="1">
      <c r="A8" s="244">
        <f t="shared" si="1"/>
        <v>10070715</v>
      </c>
      <c r="B8" s="776"/>
      <c r="C8" s="254" t="s">
        <v>85</v>
      </c>
      <c r="D8" s="254" t="s">
        <v>736</v>
      </c>
      <c r="E8" s="254">
        <v>28</v>
      </c>
      <c r="F8" s="254">
        <v>28</v>
      </c>
      <c r="G8" s="255">
        <f t="shared" si="0"/>
        <v>1</v>
      </c>
      <c r="H8" s="778">
        <f>SUM(E8:E13)</f>
        <v>78</v>
      </c>
      <c r="I8" s="778">
        <f>SUM(F8:F13)</f>
        <v>76</v>
      </c>
      <c r="J8" s="780">
        <f>I8/H8</f>
        <v>0.97435897435897434</v>
      </c>
      <c r="K8" s="559">
        <f t="shared" si="2"/>
        <v>1</v>
      </c>
      <c r="L8" s="60"/>
      <c r="M8" s="60"/>
      <c r="N8" s="260" t="s">
        <v>738</v>
      </c>
      <c r="O8" s="260">
        <v>10071492</v>
      </c>
      <c r="P8" s="58"/>
      <c r="S8" s="597"/>
      <c r="T8" s="598"/>
      <c r="U8" s="598"/>
      <c r="V8" s="599"/>
      <c r="W8" s="592"/>
    </row>
    <row r="9" spans="1:23" ht="15.75" customHeight="1">
      <c r="A9" s="244">
        <f t="shared" si="1"/>
        <v>10072502</v>
      </c>
      <c r="B9" s="776"/>
      <c r="C9" s="254" t="s">
        <v>85</v>
      </c>
      <c r="D9" s="254" t="s">
        <v>737</v>
      </c>
      <c r="E9" s="254">
        <v>28</v>
      </c>
      <c r="F9" s="254">
        <v>26</v>
      </c>
      <c r="G9" s="255">
        <f t="shared" si="0"/>
        <v>0.9285714285714286</v>
      </c>
      <c r="H9" s="778"/>
      <c r="I9" s="778"/>
      <c r="J9" s="781"/>
      <c r="K9" s="559">
        <f t="shared" si="2"/>
        <v>1</v>
      </c>
      <c r="L9" s="60"/>
      <c r="M9" s="60"/>
      <c r="N9" s="260" t="s">
        <v>734</v>
      </c>
      <c r="O9" s="260">
        <v>10072072</v>
      </c>
      <c r="P9" s="58"/>
      <c r="S9" s="600"/>
      <c r="T9" s="600"/>
      <c r="U9" s="600"/>
      <c r="V9" s="143"/>
      <c r="W9" s="600"/>
    </row>
    <row r="10" spans="1:23" ht="15.75" customHeight="1" thickBot="1">
      <c r="A10" s="244">
        <f t="shared" si="1"/>
        <v>10070655</v>
      </c>
      <c r="B10" s="776"/>
      <c r="C10" s="254" t="s">
        <v>85</v>
      </c>
      <c r="D10" s="254" t="s">
        <v>739</v>
      </c>
      <c r="E10" s="254">
        <v>22</v>
      </c>
      <c r="F10" s="254">
        <v>22</v>
      </c>
      <c r="G10" s="255">
        <f t="shared" si="0"/>
        <v>1</v>
      </c>
      <c r="H10" s="778"/>
      <c r="I10" s="778"/>
      <c r="J10" s="781"/>
      <c r="K10" s="559">
        <f t="shared" si="2"/>
        <v>1</v>
      </c>
      <c r="L10" s="60"/>
      <c r="M10" s="60"/>
      <c r="N10" s="260" t="s">
        <v>739</v>
      </c>
      <c r="O10" s="260">
        <v>10070655</v>
      </c>
      <c r="P10" s="58"/>
      <c r="S10" s="600"/>
      <c r="T10" s="600"/>
      <c r="U10" s="600"/>
      <c r="V10" s="143"/>
      <c r="W10" s="600"/>
    </row>
    <row r="11" spans="1:23" ht="15.75" customHeight="1" thickBot="1">
      <c r="A11" s="244" t="str">
        <f t="shared" si="1"/>
        <v>-</v>
      </c>
      <c r="B11" s="776"/>
      <c r="C11" s="254"/>
      <c r="D11" s="254"/>
      <c r="E11" s="254"/>
      <c r="F11" s="254"/>
      <c r="G11" s="255"/>
      <c r="H11" s="778"/>
      <c r="I11" s="778"/>
      <c r="J11" s="781"/>
      <c r="K11" s="559">
        <f t="shared" si="2"/>
        <v>0</v>
      </c>
      <c r="L11" s="60"/>
      <c r="M11" s="60"/>
      <c r="N11" s="260" t="s">
        <v>740</v>
      </c>
      <c r="O11" s="260">
        <v>10071280</v>
      </c>
      <c r="P11" s="58"/>
      <c r="S11" s="587"/>
      <c r="T11" s="588"/>
      <c r="U11" s="588"/>
      <c r="V11" s="588"/>
      <c r="W11" s="601"/>
    </row>
    <row r="12" spans="1:23" ht="15.75" customHeight="1" thickBot="1">
      <c r="A12" s="244" t="str">
        <f t="shared" si="1"/>
        <v>-</v>
      </c>
      <c r="B12" s="776"/>
      <c r="C12" s="257"/>
      <c r="D12" s="257"/>
      <c r="E12" s="257"/>
      <c r="F12" s="257"/>
      <c r="G12" s="258"/>
      <c r="H12" s="778"/>
      <c r="I12" s="778"/>
      <c r="J12" s="781"/>
      <c r="K12" s="559"/>
      <c r="L12" s="60"/>
      <c r="M12" s="60"/>
      <c r="N12" s="260" t="s">
        <v>741</v>
      </c>
      <c r="O12" s="260">
        <v>10070702</v>
      </c>
      <c r="P12" s="58"/>
      <c r="S12" s="589"/>
      <c r="T12" s="590"/>
      <c r="U12" s="590"/>
      <c r="V12" s="591"/>
      <c r="W12" s="602"/>
    </row>
    <row r="13" spans="1:23" ht="15.75" customHeight="1" thickBot="1">
      <c r="A13" s="244" t="str">
        <f t="shared" si="1"/>
        <v>-</v>
      </c>
      <c r="B13" s="776"/>
      <c r="C13" s="257"/>
      <c r="D13" s="257"/>
      <c r="E13" s="257"/>
      <c r="F13" s="257"/>
      <c r="G13" s="258"/>
      <c r="H13" s="779"/>
      <c r="I13" s="779"/>
      <c r="J13" s="782"/>
      <c r="K13" s="559"/>
      <c r="L13" s="60"/>
      <c r="M13" s="60"/>
      <c r="N13" s="260" t="s">
        <v>742</v>
      </c>
      <c r="O13" s="260">
        <v>10070828</v>
      </c>
      <c r="P13" s="58"/>
      <c r="S13" s="593"/>
      <c r="T13" s="594"/>
      <c r="U13" s="594"/>
      <c r="V13" s="595"/>
      <c r="W13" s="596"/>
    </row>
    <row r="14" spans="1:23" ht="15.75" customHeight="1" thickBot="1">
      <c r="A14" s="244">
        <f t="shared" si="1"/>
        <v>10071492</v>
      </c>
      <c r="B14" s="776"/>
      <c r="C14" s="254" t="s">
        <v>106</v>
      </c>
      <c r="D14" s="254" t="s">
        <v>738</v>
      </c>
      <c r="E14" s="254">
        <v>23</v>
      </c>
      <c r="F14" s="254">
        <v>19</v>
      </c>
      <c r="G14" s="255">
        <f t="shared" si="0"/>
        <v>0.82608695652173914</v>
      </c>
      <c r="H14" s="778">
        <f>SUM(E14:E19)</f>
        <v>83</v>
      </c>
      <c r="I14" s="778">
        <f>SUM(F14:F19)</f>
        <v>78</v>
      </c>
      <c r="J14" s="780">
        <f>I14/H14</f>
        <v>0.93975903614457834</v>
      </c>
      <c r="K14" s="559">
        <f t="shared" si="2"/>
        <v>0.6</v>
      </c>
      <c r="L14" s="60"/>
      <c r="M14" s="60"/>
      <c r="N14" s="260" t="s">
        <v>743</v>
      </c>
      <c r="O14" s="260">
        <v>10071245</v>
      </c>
      <c r="S14" s="593"/>
      <c r="T14" s="594"/>
      <c r="U14" s="594"/>
      <c r="V14" s="595"/>
      <c r="W14" s="596"/>
    </row>
    <row r="15" spans="1:23" ht="15.75" customHeight="1" thickBot="1">
      <c r="A15" s="244">
        <f t="shared" si="1"/>
        <v>10071256</v>
      </c>
      <c r="B15" s="776"/>
      <c r="C15" s="254" t="s">
        <v>106</v>
      </c>
      <c r="D15" s="254" t="s">
        <v>735</v>
      </c>
      <c r="E15" s="254">
        <v>23</v>
      </c>
      <c r="F15" s="254">
        <v>22</v>
      </c>
      <c r="G15" s="255">
        <f t="shared" si="0"/>
        <v>0.95652173913043481</v>
      </c>
      <c r="H15" s="778"/>
      <c r="I15" s="778"/>
      <c r="J15" s="781"/>
      <c r="K15" s="559">
        <f t="shared" si="2"/>
        <v>1</v>
      </c>
      <c r="L15" s="60"/>
      <c r="M15" s="60"/>
      <c r="S15" s="597"/>
      <c r="T15" s="598"/>
      <c r="U15" s="598"/>
      <c r="V15" s="599"/>
      <c r="W15" s="592"/>
    </row>
    <row r="16" spans="1:23" ht="15.75" customHeight="1">
      <c r="A16" s="244">
        <f t="shared" si="1"/>
        <v>10071245</v>
      </c>
      <c r="B16" s="776"/>
      <c r="C16" s="254" t="s">
        <v>106</v>
      </c>
      <c r="D16" s="254" t="s">
        <v>743</v>
      </c>
      <c r="E16" s="254">
        <v>21</v>
      </c>
      <c r="F16" s="254">
        <v>21</v>
      </c>
      <c r="G16" s="255">
        <f t="shared" si="0"/>
        <v>1</v>
      </c>
      <c r="H16" s="778"/>
      <c r="I16" s="778"/>
      <c r="J16" s="781"/>
      <c r="K16" s="559">
        <f t="shared" si="2"/>
        <v>1</v>
      </c>
      <c r="L16" s="60"/>
      <c r="M16" s="60"/>
      <c r="S16" s="168"/>
      <c r="T16" s="169"/>
      <c r="U16" s="169"/>
      <c r="V16" s="603"/>
      <c r="W16" s="604"/>
    </row>
    <row r="17" spans="1:23" ht="15.75" customHeight="1">
      <c r="A17" s="244">
        <f t="shared" si="1"/>
        <v>10070828</v>
      </c>
      <c r="B17" s="776"/>
      <c r="C17" s="254" t="s">
        <v>106</v>
      </c>
      <c r="D17" s="254" t="s">
        <v>742</v>
      </c>
      <c r="E17" s="254">
        <v>16</v>
      </c>
      <c r="F17" s="254">
        <v>16</v>
      </c>
      <c r="G17" s="255">
        <f t="shared" si="0"/>
        <v>1</v>
      </c>
      <c r="H17" s="778"/>
      <c r="I17" s="778"/>
      <c r="J17" s="781"/>
      <c r="K17" s="559">
        <f t="shared" si="2"/>
        <v>1</v>
      </c>
      <c r="L17" s="60"/>
      <c r="M17" s="60"/>
      <c r="S17"/>
      <c r="T17"/>
      <c r="U17"/>
      <c r="V17" s="143"/>
      <c r="W17"/>
    </row>
    <row r="18" spans="1:23" ht="15.75" customHeight="1">
      <c r="A18" s="244" t="str">
        <f t="shared" si="1"/>
        <v>-</v>
      </c>
      <c r="B18" s="776"/>
      <c r="C18" s="257"/>
      <c r="D18" s="257"/>
      <c r="E18" s="257"/>
      <c r="F18" s="257"/>
      <c r="G18" s="258"/>
      <c r="H18" s="778"/>
      <c r="I18" s="778"/>
      <c r="J18" s="781"/>
      <c r="K18" s="559"/>
      <c r="L18" s="60"/>
      <c r="M18" s="60"/>
      <c r="S18"/>
      <c r="T18"/>
      <c r="U18"/>
      <c r="V18" s="143"/>
      <c r="W18"/>
    </row>
    <row r="19" spans="1:23" ht="15.75" customHeight="1">
      <c r="A19" s="244" t="str">
        <f t="shared" si="1"/>
        <v>-</v>
      </c>
      <c r="B19" s="777"/>
      <c r="C19" s="257"/>
      <c r="D19" s="257"/>
      <c r="E19" s="257"/>
      <c r="F19" s="257"/>
      <c r="G19" s="258"/>
      <c r="H19" s="779"/>
      <c r="I19" s="779"/>
      <c r="J19" s="782"/>
      <c r="K19" s="559"/>
      <c r="L19" s="60"/>
      <c r="M19" s="60"/>
      <c r="S19" s="163"/>
      <c r="T19" s="163"/>
      <c r="U19" s="163"/>
      <c r="V19" s="163"/>
      <c r="W19" s="171"/>
    </row>
    <row r="20" spans="1:23" ht="15.75" customHeight="1">
      <c r="A20" s="244"/>
      <c r="B20" s="252"/>
      <c r="C20" s="254"/>
      <c r="D20" s="253" t="s">
        <v>590</v>
      </c>
      <c r="E20" s="253">
        <f>SUM(E2:E19)</f>
        <v>247</v>
      </c>
      <c r="F20" s="253">
        <f>SUM(F2:F19)</f>
        <v>240</v>
      </c>
      <c r="G20" s="256">
        <f t="shared" si="0"/>
        <v>0.97165991902834004</v>
      </c>
      <c r="H20" s="670"/>
      <c r="I20" s="670"/>
      <c r="J20" s="671"/>
      <c r="K20" s="559">
        <f t="shared" si="2"/>
        <v>1</v>
      </c>
      <c r="S20" s="164"/>
      <c r="T20" s="165"/>
      <c r="U20" s="165"/>
      <c r="V20" s="467"/>
      <c r="W20" s="468"/>
    </row>
    <row r="21" spans="1:23" ht="15.75" customHeight="1">
      <c r="A21" s="244"/>
      <c r="K21" s="250"/>
      <c r="S21" s="166"/>
      <c r="T21" s="167"/>
      <c r="U21" s="167"/>
      <c r="V21" s="469"/>
      <c r="W21" s="470"/>
    </row>
    <row r="22" spans="1:23" ht="15.75" customHeight="1">
      <c r="A22" s="244"/>
      <c r="K22" s="250"/>
      <c r="S22" s="164"/>
      <c r="T22" s="165"/>
      <c r="U22" s="165"/>
      <c r="V22" s="467"/>
      <c r="W22" s="468"/>
    </row>
    <row r="23" spans="1:23" ht="15.75" customHeight="1">
      <c r="A23" s="244"/>
      <c r="B23" s="243"/>
      <c r="C23" s="243" t="s">
        <v>642</v>
      </c>
      <c r="D23" s="246" t="s">
        <v>744</v>
      </c>
      <c r="E23" s="246" t="s">
        <v>34</v>
      </c>
      <c r="F23" s="246" t="s">
        <v>728</v>
      </c>
      <c r="G23" s="246" t="s">
        <v>729</v>
      </c>
      <c r="H23" s="247"/>
      <c r="I23" s="247"/>
      <c r="J23" s="247"/>
      <c r="K23" s="249" t="s">
        <v>600</v>
      </c>
      <c r="S23" s="166"/>
      <c r="T23" s="167"/>
      <c r="U23" s="167"/>
      <c r="V23" s="469"/>
      <c r="W23" s="470"/>
    </row>
    <row r="24" spans="1:23" ht="15.75" customHeight="1">
      <c r="A24" s="243"/>
      <c r="B24" s="243"/>
      <c r="C24" s="244">
        <v>10072003</v>
      </c>
      <c r="D24" s="249" t="s">
        <v>85</v>
      </c>
      <c r="E24" s="245">
        <f t="shared" ref="E24:F26" si="3">SUMIFS(E:E,$C:$C,$D24)</f>
        <v>78</v>
      </c>
      <c r="F24" s="245">
        <f t="shared" si="3"/>
        <v>76</v>
      </c>
      <c r="G24" s="248">
        <f>F24/E24</f>
        <v>0.97435897435897434</v>
      </c>
      <c r="H24" s="247"/>
      <c r="I24" s="247"/>
      <c r="J24" s="247"/>
      <c r="K24" s="248">
        <f t="shared" si="2"/>
        <v>1</v>
      </c>
      <c r="S24" s="168"/>
      <c r="T24" s="169"/>
      <c r="U24" s="169"/>
      <c r="V24" s="467"/>
      <c r="W24" s="468"/>
    </row>
    <row r="25" spans="1:23" ht="15.75" customHeight="1">
      <c r="A25" s="243"/>
      <c r="B25" s="243"/>
      <c r="C25" s="244">
        <v>10071937</v>
      </c>
      <c r="D25" s="249" t="s">
        <v>106</v>
      </c>
      <c r="E25" s="245">
        <f t="shared" si="3"/>
        <v>83</v>
      </c>
      <c r="F25" s="245">
        <f t="shared" si="3"/>
        <v>78</v>
      </c>
      <c r="G25" s="248">
        <f>F25/E25</f>
        <v>0.93975903614457834</v>
      </c>
      <c r="H25" s="247"/>
      <c r="I25" s="247"/>
      <c r="J25" s="247"/>
      <c r="K25" s="248">
        <f t="shared" si="2"/>
        <v>1</v>
      </c>
      <c r="L25" s="60"/>
      <c r="N25" s="260" t="s">
        <v>414</v>
      </c>
      <c r="S25" s="152"/>
      <c r="T25" s="152"/>
      <c r="U25" s="152"/>
      <c r="V25" s="152"/>
      <c r="W25" s="152"/>
    </row>
    <row r="26" spans="1:23" ht="15.75" customHeight="1">
      <c r="A26" s="243"/>
      <c r="B26" s="243"/>
      <c r="C26" s="244">
        <v>7010609</v>
      </c>
      <c r="D26" s="249" t="s">
        <v>170</v>
      </c>
      <c r="E26" s="245">
        <f t="shared" si="3"/>
        <v>86</v>
      </c>
      <c r="F26" s="245">
        <f t="shared" si="3"/>
        <v>86</v>
      </c>
      <c r="G26" s="248">
        <f>F26/E26</f>
        <v>1</v>
      </c>
      <c r="H26" s="247"/>
      <c r="I26" s="247"/>
      <c r="J26" s="247"/>
      <c r="K26" s="248">
        <f t="shared" si="2"/>
        <v>1</v>
      </c>
      <c r="L26" s="60"/>
      <c r="M26" s="60"/>
      <c r="N26" s="260" t="s">
        <v>287</v>
      </c>
      <c r="O26" s="260" t="s">
        <v>288</v>
      </c>
      <c r="R26" s="61" t="s">
        <v>745</v>
      </c>
      <c r="S26" s="774"/>
      <c r="T26" s="774"/>
      <c r="U26" s="774"/>
      <c r="V26" s="774"/>
      <c r="W26" s="774"/>
    </row>
    <row r="27" spans="1:23" ht="15.75" customHeight="1">
      <c r="A27" s="244"/>
      <c r="B27" s="243"/>
      <c r="C27" s="244" t="s">
        <v>274</v>
      </c>
      <c r="D27" s="249" t="s">
        <v>274</v>
      </c>
      <c r="E27" s="246">
        <f>SUM(E24:E26)</f>
        <v>247</v>
      </c>
      <c r="F27" s="246">
        <f>SUM(F24:F26)</f>
        <v>240</v>
      </c>
      <c r="G27" s="249">
        <f>F27/E27</f>
        <v>0.97165991902834004</v>
      </c>
      <c r="H27" s="245"/>
      <c r="I27" s="245"/>
      <c r="J27" s="245"/>
      <c r="K27" s="249">
        <f t="shared" si="2"/>
        <v>1</v>
      </c>
      <c r="L27" s="60"/>
      <c r="M27" s="62"/>
      <c r="N27" s="260" t="s">
        <v>289</v>
      </c>
      <c r="O27" s="261">
        <v>1</v>
      </c>
      <c r="S27" s="163"/>
      <c r="T27" s="163"/>
      <c r="U27" s="163"/>
      <c r="V27" s="163"/>
      <c r="W27" s="163"/>
    </row>
    <row r="28" spans="1:23" ht="15.75" customHeight="1">
      <c r="A28" s="244"/>
      <c r="L28" s="60"/>
      <c r="M28" s="62"/>
      <c r="N28" s="260" t="s">
        <v>290</v>
      </c>
      <c r="O28" s="261">
        <v>0.8</v>
      </c>
      <c r="S28" s="164"/>
      <c r="T28" s="165"/>
      <c r="U28" s="165"/>
      <c r="V28" s="467"/>
      <c r="W28" s="468"/>
    </row>
    <row r="29" spans="1:23" ht="15.75" customHeight="1">
      <c r="A29" s="244"/>
      <c r="L29" s="60"/>
      <c r="M29" s="62"/>
      <c r="N29" s="260" t="s">
        <v>291</v>
      </c>
      <c r="O29" s="261">
        <v>0.6</v>
      </c>
      <c r="S29" s="166"/>
      <c r="T29" s="167"/>
      <c r="U29" s="167"/>
      <c r="V29" s="469"/>
      <c r="W29" s="470"/>
    </row>
    <row r="30" spans="1:23" ht="15.75" customHeight="1">
      <c r="A30" s="244"/>
      <c r="L30" s="60"/>
      <c r="M30" s="62"/>
      <c r="N30" s="260" t="s">
        <v>292</v>
      </c>
      <c r="O30" s="261">
        <v>0</v>
      </c>
      <c r="S30" s="164"/>
      <c r="T30" s="165"/>
      <c r="U30" s="165"/>
      <c r="V30" s="467"/>
      <c r="W30" s="468"/>
    </row>
    <row r="31" spans="1:23" ht="15.75" customHeight="1">
      <c r="A31" s="244"/>
      <c r="E31" s="631">
        <f>SUMIFS(U:U,$S:$S,$D31)</f>
        <v>0</v>
      </c>
      <c r="F31" s="631">
        <f>SUMIFS(T:T,$S:$S,$D31)</f>
        <v>0</v>
      </c>
      <c r="S31" s="166"/>
      <c r="T31" s="167"/>
      <c r="U31" s="167"/>
      <c r="V31" s="469"/>
      <c r="W31" s="470"/>
    </row>
    <row r="32" spans="1:23" ht="15.75" customHeight="1">
      <c r="A32" s="244"/>
      <c r="S32" s="168"/>
      <c r="T32" s="169"/>
      <c r="U32" s="169"/>
      <c r="V32" s="170"/>
      <c r="W32" s="468"/>
    </row>
    <row r="33" spans="1:23" ht="15.75" customHeight="1">
      <c r="A33" s="244"/>
      <c r="S33"/>
      <c r="T33"/>
      <c r="U33"/>
      <c r="V33" s="143"/>
      <c r="W33"/>
    </row>
    <row r="34" spans="1:23" ht="15.75" customHeight="1">
      <c r="A34" s="244"/>
      <c r="S34"/>
      <c r="T34"/>
      <c r="U34"/>
      <c r="V34" s="143"/>
      <c r="W34"/>
    </row>
    <row r="35" spans="1:23" ht="15.75" customHeight="1">
      <c r="A35" s="244"/>
      <c r="S35" s="163"/>
      <c r="T35" s="163"/>
      <c r="U35" s="163"/>
      <c r="V35" s="163"/>
      <c r="W35" s="171"/>
    </row>
    <row r="36" spans="1:23" ht="15.75" customHeight="1">
      <c r="A36" s="244"/>
      <c r="S36" s="164"/>
      <c r="T36" s="165"/>
      <c r="U36" s="165"/>
      <c r="V36" s="467"/>
      <c r="W36" s="468"/>
    </row>
    <row r="37" spans="1:23" ht="15.75" customHeight="1">
      <c r="A37" s="244"/>
      <c r="S37" s="166"/>
      <c r="T37" s="167"/>
      <c r="U37" s="167"/>
      <c r="V37" s="469"/>
      <c r="W37" s="470"/>
    </row>
    <row r="38" spans="1:23" ht="15">
      <c r="A38" s="244"/>
      <c r="S38" s="164"/>
      <c r="T38" s="165"/>
      <c r="U38" s="165"/>
      <c r="V38" s="467"/>
      <c r="W38" s="468"/>
    </row>
    <row r="39" spans="1:23" ht="15" customHeight="1">
      <c r="A39" s="244"/>
      <c r="S39" s="166"/>
      <c r="T39" s="167"/>
      <c r="U39" s="167"/>
      <c r="V39" s="469"/>
      <c r="W39" s="470"/>
    </row>
    <row r="40" spans="1:23" ht="15">
      <c r="A40" s="244"/>
      <c r="S40" s="168"/>
      <c r="T40" s="169"/>
      <c r="U40" s="169"/>
      <c r="V40" s="467"/>
      <c r="W40" s="468"/>
    </row>
    <row r="41" spans="1:23" ht="15">
      <c r="A41" s="244"/>
      <c r="S41"/>
      <c r="T41"/>
      <c r="U41"/>
      <c r="V41" s="143"/>
      <c r="W41"/>
    </row>
    <row r="42" spans="1:23" ht="15">
      <c r="A42" s="244"/>
      <c r="S42"/>
      <c r="T42"/>
      <c r="U42"/>
      <c r="V42" s="143"/>
      <c r="W42"/>
    </row>
    <row r="43" spans="1:23" ht="15">
      <c r="A43" s="244"/>
      <c r="S43" s="163"/>
      <c r="T43" s="163"/>
      <c r="U43" s="163"/>
      <c r="V43" s="163"/>
      <c r="W43" s="171"/>
    </row>
    <row r="44" spans="1:23" ht="15">
      <c r="A44" s="244"/>
      <c r="S44" s="164"/>
      <c r="T44" s="165"/>
      <c r="U44" s="165"/>
      <c r="V44" s="467"/>
      <c r="W44" s="468"/>
    </row>
    <row r="45" spans="1:23" ht="15">
      <c r="A45" s="244"/>
      <c r="S45" s="166"/>
      <c r="T45" s="167"/>
      <c r="U45" s="167"/>
      <c r="V45" s="469"/>
      <c r="W45" s="470"/>
    </row>
    <row r="46" spans="1:23" ht="15">
      <c r="A46" s="244"/>
      <c r="S46" s="164"/>
      <c r="T46" s="165"/>
      <c r="U46" s="165"/>
      <c r="V46" s="467"/>
      <c r="W46" s="468"/>
    </row>
    <row r="47" spans="1:23" ht="15">
      <c r="A47" s="244"/>
      <c r="S47" s="166"/>
      <c r="T47" s="167"/>
      <c r="U47" s="167"/>
      <c r="V47" s="469"/>
      <c r="W47" s="470"/>
    </row>
    <row r="48" spans="1:23" ht="15">
      <c r="A48" s="244"/>
      <c r="S48" s="168"/>
      <c r="T48" s="169"/>
      <c r="U48" s="169"/>
      <c r="V48" s="170"/>
      <c r="W48" s="468"/>
    </row>
    <row r="49" spans="1:23" ht="12.75">
      <c r="A49" s="244"/>
    </row>
    <row r="50" spans="1:23" ht="18.75">
      <c r="A50" s="244"/>
      <c r="R50" s="61" t="s">
        <v>746</v>
      </c>
      <c r="S50" s="774"/>
      <c r="T50" s="774"/>
      <c r="U50" s="774"/>
      <c r="V50" s="774"/>
      <c r="W50" s="774"/>
    </row>
    <row r="51" spans="1:23" ht="15">
      <c r="A51" s="244"/>
      <c r="S51" s="163"/>
      <c r="T51" s="163"/>
      <c r="U51" s="163"/>
      <c r="V51" s="163"/>
      <c r="W51" s="163"/>
    </row>
    <row r="52" spans="1:23" ht="15">
      <c r="A52" s="244"/>
      <c r="S52" s="164"/>
      <c r="T52" s="165"/>
      <c r="U52" s="165"/>
      <c r="V52" s="467"/>
      <c r="W52" s="468"/>
    </row>
    <row r="53" spans="1:23" ht="15">
      <c r="A53" s="244"/>
      <c r="S53" s="166"/>
      <c r="T53" s="167"/>
      <c r="U53" s="167"/>
      <c r="V53" s="469"/>
      <c r="W53" s="470"/>
    </row>
    <row r="54" spans="1:23" ht="15">
      <c r="A54" s="244"/>
      <c r="S54" s="164"/>
      <c r="T54" s="165"/>
      <c r="U54" s="165"/>
      <c r="V54" s="467"/>
      <c r="W54" s="468"/>
    </row>
    <row r="55" spans="1:23" ht="15">
      <c r="A55" s="244"/>
      <c r="S55" s="166"/>
      <c r="T55" s="167"/>
      <c r="U55" s="167"/>
      <c r="V55" s="469"/>
      <c r="W55" s="470"/>
    </row>
    <row r="56" spans="1:23" ht="15">
      <c r="A56" s="244"/>
      <c r="S56" s="168"/>
      <c r="T56" s="169"/>
      <c r="U56" s="169"/>
      <c r="V56" s="170"/>
      <c r="W56" s="468"/>
    </row>
    <row r="57" spans="1:23" ht="15">
      <c r="A57" s="244"/>
      <c r="S57"/>
      <c r="T57"/>
      <c r="U57"/>
      <c r="V57" s="143"/>
      <c r="W57"/>
    </row>
    <row r="58" spans="1:23" ht="15">
      <c r="A58" s="244"/>
      <c r="S58"/>
      <c r="T58"/>
      <c r="U58"/>
      <c r="V58" s="143"/>
      <c r="W58"/>
    </row>
    <row r="59" spans="1:23" ht="15">
      <c r="A59" s="244"/>
      <c r="S59" s="163"/>
      <c r="T59" s="163"/>
      <c r="U59" s="163"/>
      <c r="V59" s="163"/>
      <c r="W59" s="171"/>
    </row>
    <row r="60" spans="1:23" ht="15">
      <c r="A60" s="244"/>
      <c r="S60" s="164"/>
      <c r="T60" s="165"/>
      <c r="U60" s="165"/>
      <c r="V60" s="467"/>
      <c r="W60" s="468"/>
    </row>
    <row r="61" spans="1:23" ht="15">
      <c r="A61" s="244"/>
      <c r="S61" s="166"/>
      <c r="T61" s="167"/>
      <c r="U61" s="167"/>
      <c r="V61" s="469"/>
      <c r="W61" s="470"/>
    </row>
    <row r="62" spans="1:23" ht="15">
      <c r="A62" s="244"/>
      <c r="S62" s="164"/>
      <c r="T62" s="165"/>
      <c r="U62" s="165"/>
      <c r="V62" s="467"/>
      <c r="W62" s="468"/>
    </row>
    <row r="63" spans="1:23" ht="15">
      <c r="A63" s="244"/>
      <c r="S63" s="166"/>
      <c r="T63" s="167"/>
      <c r="U63" s="167"/>
      <c r="V63" s="469"/>
      <c r="W63" s="470"/>
    </row>
    <row r="64" spans="1:23" ht="15">
      <c r="A64" s="244"/>
      <c r="S64" s="168"/>
      <c r="T64" s="169"/>
      <c r="U64" s="169"/>
      <c r="V64" s="467"/>
      <c r="W64" s="468"/>
    </row>
    <row r="65" spans="1:23" ht="15">
      <c r="A65" s="244"/>
      <c r="S65"/>
      <c r="T65"/>
      <c r="U65"/>
      <c r="V65" s="143"/>
      <c r="W65"/>
    </row>
    <row r="66" spans="1:23" ht="15">
      <c r="A66" s="244"/>
      <c r="S66"/>
      <c r="T66"/>
      <c r="U66"/>
      <c r="V66" s="143"/>
      <c r="W66"/>
    </row>
    <row r="67" spans="1:23" ht="15">
      <c r="A67" s="244"/>
      <c r="S67" s="163"/>
      <c r="T67" s="163"/>
      <c r="U67" s="163"/>
      <c r="V67" s="163"/>
      <c r="W67" s="171"/>
    </row>
    <row r="68" spans="1:23" ht="15">
      <c r="A68" s="244"/>
      <c r="S68" s="164"/>
      <c r="T68" s="165"/>
      <c r="U68" s="165"/>
      <c r="V68" s="467"/>
      <c r="W68" s="468"/>
    </row>
    <row r="69" spans="1:23" ht="15">
      <c r="A69" s="244"/>
      <c r="S69" s="166"/>
      <c r="T69" s="167"/>
      <c r="U69" s="167"/>
      <c r="V69" s="469"/>
      <c r="W69" s="470"/>
    </row>
    <row r="70" spans="1:23" ht="15">
      <c r="A70" s="244"/>
      <c r="S70" s="164"/>
      <c r="T70" s="165"/>
      <c r="U70" s="165"/>
      <c r="V70" s="467"/>
      <c r="W70" s="468"/>
    </row>
    <row r="71" spans="1:23" ht="15">
      <c r="A71" s="244"/>
      <c r="S71" s="166"/>
      <c r="T71" s="167"/>
      <c r="U71" s="167"/>
      <c r="V71" s="469"/>
      <c r="W71" s="470"/>
    </row>
    <row r="72" spans="1:23" ht="15">
      <c r="A72" s="244"/>
      <c r="S72" s="168"/>
      <c r="T72" s="169"/>
      <c r="U72" s="169"/>
      <c r="V72" s="170"/>
      <c r="W72" s="468"/>
    </row>
    <row r="73" spans="1:23" ht="12.75">
      <c r="A73" s="244"/>
    </row>
    <row r="74" spans="1:23" ht="18.75">
      <c r="A74" s="244"/>
      <c r="R74" s="61" t="s">
        <v>747</v>
      </c>
      <c r="S74" s="774"/>
      <c r="T74" s="774"/>
      <c r="U74" s="774"/>
      <c r="V74" s="774"/>
      <c r="W74" s="774"/>
    </row>
    <row r="75" spans="1:23" ht="15">
      <c r="A75" s="244"/>
      <c r="S75" s="163"/>
      <c r="T75" s="163"/>
      <c r="U75" s="163"/>
      <c r="V75" s="163"/>
      <c r="W75" s="163"/>
    </row>
    <row r="76" spans="1:23" ht="15">
      <c r="A76" s="244"/>
      <c r="S76" s="164"/>
      <c r="T76" s="165"/>
      <c r="U76" s="165"/>
      <c r="V76" s="467"/>
      <c r="W76" s="468"/>
    </row>
    <row r="77" spans="1:23" ht="15">
      <c r="A77" s="244"/>
      <c r="S77" s="166"/>
      <c r="T77" s="167"/>
      <c r="U77" s="167"/>
      <c r="V77" s="469"/>
      <c r="W77" s="470"/>
    </row>
    <row r="78" spans="1:23" ht="15">
      <c r="A78" s="244"/>
      <c r="S78" s="164"/>
      <c r="T78" s="165"/>
      <c r="U78" s="165"/>
      <c r="V78" s="467"/>
      <c r="W78" s="468"/>
    </row>
    <row r="79" spans="1:23" ht="15">
      <c r="A79" s="244"/>
      <c r="S79" s="166"/>
      <c r="T79" s="167"/>
      <c r="U79" s="167"/>
      <c r="V79" s="469"/>
      <c r="W79" s="470"/>
    </row>
    <row r="80" spans="1:23" ht="15">
      <c r="A80" s="244"/>
      <c r="S80" s="168"/>
      <c r="T80" s="169"/>
      <c r="U80" s="169"/>
      <c r="V80" s="170"/>
      <c r="W80" s="468"/>
    </row>
    <row r="81" spans="1:23" ht="15">
      <c r="A81" s="244"/>
      <c r="S81"/>
      <c r="T81"/>
      <c r="U81"/>
      <c r="V81" s="143"/>
      <c r="W81"/>
    </row>
    <row r="82" spans="1:23" ht="15">
      <c r="A82" s="244"/>
      <c r="S82"/>
      <c r="T82"/>
      <c r="U82"/>
      <c r="V82" s="143"/>
      <c r="W82"/>
    </row>
    <row r="83" spans="1:23" ht="15">
      <c r="A83" s="244"/>
      <c r="S83" s="163"/>
      <c r="T83" s="163"/>
      <c r="U83" s="163"/>
      <c r="V83" s="163"/>
      <c r="W83" s="171"/>
    </row>
    <row r="84" spans="1:23" ht="15">
      <c r="A84" s="244"/>
      <c r="S84" s="164"/>
      <c r="T84" s="165"/>
      <c r="U84" s="165"/>
      <c r="V84" s="467"/>
      <c r="W84" s="468"/>
    </row>
    <row r="85" spans="1:23" ht="15">
      <c r="A85" s="244"/>
      <c r="S85" s="166"/>
      <c r="T85" s="167"/>
      <c r="U85" s="167"/>
      <c r="V85" s="469"/>
      <c r="W85" s="470"/>
    </row>
    <row r="86" spans="1:23" ht="15">
      <c r="A86" s="244"/>
      <c r="S86" s="164"/>
      <c r="T86" s="165"/>
      <c r="U86" s="165"/>
      <c r="V86" s="467"/>
      <c r="W86" s="468"/>
    </row>
    <row r="87" spans="1:23" ht="15">
      <c r="A87" s="244"/>
      <c r="S87" s="166"/>
      <c r="T87" s="167"/>
      <c r="U87" s="167"/>
      <c r="V87" s="469"/>
      <c r="W87" s="470"/>
    </row>
    <row r="88" spans="1:23" ht="15">
      <c r="A88" s="244"/>
      <c r="S88" s="168"/>
      <c r="T88" s="169"/>
      <c r="U88" s="169"/>
      <c r="V88" s="467"/>
      <c r="W88" s="468"/>
    </row>
    <row r="89" spans="1:23" ht="15">
      <c r="A89" s="244"/>
      <c r="S89"/>
      <c r="T89"/>
      <c r="U89"/>
      <c r="V89" s="143"/>
      <c r="W89"/>
    </row>
    <row r="90" spans="1:23" ht="15">
      <c r="A90" s="244"/>
      <c r="S90"/>
      <c r="T90"/>
      <c r="U90"/>
      <c r="V90" s="143"/>
      <c r="W90"/>
    </row>
    <row r="91" spans="1:23" ht="15">
      <c r="A91" s="244"/>
      <c r="S91" s="163"/>
      <c r="T91" s="163"/>
      <c r="U91" s="163"/>
      <c r="V91" s="163"/>
      <c r="W91" s="171"/>
    </row>
    <row r="92" spans="1:23" ht="15">
      <c r="A92" s="244"/>
      <c r="S92" s="164"/>
      <c r="T92" s="165"/>
      <c r="U92" s="165"/>
      <c r="V92" s="467"/>
      <c r="W92" s="468"/>
    </row>
    <row r="93" spans="1:23" ht="15">
      <c r="A93" s="244"/>
      <c r="S93" s="166"/>
      <c r="T93" s="167"/>
      <c r="U93" s="167"/>
      <c r="V93" s="469"/>
      <c r="W93" s="470"/>
    </row>
    <row r="94" spans="1:23" ht="15">
      <c r="A94" s="244"/>
      <c r="S94" s="164"/>
      <c r="T94" s="165"/>
      <c r="U94" s="165"/>
      <c r="V94" s="467"/>
      <c r="W94" s="468"/>
    </row>
    <row r="95" spans="1:23" ht="15">
      <c r="A95" s="244"/>
      <c r="S95" s="166"/>
      <c r="T95" s="167"/>
      <c r="U95" s="167"/>
      <c r="V95" s="469"/>
      <c r="W95" s="470"/>
    </row>
    <row r="96" spans="1:23" ht="15">
      <c r="A96" s="244"/>
      <c r="S96" s="168"/>
      <c r="T96" s="169"/>
      <c r="U96" s="169"/>
      <c r="V96" s="170"/>
      <c r="W96" s="468"/>
    </row>
    <row r="97" spans="1:23" ht="12.75">
      <c r="A97" s="244"/>
    </row>
    <row r="98" spans="1:23" ht="18.75">
      <c r="A98" s="244"/>
      <c r="R98" s="61" t="s">
        <v>748</v>
      </c>
      <c r="S98" s="773"/>
      <c r="T98" s="773"/>
      <c r="U98" s="773"/>
      <c r="V98" s="773"/>
      <c r="W98" s="773"/>
    </row>
    <row r="99" spans="1:23" ht="15">
      <c r="A99" s="244"/>
      <c r="S99" s="163"/>
      <c r="T99" s="163"/>
      <c r="U99" s="163"/>
      <c r="V99" s="163"/>
      <c r="W99" s="163"/>
    </row>
    <row r="100" spans="1:23" ht="15">
      <c r="A100" s="244"/>
      <c r="S100" s="164"/>
      <c r="T100" s="165"/>
      <c r="U100" s="165"/>
      <c r="V100" s="467"/>
      <c r="W100" s="468"/>
    </row>
    <row r="101" spans="1:23" ht="15">
      <c r="A101" s="244"/>
      <c r="S101" s="166"/>
      <c r="T101" s="167"/>
      <c r="U101" s="167"/>
      <c r="V101" s="469"/>
      <c r="W101" s="470"/>
    </row>
    <row r="102" spans="1:23" ht="15">
      <c r="A102" s="244"/>
      <c r="S102" s="164"/>
      <c r="T102" s="165"/>
      <c r="U102" s="165"/>
      <c r="V102" s="467"/>
      <c r="W102" s="468"/>
    </row>
    <row r="103" spans="1:23" ht="15">
      <c r="A103" s="244"/>
      <c r="S103" s="166"/>
      <c r="T103" s="167"/>
      <c r="U103" s="167"/>
      <c r="V103" s="469"/>
      <c r="W103" s="470"/>
    </row>
    <row r="104" spans="1:23" ht="15">
      <c r="A104" s="244"/>
      <c r="S104" s="168"/>
      <c r="T104" s="169"/>
      <c r="U104" s="169"/>
      <c r="V104" s="170"/>
      <c r="W104" s="468"/>
    </row>
    <row r="105" spans="1:23" ht="15">
      <c r="A105" s="244"/>
      <c r="S105"/>
      <c r="T105"/>
      <c r="U105"/>
      <c r="V105" s="143"/>
      <c r="W105"/>
    </row>
    <row r="106" spans="1:23" ht="15">
      <c r="A106" s="244"/>
      <c r="S106"/>
      <c r="T106"/>
      <c r="U106"/>
      <c r="V106" s="143"/>
      <c r="W106"/>
    </row>
    <row r="107" spans="1:23" ht="15">
      <c r="A107" s="244"/>
      <c r="S107" s="163"/>
      <c r="T107" s="163"/>
      <c r="U107" s="163"/>
      <c r="V107" s="163"/>
      <c r="W107" s="171"/>
    </row>
    <row r="108" spans="1:23" ht="15">
      <c r="A108" s="244"/>
      <c r="S108" s="164"/>
      <c r="T108" s="165"/>
      <c r="U108" s="165"/>
      <c r="V108" s="467"/>
      <c r="W108" s="468"/>
    </row>
    <row r="109" spans="1:23" ht="15">
      <c r="A109" s="244"/>
      <c r="S109" s="166"/>
      <c r="T109" s="167"/>
      <c r="U109" s="167"/>
      <c r="V109" s="469"/>
      <c r="W109" s="470"/>
    </row>
    <row r="110" spans="1:23" ht="15">
      <c r="A110" s="244"/>
      <c r="S110" s="164"/>
      <c r="T110" s="165"/>
      <c r="U110" s="165"/>
      <c r="V110" s="467"/>
      <c r="W110" s="468"/>
    </row>
    <row r="111" spans="1:23" ht="15">
      <c r="A111" s="244"/>
      <c r="S111" s="166"/>
      <c r="T111" s="167"/>
      <c r="U111" s="167"/>
      <c r="V111" s="469"/>
      <c r="W111" s="470"/>
    </row>
    <row r="112" spans="1:23" ht="15">
      <c r="A112" s="244"/>
      <c r="S112" s="168"/>
      <c r="T112" s="169"/>
      <c r="U112" s="169"/>
      <c r="V112" s="467"/>
      <c r="W112" s="468"/>
    </row>
    <row r="113" spans="1:23" ht="15">
      <c r="A113" s="244"/>
      <c r="S113"/>
      <c r="T113"/>
      <c r="U113"/>
      <c r="V113" s="143"/>
      <c r="W113"/>
    </row>
    <row r="114" spans="1:23" ht="15">
      <c r="A114" s="244"/>
      <c r="S114"/>
      <c r="T114"/>
      <c r="U114"/>
      <c r="V114" s="143"/>
      <c r="W114"/>
    </row>
    <row r="115" spans="1:23" ht="15">
      <c r="A115" s="244"/>
      <c r="S115" s="163"/>
      <c r="T115" s="163"/>
      <c r="U115" s="163"/>
      <c r="V115" s="163"/>
      <c r="W115" s="171"/>
    </row>
    <row r="116" spans="1:23" ht="15">
      <c r="A116" s="244"/>
      <c r="S116" s="164"/>
      <c r="T116" s="165"/>
      <c r="U116" s="165"/>
      <c r="V116" s="467"/>
      <c r="W116" s="468"/>
    </row>
    <row r="117" spans="1:23" ht="15">
      <c r="A117" s="244"/>
      <c r="S117" s="166"/>
      <c r="T117" s="167"/>
      <c r="U117" s="167"/>
      <c r="V117" s="469"/>
      <c r="W117" s="470"/>
    </row>
    <row r="118" spans="1:23" ht="15">
      <c r="A118" s="244"/>
      <c r="S118" s="164"/>
      <c r="T118" s="165"/>
      <c r="U118" s="165"/>
      <c r="V118" s="467"/>
      <c r="W118" s="468"/>
    </row>
    <row r="119" spans="1:23" ht="15">
      <c r="A119" s="244"/>
      <c r="S119" s="166"/>
      <c r="T119" s="167"/>
      <c r="U119" s="167"/>
      <c r="V119" s="469"/>
      <c r="W119" s="470"/>
    </row>
    <row r="120" spans="1:23" ht="15">
      <c r="A120" s="244"/>
      <c r="S120" s="168"/>
      <c r="T120" s="169"/>
      <c r="U120" s="169"/>
      <c r="V120" s="170"/>
      <c r="W120" s="468"/>
    </row>
    <row r="121" spans="1:23" ht="12.75">
      <c r="A121" s="244"/>
    </row>
    <row r="122" spans="1:23" ht="12.75">
      <c r="A122" s="244"/>
    </row>
    <row r="123" spans="1:23" ht="12.75">
      <c r="A123" s="244"/>
    </row>
    <row r="124" spans="1:23" ht="12.75">
      <c r="A124" s="244"/>
    </row>
    <row r="125" spans="1:23" ht="12.75">
      <c r="A125" s="244"/>
    </row>
    <row r="126" spans="1:23" ht="12.75">
      <c r="A126" s="244"/>
    </row>
    <row r="127" spans="1:23" ht="12.75">
      <c r="A127" s="244"/>
    </row>
    <row r="128" spans="1:23" ht="12.75">
      <c r="A128" s="244"/>
    </row>
    <row r="129" spans="1:1" ht="12.75">
      <c r="A129" s="244"/>
    </row>
    <row r="130" spans="1:1" ht="12.75">
      <c r="A130" s="244"/>
    </row>
    <row r="131" spans="1:1" ht="12.75">
      <c r="A131" s="244"/>
    </row>
    <row r="132" spans="1:1" ht="12.75">
      <c r="A132" s="244"/>
    </row>
    <row r="133" spans="1:1" ht="12.75">
      <c r="A133" s="244"/>
    </row>
    <row r="134" spans="1:1" ht="12.75">
      <c r="A134" s="244"/>
    </row>
    <row r="135" spans="1:1" ht="12.75">
      <c r="A135" s="244"/>
    </row>
    <row r="136" spans="1:1" ht="12.75">
      <c r="A136" s="244"/>
    </row>
    <row r="137" spans="1:1" ht="12.75">
      <c r="A137" s="244"/>
    </row>
    <row r="138" spans="1:1" ht="12.75">
      <c r="A138" s="244"/>
    </row>
    <row r="139" spans="1:1" ht="12.75">
      <c r="A139" s="244"/>
    </row>
    <row r="140" spans="1:1" ht="12.75">
      <c r="A140" s="244"/>
    </row>
    <row r="141" spans="1:1" ht="12.75">
      <c r="A141" s="244"/>
    </row>
    <row r="142" spans="1:1" ht="12.75">
      <c r="A142" s="244"/>
    </row>
    <row r="143" spans="1:1" ht="12.75">
      <c r="A143" s="244"/>
    </row>
    <row r="144" spans="1:1" ht="12.75">
      <c r="A144" s="244"/>
    </row>
    <row r="145" spans="1:1" ht="12.75">
      <c r="A145" s="244"/>
    </row>
    <row r="146" spans="1:1" ht="12.75">
      <c r="A146" s="244"/>
    </row>
    <row r="147" spans="1:1" ht="12.75">
      <c r="A147" s="244"/>
    </row>
    <row r="148" spans="1:1" ht="12.75">
      <c r="A148" s="244"/>
    </row>
    <row r="149" spans="1:1" ht="12.75">
      <c r="A149" s="244"/>
    </row>
    <row r="150" spans="1:1" ht="12.75">
      <c r="A150" s="244"/>
    </row>
    <row r="151" spans="1:1" ht="12.75">
      <c r="A151" s="244"/>
    </row>
    <row r="152" spans="1:1" ht="12.75">
      <c r="A152" s="244"/>
    </row>
    <row r="153" spans="1:1" ht="12.75">
      <c r="A153" s="244"/>
    </row>
    <row r="154" spans="1:1" ht="12.75">
      <c r="A154" s="244"/>
    </row>
    <row r="155" spans="1:1" ht="12.75">
      <c r="A155" s="244"/>
    </row>
    <row r="156" spans="1:1" ht="12.75">
      <c r="A156" s="244"/>
    </row>
    <row r="157" spans="1:1" ht="12.75">
      <c r="A157" s="244"/>
    </row>
    <row r="158" spans="1:1" ht="12.75">
      <c r="A158" s="244"/>
    </row>
    <row r="159" spans="1:1" ht="12.75">
      <c r="A159" s="244"/>
    </row>
    <row r="160" spans="1:1" ht="12.75">
      <c r="A160" s="244"/>
    </row>
    <row r="161" spans="1:1" ht="12.75">
      <c r="A161" s="244"/>
    </row>
    <row r="162" spans="1:1" ht="12.75">
      <c r="A162" s="244"/>
    </row>
    <row r="163" spans="1:1" ht="12.75">
      <c r="A163" s="244"/>
    </row>
    <row r="164" spans="1:1" ht="12.75">
      <c r="A164" s="244"/>
    </row>
    <row r="165" spans="1:1" ht="12.75">
      <c r="A165" s="244"/>
    </row>
    <row r="166" spans="1:1" ht="12.75">
      <c r="A166" s="244"/>
    </row>
    <row r="167" spans="1:1" ht="12.75">
      <c r="A167" s="244"/>
    </row>
    <row r="168" spans="1:1" ht="12.75">
      <c r="A168" s="244"/>
    </row>
    <row r="169" spans="1:1" ht="12.75">
      <c r="A169" s="244"/>
    </row>
    <row r="170" spans="1:1" ht="12.75">
      <c r="A170" s="244"/>
    </row>
    <row r="171" spans="1:1" ht="12.75">
      <c r="A171" s="244"/>
    </row>
    <row r="172" spans="1:1" ht="12.75">
      <c r="A172" s="244"/>
    </row>
    <row r="173" spans="1:1" ht="12.75">
      <c r="A173" s="244"/>
    </row>
    <row r="174" spans="1:1" ht="12.75">
      <c r="A174" s="244"/>
    </row>
    <row r="175" spans="1:1" ht="12.75">
      <c r="A175" s="244"/>
    </row>
    <row r="176" spans="1:1" ht="12.75">
      <c r="A176" s="244"/>
    </row>
    <row r="177" spans="1:1" ht="12.75">
      <c r="A177" s="244"/>
    </row>
    <row r="178" spans="1:1" ht="12.75">
      <c r="A178" s="244"/>
    </row>
    <row r="179" spans="1:1" ht="12.75">
      <c r="A179" s="244"/>
    </row>
    <row r="180" spans="1:1" ht="12.75">
      <c r="A180" s="244"/>
    </row>
    <row r="181" spans="1:1" ht="12.75">
      <c r="A181" s="244"/>
    </row>
    <row r="182" spans="1:1" ht="12.75">
      <c r="A182" s="244"/>
    </row>
    <row r="183" spans="1:1" ht="12.75">
      <c r="A183" s="244"/>
    </row>
    <row r="184" spans="1:1" ht="12.75">
      <c r="A184" s="244"/>
    </row>
    <row r="185" spans="1:1" ht="12.75">
      <c r="A185" s="244"/>
    </row>
    <row r="186" spans="1:1" ht="12.75">
      <c r="A186" s="244"/>
    </row>
    <row r="187" spans="1:1" ht="12.75">
      <c r="A187" s="244"/>
    </row>
    <row r="188" spans="1:1" ht="12.75">
      <c r="A188" s="244"/>
    </row>
    <row r="189" spans="1:1" ht="12.75">
      <c r="A189" s="244"/>
    </row>
    <row r="190" spans="1:1" ht="12.75">
      <c r="A190" s="244"/>
    </row>
    <row r="191" spans="1:1" ht="12.75">
      <c r="A191" s="244"/>
    </row>
    <row r="192" spans="1:1" ht="12.75">
      <c r="A192" s="244"/>
    </row>
    <row r="193" spans="1:1" ht="12.75">
      <c r="A193" s="244"/>
    </row>
    <row r="194" spans="1:1" ht="12.75">
      <c r="A194" s="244"/>
    </row>
    <row r="195" spans="1:1" ht="12.75">
      <c r="A195" s="244"/>
    </row>
    <row r="196" spans="1:1" ht="12.75">
      <c r="A196" s="244"/>
    </row>
    <row r="197" spans="1:1" ht="12.75">
      <c r="A197" s="244"/>
    </row>
    <row r="198" spans="1:1" ht="12.75">
      <c r="A198" s="244"/>
    </row>
    <row r="199" spans="1:1" ht="12.75">
      <c r="A199" s="244"/>
    </row>
    <row r="200" spans="1:1" ht="12.75">
      <c r="A200" s="244"/>
    </row>
    <row r="201" spans="1:1" ht="12.75">
      <c r="A201" s="244"/>
    </row>
    <row r="202" spans="1:1" ht="12.75">
      <c r="A202" s="244"/>
    </row>
    <row r="203" spans="1:1" ht="12.75">
      <c r="A203" s="244"/>
    </row>
    <row r="204" spans="1:1" ht="12.75">
      <c r="A204" s="244"/>
    </row>
    <row r="205" spans="1:1" ht="12.75">
      <c r="A205" s="244"/>
    </row>
    <row r="206" spans="1:1" ht="12.75">
      <c r="A206" s="244"/>
    </row>
    <row r="207" spans="1:1" ht="12.75">
      <c r="A207" s="244"/>
    </row>
    <row r="208" spans="1:1" ht="12.75">
      <c r="A208" s="244"/>
    </row>
    <row r="209" spans="1:1" ht="12.75">
      <c r="A209" s="244"/>
    </row>
    <row r="210" spans="1:1" ht="12.75">
      <c r="A210" s="244"/>
    </row>
    <row r="211" spans="1:1" ht="12.75">
      <c r="A211" s="244"/>
    </row>
    <row r="212" spans="1:1" ht="12.75">
      <c r="A212" s="244"/>
    </row>
    <row r="213" spans="1:1" ht="12.75">
      <c r="A213" s="244"/>
    </row>
    <row r="214" spans="1:1" ht="12.75">
      <c r="A214" s="244"/>
    </row>
    <row r="215" spans="1:1" ht="12.75">
      <c r="A215" s="244"/>
    </row>
    <row r="216" spans="1:1" ht="12.75">
      <c r="A216" s="244"/>
    </row>
    <row r="217" spans="1:1" ht="12.75">
      <c r="A217" s="244"/>
    </row>
    <row r="218" spans="1:1" ht="12.75">
      <c r="A218" s="244"/>
    </row>
    <row r="219" spans="1:1" ht="12.75">
      <c r="A219" s="244"/>
    </row>
    <row r="220" spans="1:1" ht="12.75">
      <c r="A220" s="244"/>
    </row>
    <row r="221" spans="1:1" ht="12.75">
      <c r="A221" s="244"/>
    </row>
    <row r="222" spans="1:1" ht="12.75">
      <c r="A222" s="244"/>
    </row>
    <row r="223" spans="1:1" ht="12.75">
      <c r="A223" s="244"/>
    </row>
    <row r="224" spans="1:1" ht="12.75">
      <c r="A224" s="244"/>
    </row>
    <row r="225" spans="1:1" ht="12.75">
      <c r="A225" s="244"/>
    </row>
    <row r="226" spans="1:1" ht="12.75">
      <c r="A226" s="244"/>
    </row>
    <row r="227" spans="1:1" ht="12.75">
      <c r="A227" s="244"/>
    </row>
    <row r="228" spans="1:1" ht="12.75">
      <c r="A228" s="244"/>
    </row>
    <row r="229" spans="1:1" ht="12.75">
      <c r="A229" s="244"/>
    </row>
    <row r="230" spans="1:1" ht="12.75">
      <c r="A230" s="244"/>
    </row>
    <row r="231" spans="1:1" ht="12.75">
      <c r="A231" s="244"/>
    </row>
    <row r="232" spans="1:1" ht="12.75">
      <c r="A232" s="244"/>
    </row>
    <row r="233" spans="1:1" ht="12.75">
      <c r="A233" s="244"/>
    </row>
    <row r="234" spans="1:1" ht="12.75">
      <c r="A234" s="244"/>
    </row>
    <row r="235" spans="1:1" ht="12.75">
      <c r="A235" s="244"/>
    </row>
    <row r="236" spans="1:1" ht="12.75">
      <c r="A236" s="244"/>
    </row>
    <row r="237" spans="1:1" ht="12.75">
      <c r="A237" s="244"/>
    </row>
    <row r="238" spans="1:1" ht="12.75">
      <c r="A238" s="244"/>
    </row>
    <row r="239" spans="1:1" ht="12.75">
      <c r="A239" s="244"/>
    </row>
    <row r="240" spans="1:1" ht="12.75">
      <c r="A240" s="244"/>
    </row>
    <row r="241" spans="1:1" ht="12.75">
      <c r="A241" s="244"/>
    </row>
    <row r="242" spans="1:1" ht="12.75">
      <c r="A242" s="244"/>
    </row>
    <row r="243" spans="1:1" ht="12.75">
      <c r="A243" s="244"/>
    </row>
    <row r="244" spans="1:1" ht="12.75">
      <c r="A244" s="244"/>
    </row>
    <row r="245" spans="1:1" ht="12.75">
      <c r="A245" s="244"/>
    </row>
    <row r="246" spans="1:1" ht="12.75">
      <c r="A246" s="244"/>
    </row>
    <row r="247" spans="1:1" ht="12.75">
      <c r="A247" s="244"/>
    </row>
    <row r="248" spans="1:1" ht="12.75">
      <c r="A248" s="244"/>
    </row>
    <row r="249" spans="1:1" ht="12.75">
      <c r="A249" s="244"/>
    </row>
    <row r="250" spans="1:1" ht="12.75">
      <c r="A250" s="244"/>
    </row>
    <row r="251" spans="1:1" ht="12.75">
      <c r="A251" s="244"/>
    </row>
    <row r="252" spans="1:1" ht="12.75">
      <c r="A252" s="244"/>
    </row>
    <row r="253" spans="1:1" ht="12.75">
      <c r="A253" s="244"/>
    </row>
    <row r="254" spans="1:1" ht="12.75">
      <c r="A254" s="244"/>
    </row>
    <row r="255" spans="1:1" ht="12.75">
      <c r="A255" s="244"/>
    </row>
    <row r="256" spans="1:1" ht="12.75">
      <c r="A256" s="244"/>
    </row>
    <row r="257" spans="1:1" ht="12.75">
      <c r="A257" s="244"/>
    </row>
    <row r="258" spans="1:1" ht="12.75">
      <c r="A258" s="244"/>
    </row>
    <row r="259" spans="1:1" ht="12.75">
      <c r="A259" s="244"/>
    </row>
    <row r="260" spans="1:1" ht="12.75">
      <c r="A260" s="244"/>
    </row>
    <row r="261" spans="1:1" ht="12.75">
      <c r="A261" s="244"/>
    </row>
    <row r="262" spans="1:1" ht="12.75">
      <c r="A262" s="244"/>
    </row>
    <row r="263" spans="1:1" ht="12.75">
      <c r="A263" s="244"/>
    </row>
    <row r="264" spans="1:1" ht="12.75">
      <c r="A264" s="244"/>
    </row>
    <row r="265" spans="1:1" ht="12.75">
      <c r="A265" s="244"/>
    </row>
    <row r="266" spans="1:1" ht="12.75">
      <c r="A266" s="244"/>
    </row>
    <row r="267" spans="1:1" ht="12.75">
      <c r="A267" s="244"/>
    </row>
    <row r="268" spans="1:1" ht="12.75">
      <c r="A268" s="244"/>
    </row>
    <row r="269" spans="1:1" ht="12.75">
      <c r="A269" s="244"/>
    </row>
    <row r="270" spans="1:1" ht="12.75">
      <c r="A270" s="244"/>
    </row>
    <row r="271" spans="1:1" ht="12.75">
      <c r="A271" s="244"/>
    </row>
    <row r="272" spans="1:1" ht="12.75">
      <c r="A272" s="244"/>
    </row>
    <row r="273" spans="1:1" ht="12.75">
      <c r="A273" s="244"/>
    </row>
    <row r="274" spans="1:1" ht="12.75">
      <c r="A274" s="244"/>
    </row>
    <row r="275" spans="1:1" ht="12.75">
      <c r="A275" s="244"/>
    </row>
    <row r="276" spans="1:1" ht="12.75">
      <c r="A276" s="244"/>
    </row>
    <row r="277" spans="1:1" ht="12.75">
      <c r="A277" s="244"/>
    </row>
    <row r="278" spans="1:1" ht="12.75">
      <c r="A278" s="244"/>
    </row>
    <row r="279" spans="1:1" ht="12.75">
      <c r="A279" s="244"/>
    </row>
    <row r="280" spans="1:1" ht="12.75">
      <c r="A280" s="244"/>
    </row>
    <row r="281" spans="1:1" ht="12.75">
      <c r="A281" s="244"/>
    </row>
    <row r="282" spans="1:1" ht="12.75">
      <c r="A282" s="244"/>
    </row>
    <row r="283" spans="1:1" ht="12.75">
      <c r="A283" s="244"/>
    </row>
    <row r="284" spans="1:1" ht="12.75">
      <c r="A284" s="244"/>
    </row>
    <row r="285" spans="1:1" ht="12.75">
      <c r="A285" s="244"/>
    </row>
    <row r="286" spans="1:1" ht="12.75">
      <c r="A286" s="244"/>
    </row>
    <row r="287" spans="1:1" ht="12.75">
      <c r="A287" s="244"/>
    </row>
    <row r="288" spans="1:1" ht="12.75">
      <c r="A288" s="244"/>
    </row>
    <row r="289" spans="1:1" ht="12.75">
      <c r="A289" s="244"/>
    </row>
    <row r="290" spans="1:1" ht="12.75">
      <c r="A290" s="244"/>
    </row>
    <row r="291" spans="1:1" ht="12.75">
      <c r="A291" s="244"/>
    </row>
    <row r="292" spans="1:1" ht="12.75">
      <c r="A292" s="244"/>
    </row>
    <row r="293" spans="1:1" ht="12.75">
      <c r="A293" s="244"/>
    </row>
    <row r="294" spans="1:1" ht="12.75">
      <c r="A294" s="244"/>
    </row>
    <row r="295" spans="1:1" ht="12.75">
      <c r="A295" s="244"/>
    </row>
    <row r="296" spans="1:1" ht="12.75">
      <c r="A296" s="244"/>
    </row>
    <row r="297" spans="1:1" ht="12.75">
      <c r="A297" s="244"/>
    </row>
    <row r="298" spans="1:1" ht="12.75">
      <c r="A298" s="244"/>
    </row>
    <row r="299" spans="1:1" ht="12.75">
      <c r="A299" s="244"/>
    </row>
    <row r="300" spans="1:1" ht="12.75">
      <c r="A300" s="244"/>
    </row>
    <row r="301" spans="1:1" ht="12.75">
      <c r="A301" s="244"/>
    </row>
    <row r="302" spans="1:1" ht="12.75">
      <c r="A302" s="244"/>
    </row>
    <row r="303" spans="1:1" ht="12.75">
      <c r="A303" s="244"/>
    </row>
    <row r="304" spans="1:1" ht="12.75">
      <c r="A304" s="244"/>
    </row>
    <row r="305" spans="1:1" ht="12.75">
      <c r="A305" s="244"/>
    </row>
    <row r="306" spans="1:1" ht="12.75">
      <c r="A306" s="244"/>
    </row>
    <row r="307" spans="1:1" ht="12.75">
      <c r="A307" s="244"/>
    </row>
    <row r="308" spans="1:1" ht="12.75">
      <c r="A308" s="244"/>
    </row>
    <row r="309" spans="1:1" ht="12.75">
      <c r="A309" s="244"/>
    </row>
    <row r="310" spans="1:1" ht="12.75">
      <c r="A310" s="244"/>
    </row>
    <row r="311" spans="1:1" ht="12.75">
      <c r="A311" s="244"/>
    </row>
    <row r="312" spans="1:1" ht="12.75">
      <c r="A312" s="244"/>
    </row>
    <row r="313" spans="1:1" ht="12.75">
      <c r="A313" s="244"/>
    </row>
    <row r="314" spans="1:1" ht="12.75">
      <c r="A314" s="244"/>
    </row>
    <row r="315" spans="1:1" ht="12.75">
      <c r="A315" s="244"/>
    </row>
    <row r="316" spans="1:1" ht="12.75">
      <c r="A316" s="244"/>
    </row>
    <row r="317" spans="1:1" ht="12.75">
      <c r="A317" s="244"/>
    </row>
    <row r="318" spans="1:1" ht="12.75">
      <c r="A318" s="244"/>
    </row>
    <row r="319" spans="1:1" ht="12.75">
      <c r="A319" s="244"/>
    </row>
    <row r="320" spans="1:1" ht="12.75">
      <c r="A320" s="244"/>
    </row>
    <row r="321" spans="1:1" ht="12.75">
      <c r="A321" s="244"/>
    </row>
    <row r="322" spans="1:1" ht="12.75">
      <c r="A322" s="244"/>
    </row>
    <row r="323" spans="1:1" ht="12.75">
      <c r="A323" s="244"/>
    </row>
    <row r="324" spans="1:1" ht="12.75">
      <c r="A324" s="244"/>
    </row>
    <row r="325" spans="1:1" ht="12.75">
      <c r="A325" s="244"/>
    </row>
    <row r="326" spans="1:1" ht="12.75">
      <c r="A326" s="244"/>
    </row>
    <row r="327" spans="1:1" ht="12.75">
      <c r="A327" s="244"/>
    </row>
    <row r="328" spans="1:1" ht="12.75">
      <c r="A328" s="244"/>
    </row>
    <row r="329" spans="1:1" ht="12.75">
      <c r="A329" s="244"/>
    </row>
    <row r="330" spans="1:1" ht="12.75">
      <c r="A330" s="244"/>
    </row>
    <row r="331" spans="1:1" ht="12.75">
      <c r="A331" s="244"/>
    </row>
    <row r="332" spans="1:1" ht="12.75">
      <c r="A332" s="244"/>
    </row>
    <row r="333" spans="1:1" ht="12.75">
      <c r="A333" s="244"/>
    </row>
    <row r="334" spans="1:1" ht="12.75">
      <c r="A334" s="244"/>
    </row>
    <row r="335" spans="1:1" ht="12.75">
      <c r="A335" s="244"/>
    </row>
    <row r="336" spans="1:1" ht="12.75">
      <c r="A336" s="244"/>
    </row>
    <row r="337" spans="1:1" ht="12.75">
      <c r="A337" s="244"/>
    </row>
    <row r="338" spans="1:1" ht="12.75">
      <c r="A338" s="244"/>
    </row>
    <row r="339" spans="1:1" ht="12.75">
      <c r="A339" s="244"/>
    </row>
    <row r="340" spans="1:1" ht="12.75">
      <c r="A340" s="244"/>
    </row>
    <row r="341" spans="1:1" ht="12.75">
      <c r="A341" s="244"/>
    </row>
    <row r="342" spans="1:1" ht="12.75">
      <c r="A342" s="244"/>
    </row>
    <row r="343" spans="1:1" ht="12.75">
      <c r="A343" s="244"/>
    </row>
    <row r="344" spans="1:1" ht="12.75">
      <c r="A344" s="244"/>
    </row>
    <row r="345" spans="1:1" ht="12.75">
      <c r="A345" s="244"/>
    </row>
    <row r="346" spans="1:1" ht="12.75">
      <c r="A346" s="244"/>
    </row>
    <row r="347" spans="1:1" ht="12.75">
      <c r="A347" s="244"/>
    </row>
    <row r="348" spans="1:1" ht="12.75">
      <c r="A348" s="244"/>
    </row>
    <row r="349" spans="1:1" ht="12.75">
      <c r="A349" s="244"/>
    </row>
    <row r="350" spans="1:1" ht="12.75">
      <c r="A350" s="244"/>
    </row>
    <row r="351" spans="1:1" ht="12.75">
      <c r="A351" s="244"/>
    </row>
    <row r="352" spans="1:1" ht="12.75">
      <c r="A352" s="244"/>
    </row>
    <row r="353" spans="1:1" ht="12.75">
      <c r="A353" s="244"/>
    </row>
    <row r="354" spans="1:1" ht="12.75">
      <c r="A354" s="244"/>
    </row>
    <row r="355" spans="1:1" ht="12.75">
      <c r="A355" s="244"/>
    </row>
    <row r="356" spans="1:1" ht="12.75">
      <c r="A356" s="244"/>
    </row>
    <row r="357" spans="1:1" ht="12.75">
      <c r="A357" s="244"/>
    </row>
    <row r="358" spans="1:1" ht="12.75">
      <c r="A358" s="244"/>
    </row>
    <row r="359" spans="1:1" ht="12.75">
      <c r="A359" s="244"/>
    </row>
    <row r="360" spans="1:1" ht="12.75">
      <c r="A360" s="244"/>
    </row>
    <row r="361" spans="1:1" ht="12.75">
      <c r="A361" s="244"/>
    </row>
    <row r="362" spans="1:1" ht="12.75">
      <c r="A362" s="244"/>
    </row>
    <row r="363" spans="1:1" ht="12.75">
      <c r="A363" s="244"/>
    </row>
    <row r="364" spans="1:1" ht="12.75">
      <c r="A364" s="244"/>
    </row>
    <row r="365" spans="1:1" ht="12.75">
      <c r="A365" s="244"/>
    </row>
    <row r="366" spans="1:1" ht="12.75">
      <c r="A366" s="244"/>
    </row>
    <row r="367" spans="1:1" ht="12.75">
      <c r="A367" s="244"/>
    </row>
    <row r="368" spans="1:1" ht="12.75">
      <c r="A368" s="244"/>
    </row>
    <row r="369" spans="1:1" ht="12.75">
      <c r="A369" s="244"/>
    </row>
    <row r="370" spans="1:1" ht="12.75">
      <c r="A370" s="244"/>
    </row>
    <row r="371" spans="1:1" ht="12.75">
      <c r="A371" s="244"/>
    </row>
    <row r="372" spans="1:1" ht="12.75">
      <c r="A372" s="244"/>
    </row>
    <row r="373" spans="1:1" ht="12.75">
      <c r="A373" s="244"/>
    </row>
    <row r="374" spans="1:1" ht="12.75">
      <c r="A374" s="244"/>
    </row>
    <row r="375" spans="1:1" ht="12.75">
      <c r="A375" s="244"/>
    </row>
    <row r="376" spans="1:1" ht="12.75">
      <c r="A376" s="244"/>
    </row>
    <row r="377" spans="1:1" ht="12.75">
      <c r="A377" s="244"/>
    </row>
    <row r="378" spans="1:1" ht="12.75">
      <c r="A378" s="244"/>
    </row>
    <row r="379" spans="1:1" ht="12.75">
      <c r="A379" s="244"/>
    </row>
    <row r="380" spans="1:1" ht="12.75">
      <c r="A380" s="244"/>
    </row>
    <row r="381" spans="1:1" ht="12.75">
      <c r="A381" s="244"/>
    </row>
    <row r="382" spans="1:1" ht="12.75">
      <c r="A382" s="244"/>
    </row>
    <row r="383" spans="1:1" ht="12.75">
      <c r="A383" s="244"/>
    </row>
    <row r="384" spans="1:1" ht="12.75">
      <c r="A384" s="244"/>
    </row>
    <row r="385" spans="1:1" ht="12.75">
      <c r="A385" s="244"/>
    </row>
    <row r="386" spans="1:1" ht="12.75">
      <c r="A386" s="244"/>
    </row>
    <row r="387" spans="1:1" ht="12.75">
      <c r="A387" s="244"/>
    </row>
    <row r="388" spans="1:1" ht="12.75">
      <c r="A388" s="244"/>
    </row>
    <row r="389" spans="1:1" ht="12.75">
      <c r="A389" s="244"/>
    </row>
    <row r="390" spans="1:1" ht="12.75">
      <c r="A390" s="244"/>
    </row>
    <row r="391" spans="1:1" ht="12.75">
      <c r="A391" s="244"/>
    </row>
    <row r="392" spans="1:1" ht="12.75">
      <c r="A392" s="244"/>
    </row>
    <row r="393" spans="1:1" ht="12.75">
      <c r="A393" s="244"/>
    </row>
    <row r="394" spans="1:1" ht="12.75">
      <c r="A394" s="244"/>
    </row>
    <row r="395" spans="1:1" ht="12.75">
      <c r="A395" s="244"/>
    </row>
    <row r="396" spans="1:1" ht="12.75">
      <c r="A396" s="244"/>
    </row>
    <row r="397" spans="1:1" ht="12.75">
      <c r="A397" s="244"/>
    </row>
    <row r="398" spans="1:1" ht="12.75">
      <c r="A398" s="244"/>
    </row>
    <row r="399" spans="1:1" ht="12.75">
      <c r="A399" s="244"/>
    </row>
    <row r="400" spans="1:1" ht="12.75">
      <c r="A400" s="244"/>
    </row>
    <row r="401" spans="1:1" ht="12.75">
      <c r="A401" s="244"/>
    </row>
    <row r="402" spans="1:1" ht="12.75">
      <c r="A402" s="244"/>
    </row>
    <row r="403" spans="1:1" ht="12.75">
      <c r="A403" s="244"/>
    </row>
    <row r="404" spans="1:1" ht="12.75">
      <c r="A404" s="244"/>
    </row>
    <row r="405" spans="1:1" ht="12.75">
      <c r="A405" s="244"/>
    </row>
    <row r="406" spans="1:1" ht="12.75">
      <c r="A406" s="244"/>
    </row>
    <row r="407" spans="1:1" ht="12.75">
      <c r="A407" s="244"/>
    </row>
    <row r="408" spans="1:1" ht="12.75">
      <c r="A408" s="244"/>
    </row>
    <row r="409" spans="1:1" ht="12.75">
      <c r="A409" s="244"/>
    </row>
    <row r="410" spans="1:1" ht="12.75">
      <c r="A410" s="244"/>
    </row>
    <row r="411" spans="1:1" ht="12.75">
      <c r="A411" s="244"/>
    </row>
    <row r="412" spans="1:1" ht="12.75">
      <c r="A412" s="244"/>
    </row>
    <row r="413" spans="1:1" ht="12.75">
      <c r="A413" s="244"/>
    </row>
    <row r="414" spans="1:1" ht="12.75">
      <c r="A414" s="244"/>
    </row>
    <row r="415" spans="1:1" ht="12.75">
      <c r="A415" s="244"/>
    </row>
    <row r="416" spans="1:1" ht="12.75">
      <c r="A416" s="244"/>
    </row>
    <row r="417" spans="1:1" ht="12.75">
      <c r="A417" s="244"/>
    </row>
    <row r="418" spans="1:1" ht="12.75">
      <c r="A418" s="244"/>
    </row>
    <row r="419" spans="1:1" ht="12.75">
      <c r="A419" s="244"/>
    </row>
    <row r="420" spans="1:1" ht="12.75">
      <c r="A420" s="244"/>
    </row>
    <row r="421" spans="1:1" ht="12.75">
      <c r="A421" s="244"/>
    </row>
    <row r="422" spans="1:1" ht="12.75">
      <c r="A422" s="244"/>
    </row>
    <row r="423" spans="1:1" ht="12.75">
      <c r="A423" s="244"/>
    </row>
    <row r="424" spans="1:1" ht="12.75">
      <c r="A424" s="244"/>
    </row>
    <row r="425" spans="1:1" ht="12.75">
      <c r="A425" s="244"/>
    </row>
    <row r="426" spans="1:1" ht="12.75">
      <c r="A426" s="244"/>
    </row>
    <row r="427" spans="1:1" ht="12.75">
      <c r="A427" s="244"/>
    </row>
    <row r="428" spans="1:1" ht="12.75">
      <c r="A428" s="244"/>
    </row>
    <row r="429" spans="1:1" ht="12.75">
      <c r="A429" s="244"/>
    </row>
    <row r="430" spans="1:1" ht="12.75">
      <c r="A430" s="244"/>
    </row>
    <row r="431" spans="1:1" ht="12.75">
      <c r="A431" s="244"/>
    </row>
    <row r="432" spans="1:1" ht="12.75">
      <c r="A432" s="244"/>
    </row>
    <row r="433" spans="1:1" ht="12.75">
      <c r="A433" s="244"/>
    </row>
    <row r="434" spans="1:1" ht="12.75">
      <c r="A434" s="244"/>
    </row>
    <row r="435" spans="1:1" ht="12.75">
      <c r="A435" s="244"/>
    </row>
    <row r="436" spans="1:1" ht="12.75">
      <c r="A436" s="244"/>
    </row>
    <row r="437" spans="1:1" ht="12.75">
      <c r="A437" s="244"/>
    </row>
    <row r="438" spans="1:1" ht="12.75">
      <c r="A438" s="244"/>
    </row>
    <row r="439" spans="1:1" ht="12.75">
      <c r="A439" s="244"/>
    </row>
    <row r="440" spans="1:1" ht="12.75">
      <c r="A440" s="244"/>
    </row>
    <row r="441" spans="1:1" ht="12.75">
      <c r="A441" s="244"/>
    </row>
    <row r="442" spans="1:1" ht="12.75">
      <c r="A442" s="244"/>
    </row>
    <row r="443" spans="1:1" ht="12.75">
      <c r="A443" s="244"/>
    </row>
    <row r="444" spans="1:1" ht="12.75">
      <c r="A444" s="244"/>
    </row>
    <row r="445" spans="1:1" ht="12.75">
      <c r="A445" s="244"/>
    </row>
    <row r="446" spans="1:1" ht="12.75">
      <c r="A446" s="244"/>
    </row>
    <row r="447" spans="1:1" ht="12.75">
      <c r="A447" s="244"/>
    </row>
    <row r="448" spans="1:1" ht="12.75">
      <c r="A448" s="244"/>
    </row>
    <row r="449" spans="1:1" ht="12.75">
      <c r="A449" s="244"/>
    </row>
    <row r="450" spans="1:1" ht="12.75">
      <c r="A450" s="244"/>
    </row>
    <row r="451" spans="1:1" ht="12.75">
      <c r="A451" s="244"/>
    </row>
    <row r="452" spans="1:1" ht="12.75">
      <c r="A452" s="244"/>
    </row>
    <row r="453" spans="1:1" ht="12.75">
      <c r="A453" s="244"/>
    </row>
    <row r="454" spans="1:1" ht="12.75">
      <c r="A454" s="244"/>
    </row>
    <row r="455" spans="1:1" ht="12.75">
      <c r="A455" s="244"/>
    </row>
    <row r="456" spans="1:1" ht="12.75">
      <c r="A456" s="244"/>
    </row>
    <row r="457" spans="1:1" ht="12.75">
      <c r="A457" s="244"/>
    </row>
    <row r="458" spans="1:1" ht="12.75">
      <c r="A458" s="244"/>
    </row>
    <row r="459" spans="1:1" ht="12.75">
      <c r="A459" s="244"/>
    </row>
    <row r="460" spans="1:1" ht="12.75">
      <c r="A460" s="244"/>
    </row>
    <row r="461" spans="1:1" ht="12.75">
      <c r="A461" s="244"/>
    </row>
    <row r="462" spans="1:1" ht="12.75">
      <c r="A462" s="244"/>
    </row>
    <row r="463" spans="1:1" ht="12.75">
      <c r="A463" s="244"/>
    </row>
    <row r="464" spans="1:1" ht="12.75">
      <c r="A464" s="244"/>
    </row>
    <row r="465" spans="1:1" ht="12.75">
      <c r="A465" s="244"/>
    </row>
    <row r="466" spans="1:1" ht="12.75">
      <c r="A466" s="244"/>
    </row>
    <row r="467" spans="1:1" ht="12.75">
      <c r="A467" s="244"/>
    </row>
    <row r="468" spans="1:1" ht="12.75">
      <c r="A468" s="244"/>
    </row>
    <row r="469" spans="1:1" ht="12.75">
      <c r="A469" s="244"/>
    </row>
    <row r="470" spans="1:1" ht="12.75">
      <c r="A470" s="244"/>
    </row>
    <row r="471" spans="1:1" ht="12.75">
      <c r="A471" s="244"/>
    </row>
    <row r="472" spans="1:1" ht="12.75">
      <c r="A472" s="244"/>
    </row>
    <row r="473" spans="1:1" ht="12.75">
      <c r="A473" s="244"/>
    </row>
    <row r="474" spans="1:1" ht="12.75">
      <c r="A474" s="244"/>
    </row>
    <row r="475" spans="1:1" ht="12.75">
      <c r="A475" s="244"/>
    </row>
    <row r="476" spans="1:1" ht="12.75">
      <c r="A476" s="244"/>
    </row>
    <row r="477" spans="1:1" ht="12.75">
      <c r="A477" s="244"/>
    </row>
    <row r="478" spans="1:1" ht="12.75">
      <c r="A478" s="244"/>
    </row>
    <row r="479" spans="1:1" ht="12.75">
      <c r="A479" s="244"/>
    </row>
    <row r="480" spans="1:1" ht="12.75">
      <c r="A480" s="244"/>
    </row>
    <row r="481" spans="1:1" ht="12.75">
      <c r="A481" s="244"/>
    </row>
    <row r="482" spans="1:1" ht="12.75">
      <c r="A482" s="244"/>
    </row>
    <row r="483" spans="1:1" ht="12.75">
      <c r="A483" s="244"/>
    </row>
    <row r="484" spans="1:1" ht="12.75">
      <c r="A484" s="244"/>
    </row>
    <row r="485" spans="1:1" ht="12.75">
      <c r="A485" s="244"/>
    </row>
    <row r="486" spans="1:1" ht="12.75">
      <c r="A486" s="244"/>
    </row>
    <row r="487" spans="1:1" ht="12.75">
      <c r="A487" s="244"/>
    </row>
    <row r="488" spans="1:1" ht="12.75">
      <c r="A488" s="244"/>
    </row>
    <row r="489" spans="1:1" ht="12.75">
      <c r="A489" s="244"/>
    </row>
    <row r="490" spans="1:1" ht="12.75">
      <c r="A490" s="244"/>
    </row>
    <row r="491" spans="1:1" ht="12.75">
      <c r="A491" s="244"/>
    </row>
    <row r="492" spans="1:1" ht="12.75">
      <c r="A492" s="244"/>
    </row>
    <row r="493" spans="1:1" ht="12.75">
      <c r="A493" s="244"/>
    </row>
    <row r="494" spans="1:1" ht="12.75">
      <c r="A494" s="244"/>
    </row>
    <row r="495" spans="1:1" ht="12.75">
      <c r="A495" s="244"/>
    </row>
    <row r="496" spans="1:1" ht="12.75">
      <c r="A496" s="244"/>
    </row>
    <row r="497" spans="1:1" ht="12.75">
      <c r="A497" s="244"/>
    </row>
    <row r="498" spans="1:1" ht="12.75">
      <c r="A498" s="244"/>
    </row>
    <row r="499" spans="1:1" ht="12.75">
      <c r="A499" s="244"/>
    </row>
    <row r="500" spans="1:1" ht="12.75">
      <c r="A500" s="244"/>
    </row>
    <row r="501" spans="1:1" ht="12.75">
      <c r="A501" s="244"/>
    </row>
    <row r="502" spans="1:1" ht="12.75">
      <c r="A502" s="244"/>
    </row>
    <row r="503" spans="1:1" ht="12.75">
      <c r="A503" s="244"/>
    </row>
    <row r="504" spans="1:1" ht="12.75">
      <c r="A504" s="244"/>
    </row>
    <row r="505" spans="1:1" ht="12.75">
      <c r="A505" s="244"/>
    </row>
    <row r="506" spans="1:1" ht="12.75">
      <c r="A506" s="244"/>
    </row>
    <row r="507" spans="1:1" ht="12.75">
      <c r="A507" s="244"/>
    </row>
    <row r="508" spans="1:1" ht="12.75">
      <c r="A508" s="244"/>
    </row>
    <row r="509" spans="1:1" ht="12.75">
      <c r="A509" s="244"/>
    </row>
    <row r="510" spans="1:1" ht="12.75">
      <c r="A510" s="244"/>
    </row>
    <row r="511" spans="1:1" ht="12.75">
      <c r="A511" s="244"/>
    </row>
    <row r="512" spans="1:1" ht="12.75">
      <c r="A512" s="244"/>
    </row>
    <row r="513" spans="1:1" ht="12.75">
      <c r="A513" s="244"/>
    </row>
    <row r="514" spans="1:1" ht="12.75">
      <c r="A514" s="244"/>
    </row>
    <row r="515" spans="1:1" ht="12.75">
      <c r="A515" s="244"/>
    </row>
    <row r="516" spans="1:1" ht="12.75">
      <c r="A516" s="244"/>
    </row>
    <row r="517" spans="1:1" ht="12.75">
      <c r="A517" s="244"/>
    </row>
    <row r="518" spans="1:1" ht="12.75">
      <c r="A518" s="244"/>
    </row>
    <row r="519" spans="1:1" ht="12.75">
      <c r="A519" s="244"/>
    </row>
    <row r="520" spans="1:1" ht="12.75">
      <c r="A520" s="244"/>
    </row>
    <row r="521" spans="1:1" ht="12.75">
      <c r="A521" s="244"/>
    </row>
    <row r="522" spans="1:1" ht="12.75">
      <c r="A522" s="244"/>
    </row>
    <row r="523" spans="1:1" ht="12.75">
      <c r="A523" s="244"/>
    </row>
    <row r="524" spans="1:1" ht="12.75">
      <c r="A524" s="244"/>
    </row>
    <row r="525" spans="1:1" ht="12.75">
      <c r="A525" s="244"/>
    </row>
    <row r="526" spans="1:1" ht="12.75">
      <c r="A526" s="244"/>
    </row>
    <row r="527" spans="1:1" ht="12.75">
      <c r="A527" s="244"/>
    </row>
    <row r="528" spans="1:1" ht="12.75">
      <c r="A528" s="244"/>
    </row>
    <row r="529" spans="1:1" ht="12.75">
      <c r="A529" s="244"/>
    </row>
    <row r="530" spans="1:1" ht="12.75">
      <c r="A530" s="244"/>
    </row>
    <row r="531" spans="1:1" ht="12.75">
      <c r="A531" s="244"/>
    </row>
    <row r="532" spans="1:1" ht="12.75">
      <c r="A532" s="244"/>
    </row>
    <row r="533" spans="1:1" ht="12.75">
      <c r="A533" s="244"/>
    </row>
    <row r="534" spans="1:1" ht="12.75">
      <c r="A534" s="244"/>
    </row>
    <row r="535" spans="1:1" ht="12.75">
      <c r="A535" s="244"/>
    </row>
    <row r="536" spans="1:1" ht="12.75">
      <c r="A536" s="244"/>
    </row>
    <row r="537" spans="1:1" ht="12.75">
      <c r="A537" s="244"/>
    </row>
    <row r="538" spans="1:1" ht="12.75">
      <c r="A538" s="244"/>
    </row>
    <row r="539" spans="1:1" ht="12.75">
      <c r="A539" s="244"/>
    </row>
    <row r="540" spans="1:1" ht="12.75">
      <c r="A540" s="244"/>
    </row>
    <row r="541" spans="1:1" ht="12.75">
      <c r="A541" s="244"/>
    </row>
    <row r="542" spans="1:1" ht="12.75">
      <c r="A542" s="244"/>
    </row>
    <row r="543" spans="1:1" ht="12.75">
      <c r="A543" s="244"/>
    </row>
    <row r="544" spans="1:1" ht="12.75">
      <c r="A544" s="244"/>
    </row>
    <row r="545" spans="1:1" ht="12.75">
      <c r="A545" s="244"/>
    </row>
    <row r="546" spans="1:1" ht="12.75">
      <c r="A546" s="244"/>
    </row>
    <row r="547" spans="1:1" ht="12.75">
      <c r="A547" s="244"/>
    </row>
    <row r="548" spans="1:1" ht="12.75">
      <c r="A548" s="244"/>
    </row>
    <row r="549" spans="1:1" ht="12.75">
      <c r="A549" s="244"/>
    </row>
    <row r="550" spans="1:1" ht="12.75">
      <c r="A550" s="244"/>
    </row>
    <row r="551" spans="1:1" ht="12.75">
      <c r="A551" s="244"/>
    </row>
    <row r="552" spans="1:1" ht="12.75">
      <c r="A552" s="244"/>
    </row>
    <row r="553" spans="1:1" ht="12.75">
      <c r="A553" s="244"/>
    </row>
    <row r="554" spans="1:1" ht="12.75">
      <c r="A554" s="244"/>
    </row>
    <row r="555" spans="1:1" ht="12.75">
      <c r="A555" s="244"/>
    </row>
    <row r="556" spans="1:1" ht="12.75">
      <c r="A556" s="244"/>
    </row>
    <row r="557" spans="1:1" ht="12.75">
      <c r="A557" s="244"/>
    </row>
    <row r="558" spans="1:1" ht="12.75">
      <c r="A558" s="244"/>
    </row>
    <row r="559" spans="1:1" ht="12.75">
      <c r="A559" s="244"/>
    </row>
    <row r="560" spans="1:1" ht="12.75">
      <c r="A560" s="244"/>
    </row>
    <row r="561" spans="1:1" ht="12.75">
      <c r="A561" s="244"/>
    </row>
    <row r="562" spans="1:1" ht="12.75">
      <c r="A562" s="244"/>
    </row>
    <row r="563" spans="1:1" ht="12.75">
      <c r="A563" s="244"/>
    </row>
    <row r="564" spans="1:1" ht="12.75">
      <c r="A564" s="244"/>
    </row>
    <row r="565" spans="1:1" ht="12.75">
      <c r="A565" s="244"/>
    </row>
    <row r="566" spans="1:1" ht="12.75">
      <c r="A566" s="244"/>
    </row>
    <row r="567" spans="1:1" ht="12.75">
      <c r="A567" s="244"/>
    </row>
    <row r="568" spans="1:1" ht="12.75">
      <c r="A568" s="244"/>
    </row>
    <row r="569" spans="1:1" ht="12.75">
      <c r="A569" s="244"/>
    </row>
    <row r="570" spans="1:1" ht="12.75">
      <c r="A570" s="244"/>
    </row>
    <row r="571" spans="1:1" ht="12.75">
      <c r="A571" s="244"/>
    </row>
    <row r="572" spans="1:1" ht="12.75">
      <c r="A572" s="244"/>
    </row>
    <row r="573" spans="1:1" ht="12.75">
      <c r="A573" s="244"/>
    </row>
    <row r="574" spans="1:1" ht="12.75">
      <c r="A574" s="244"/>
    </row>
    <row r="575" spans="1:1" ht="12.75">
      <c r="A575" s="244"/>
    </row>
    <row r="576" spans="1:1" ht="12.75">
      <c r="A576" s="244"/>
    </row>
    <row r="577" spans="1:1" ht="12.75">
      <c r="A577" s="244"/>
    </row>
    <row r="578" spans="1:1" ht="12.75">
      <c r="A578" s="244"/>
    </row>
    <row r="579" spans="1:1" ht="12.75">
      <c r="A579" s="244"/>
    </row>
    <row r="580" spans="1:1" ht="12.75">
      <c r="A580" s="244"/>
    </row>
    <row r="581" spans="1:1" ht="12.75">
      <c r="A581" s="244"/>
    </row>
    <row r="582" spans="1:1" ht="12.75">
      <c r="A582" s="244"/>
    </row>
    <row r="583" spans="1:1" ht="12.75">
      <c r="A583" s="244"/>
    </row>
    <row r="584" spans="1:1" ht="12.75">
      <c r="A584" s="244"/>
    </row>
    <row r="585" spans="1:1" ht="12.75">
      <c r="A585" s="244"/>
    </row>
    <row r="586" spans="1:1" ht="12.75">
      <c r="A586" s="244"/>
    </row>
    <row r="587" spans="1:1" ht="12.75">
      <c r="A587" s="244"/>
    </row>
    <row r="588" spans="1:1" ht="12.75">
      <c r="A588" s="244"/>
    </row>
    <row r="589" spans="1:1" ht="12.75">
      <c r="A589" s="244"/>
    </row>
    <row r="590" spans="1:1" ht="12.75">
      <c r="A590" s="244"/>
    </row>
    <row r="591" spans="1:1" ht="12.75">
      <c r="A591" s="244"/>
    </row>
    <row r="592" spans="1:1" ht="12.75">
      <c r="A592" s="244"/>
    </row>
    <row r="593" spans="1:1" ht="12.75">
      <c r="A593" s="244"/>
    </row>
    <row r="594" spans="1:1" ht="12.75">
      <c r="A594" s="244"/>
    </row>
    <row r="595" spans="1:1" ht="12.75">
      <c r="A595" s="244"/>
    </row>
    <row r="596" spans="1:1" ht="12.75">
      <c r="A596" s="244"/>
    </row>
    <row r="597" spans="1:1" ht="12.75">
      <c r="A597" s="244"/>
    </row>
    <row r="598" spans="1:1" ht="12.75">
      <c r="A598" s="244"/>
    </row>
    <row r="599" spans="1:1" ht="12.75">
      <c r="A599" s="244"/>
    </row>
    <row r="600" spans="1:1" ht="12.75">
      <c r="A600" s="244"/>
    </row>
    <row r="601" spans="1:1" ht="12.75">
      <c r="A601" s="244"/>
    </row>
    <row r="602" spans="1:1" ht="12.75">
      <c r="A602" s="244"/>
    </row>
    <row r="603" spans="1:1" ht="12.75">
      <c r="A603" s="244"/>
    </row>
    <row r="604" spans="1:1" ht="12.75">
      <c r="A604" s="244"/>
    </row>
    <row r="605" spans="1:1" ht="12.75">
      <c r="A605" s="244"/>
    </row>
    <row r="606" spans="1:1" ht="12.75">
      <c r="A606" s="244"/>
    </row>
    <row r="607" spans="1:1" ht="12.75">
      <c r="A607" s="244"/>
    </row>
    <row r="608" spans="1:1" ht="12.75">
      <c r="A608" s="244"/>
    </row>
    <row r="609" spans="1:1" ht="12.75">
      <c r="A609" s="244"/>
    </row>
    <row r="610" spans="1:1" ht="12.75">
      <c r="A610" s="244"/>
    </row>
    <row r="611" spans="1:1" ht="12.75">
      <c r="A611" s="244"/>
    </row>
    <row r="612" spans="1:1" ht="12.75">
      <c r="A612" s="244"/>
    </row>
    <row r="613" spans="1:1" ht="12.75">
      <c r="A613" s="244"/>
    </row>
    <row r="614" spans="1:1" ht="12.75">
      <c r="A614" s="244"/>
    </row>
    <row r="615" spans="1:1" ht="12.75">
      <c r="A615" s="244"/>
    </row>
    <row r="616" spans="1:1" ht="12.75">
      <c r="A616" s="244"/>
    </row>
    <row r="617" spans="1:1" ht="12.75">
      <c r="A617" s="244"/>
    </row>
    <row r="618" spans="1:1" ht="12.75">
      <c r="A618" s="244"/>
    </row>
    <row r="619" spans="1:1" ht="12.75">
      <c r="A619" s="244"/>
    </row>
    <row r="620" spans="1:1" ht="12.75">
      <c r="A620" s="244"/>
    </row>
    <row r="621" spans="1:1" ht="12.75">
      <c r="A621" s="244"/>
    </row>
    <row r="622" spans="1:1" ht="12.75">
      <c r="A622" s="244"/>
    </row>
    <row r="623" spans="1:1" ht="12.75">
      <c r="A623" s="244"/>
    </row>
    <row r="624" spans="1:1" ht="12.75">
      <c r="A624" s="244"/>
    </row>
    <row r="625" spans="1:1" ht="12.75">
      <c r="A625" s="244"/>
    </row>
    <row r="626" spans="1:1" ht="12.75">
      <c r="A626" s="244"/>
    </row>
    <row r="627" spans="1:1" ht="12.75">
      <c r="A627" s="244"/>
    </row>
    <row r="628" spans="1:1" ht="12.75">
      <c r="A628" s="244"/>
    </row>
    <row r="629" spans="1:1" ht="12.75">
      <c r="A629" s="244"/>
    </row>
    <row r="630" spans="1:1" ht="12.75">
      <c r="A630" s="244"/>
    </row>
    <row r="631" spans="1:1" ht="12.75">
      <c r="A631" s="244"/>
    </row>
    <row r="632" spans="1:1" ht="12.75">
      <c r="A632" s="244"/>
    </row>
    <row r="633" spans="1:1" ht="12.75">
      <c r="A633" s="244"/>
    </row>
    <row r="634" spans="1:1" ht="12.75">
      <c r="A634" s="244"/>
    </row>
    <row r="635" spans="1:1" ht="12.75">
      <c r="A635" s="244"/>
    </row>
    <row r="636" spans="1:1" ht="12.75">
      <c r="A636" s="244"/>
    </row>
    <row r="637" spans="1:1" ht="12.75">
      <c r="A637" s="244"/>
    </row>
    <row r="638" spans="1:1" ht="12.75">
      <c r="A638" s="244"/>
    </row>
    <row r="639" spans="1:1" ht="12.75">
      <c r="A639" s="244"/>
    </row>
    <row r="640" spans="1:1" ht="12.75">
      <c r="A640" s="244"/>
    </row>
    <row r="641" spans="1:1" ht="12.75">
      <c r="A641" s="244"/>
    </row>
    <row r="642" spans="1:1" ht="12.75">
      <c r="A642" s="244"/>
    </row>
    <row r="643" spans="1:1" ht="12.75">
      <c r="A643" s="244"/>
    </row>
    <row r="644" spans="1:1" ht="12.75">
      <c r="A644" s="244"/>
    </row>
    <row r="645" spans="1:1" ht="12.75">
      <c r="A645" s="244"/>
    </row>
    <row r="646" spans="1:1" ht="12.75">
      <c r="A646" s="244"/>
    </row>
    <row r="647" spans="1:1" ht="12.75">
      <c r="A647" s="244"/>
    </row>
    <row r="648" spans="1:1" ht="12.75">
      <c r="A648" s="244"/>
    </row>
    <row r="649" spans="1:1" ht="12.75">
      <c r="A649" s="244"/>
    </row>
    <row r="650" spans="1:1" ht="12.75">
      <c r="A650" s="244"/>
    </row>
    <row r="651" spans="1:1" ht="12.75">
      <c r="A651" s="244"/>
    </row>
    <row r="652" spans="1:1" ht="12.75">
      <c r="A652" s="244"/>
    </row>
    <row r="653" spans="1:1" ht="12.75">
      <c r="A653" s="244"/>
    </row>
    <row r="654" spans="1:1" ht="12.75">
      <c r="A654" s="244"/>
    </row>
    <row r="655" spans="1:1" ht="12.75">
      <c r="A655" s="244"/>
    </row>
    <row r="656" spans="1:1" ht="12.75">
      <c r="A656" s="244"/>
    </row>
    <row r="657" spans="1:1" ht="12.75">
      <c r="A657" s="244"/>
    </row>
    <row r="658" spans="1:1" ht="12.75">
      <c r="A658" s="244"/>
    </row>
    <row r="659" spans="1:1" ht="12.75">
      <c r="A659" s="244"/>
    </row>
    <row r="660" spans="1:1" ht="12.75">
      <c r="A660" s="244"/>
    </row>
    <row r="661" spans="1:1" ht="12.75">
      <c r="A661" s="244"/>
    </row>
    <row r="662" spans="1:1" ht="12.75">
      <c r="A662" s="244"/>
    </row>
    <row r="663" spans="1:1" ht="12.75">
      <c r="A663" s="244"/>
    </row>
    <row r="664" spans="1:1" ht="12.75">
      <c r="A664" s="244"/>
    </row>
    <row r="665" spans="1:1" ht="12.75">
      <c r="A665" s="244"/>
    </row>
    <row r="666" spans="1:1" ht="12.75">
      <c r="A666" s="244"/>
    </row>
    <row r="667" spans="1:1" ht="12.75">
      <c r="A667" s="244"/>
    </row>
    <row r="668" spans="1:1" ht="12.75">
      <c r="A668" s="244"/>
    </row>
    <row r="669" spans="1:1" ht="12.75">
      <c r="A669" s="244"/>
    </row>
    <row r="670" spans="1:1" ht="12.75">
      <c r="A670" s="244"/>
    </row>
    <row r="671" spans="1:1" ht="12.75">
      <c r="A671" s="244"/>
    </row>
    <row r="672" spans="1:1" ht="12.75">
      <c r="A672" s="244"/>
    </row>
    <row r="673" spans="1:1" ht="12.75">
      <c r="A673" s="244"/>
    </row>
    <row r="674" spans="1:1" ht="12.75">
      <c r="A674" s="244"/>
    </row>
    <row r="675" spans="1:1" ht="12.75">
      <c r="A675" s="244"/>
    </row>
    <row r="676" spans="1:1" ht="12.75">
      <c r="A676" s="244"/>
    </row>
    <row r="677" spans="1:1" ht="12.75">
      <c r="A677" s="244"/>
    </row>
    <row r="678" spans="1:1" ht="12.75">
      <c r="A678" s="244"/>
    </row>
    <row r="679" spans="1:1" ht="12.75">
      <c r="A679" s="244"/>
    </row>
    <row r="680" spans="1:1" ht="12.75">
      <c r="A680" s="244"/>
    </row>
    <row r="681" spans="1:1" ht="12.75">
      <c r="A681" s="244"/>
    </row>
    <row r="682" spans="1:1" ht="12.75">
      <c r="A682" s="244"/>
    </row>
    <row r="683" spans="1:1" ht="12.75">
      <c r="A683" s="244"/>
    </row>
    <row r="684" spans="1:1" ht="12.75">
      <c r="A684" s="244"/>
    </row>
    <row r="685" spans="1:1" ht="12.75">
      <c r="A685" s="244"/>
    </row>
    <row r="686" spans="1:1" ht="12.75">
      <c r="A686" s="244"/>
    </row>
    <row r="687" spans="1:1" ht="12.75">
      <c r="A687" s="244"/>
    </row>
    <row r="688" spans="1:1" ht="12.75">
      <c r="A688" s="244"/>
    </row>
    <row r="689" spans="1:1" ht="12.75">
      <c r="A689" s="244"/>
    </row>
    <row r="690" spans="1:1" ht="12.75">
      <c r="A690" s="244"/>
    </row>
    <row r="691" spans="1:1" ht="12.75">
      <c r="A691" s="244"/>
    </row>
    <row r="692" spans="1:1" ht="12.75">
      <c r="A692" s="244"/>
    </row>
    <row r="693" spans="1:1" ht="12.75">
      <c r="A693" s="244"/>
    </row>
    <row r="694" spans="1:1" ht="12.75">
      <c r="A694" s="244"/>
    </row>
    <row r="695" spans="1:1" ht="12.75">
      <c r="A695" s="244"/>
    </row>
    <row r="696" spans="1:1" ht="12.75">
      <c r="A696" s="244"/>
    </row>
    <row r="697" spans="1:1" ht="12.75">
      <c r="A697" s="244"/>
    </row>
    <row r="698" spans="1:1" ht="12.75">
      <c r="A698" s="244"/>
    </row>
    <row r="699" spans="1:1" ht="12.75">
      <c r="A699" s="244"/>
    </row>
    <row r="700" spans="1:1" ht="12.75">
      <c r="A700" s="244"/>
    </row>
    <row r="701" spans="1:1" ht="12.75">
      <c r="A701" s="244"/>
    </row>
    <row r="702" spans="1:1" ht="12.75">
      <c r="A702" s="244"/>
    </row>
    <row r="703" spans="1:1" ht="12.75">
      <c r="A703" s="244"/>
    </row>
    <row r="704" spans="1:1" ht="12.75">
      <c r="A704" s="244"/>
    </row>
    <row r="705" spans="1:1" ht="12.75">
      <c r="A705" s="244"/>
    </row>
    <row r="706" spans="1:1" ht="12.75">
      <c r="A706" s="244"/>
    </row>
    <row r="707" spans="1:1" ht="12.75">
      <c r="A707" s="244"/>
    </row>
    <row r="708" spans="1:1" ht="12.75">
      <c r="A708" s="244"/>
    </row>
    <row r="709" spans="1:1" ht="12.75">
      <c r="A709" s="244"/>
    </row>
    <row r="710" spans="1:1" ht="12.75">
      <c r="A710" s="244"/>
    </row>
    <row r="711" spans="1:1" ht="12.75">
      <c r="A711" s="244"/>
    </row>
    <row r="712" spans="1:1" ht="12.75">
      <c r="A712" s="244"/>
    </row>
    <row r="713" spans="1:1" ht="12.75">
      <c r="A713" s="244"/>
    </row>
    <row r="714" spans="1:1" ht="12.75">
      <c r="A714" s="244"/>
    </row>
    <row r="715" spans="1:1" ht="12.75">
      <c r="A715" s="244"/>
    </row>
    <row r="716" spans="1:1" ht="12.75">
      <c r="A716" s="244"/>
    </row>
    <row r="717" spans="1:1" ht="12.75">
      <c r="A717" s="244"/>
    </row>
    <row r="718" spans="1:1" ht="12.75">
      <c r="A718" s="244"/>
    </row>
    <row r="719" spans="1:1" ht="12.75">
      <c r="A719" s="244"/>
    </row>
    <row r="720" spans="1:1" ht="12.75">
      <c r="A720" s="244"/>
    </row>
    <row r="721" spans="1:1" ht="12.75">
      <c r="A721" s="244"/>
    </row>
    <row r="722" spans="1:1" ht="12.75">
      <c r="A722" s="244"/>
    </row>
    <row r="723" spans="1:1" ht="12.75">
      <c r="A723" s="244"/>
    </row>
    <row r="724" spans="1:1" ht="12.75">
      <c r="A724" s="244"/>
    </row>
    <row r="725" spans="1:1" ht="12.75">
      <c r="A725" s="244"/>
    </row>
    <row r="726" spans="1:1" ht="12.75">
      <c r="A726" s="244"/>
    </row>
    <row r="727" spans="1:1" ht="12.75">
      <c r="A727" s="244"/>
    </row>
    <row r="728" spans="1:1" ht="12.75">
      <c r="A728" s="244"/>
    </row>
    <row r="729" spans="1:1" ht="12.75">
      <c r="A729" s="244"/>
    </row>
    <row r="730" spans="1:1" ht="12.75">
      <c r="A730" s="244"/>
    </row>
    <row r="731" spans="1:1" ht="12.75">
      <c r="A731" s="244"/>
    </row>
    <row r="732" spans="1:1" ht="12.75">
      <c r="A732" s="244"/>
    </row>
    <row r="733" spans="1:1" ht="12.75">
      <c r="A733" s="244"/>
    </row>
    <row r="734" spans="1:1" ht="12.75">
      <c r="A734" s="244"/>
    </row>
    <row r="735" spans="1:1" ht="12.75">
      <c r="A735" s="244"/>
    </row>
    <row r="736" spans="1:1" ht="12.75">
      <c r="A736" s="244"/>
    </row>
    <row r="737" spans="1:1" ht="12.75">
      <c r="A737" s="244"/>
    </row>
    <row r="738" spans="1:1" ht="12.75">
      <c r="A738" s="244"/>
    </row>
    <row r="739" spans="1:1" ht="12.75">
      <c r="A739" s="244"/>
    </row>
    <row r="740" spans="1:1" ht="12.75">
      <c r="A740" s="244"/>
    </row>
    <row r="741" spans="1:1" ht="12.75">
      <c r="A741" s="244"/>
    </row>
    <row r="742" spans="1:1" ht="12.75">
      <c r="A742" s="244"/>
    </row>
    <row r="743" spans="1:1" ht="12.75">
      <c r="A743" s="244"/>
    </row>
    <row r="744" spans="1:1" ht="12.75">
      <c r="A744" s="244"/>
    </row>
    <row r="745" spans="1:1" ht="12.75">
      <c r="A745" s="244"/>
    </row>
    <row r="746" spans="1:1" ht="12.75">
      <c r="A746" s="244"/>
    </row>
    <row r="747" spans="1:1" ht="12.75">
      <c r="A747" s="244"/>
    </row>
    <row r="748" spans="1:1" ht="12.75">
      <c r="A748" s="244"/>
    </row>
    <row r="749" spans="1:1" ht="12.75">
      <c r="A749" s="244"/>
    </row>
    <row r="750" spans="1:1" ht="12.75">
      <c r="A750" s="244"/>
    </row>
    <row r="751" spans="1:1" ht="12.75">
      <c r="A751" s="244"/>
    </row>
    <row r="752" spans="1:1" ht="12.75">
      <c r="A752" s="244"/>
    </row>
    <row r="753" spans="1:1" ht="12.75">
      <c r="A753" s="244"/>
    </row>
    <row r="754" spans="1:1" ht="12.75">
      <c r="A754" s="244"/>
    </row>
    <row r="755" spans="1:1" ht="12.75">
      <c r="A755" s="244"/>
    </row>
    <row r="756" spans="1:1" ht="12.75">
      <c r="A756" s="244"/>
    </row>
    <row r="757" spans="1:1" ht="12.75">
      <c r="A757" s="244"/>
    </row>
    <row r="758" spans="1:1" ht="12.75">
      <c r="A758" s="244"/>
    </row>
    <row r="759" spans="1:1" ht="12.75">
      <c r="A759" s="244"/>
    </row>
    <row r="760" spans="1:1" ht="12.75">
      <c r="A760" s="244"/>
    </row>
    <row r="761" spans="1:1" ht="12.75">
      <c r="A761" s="244"/>
    </row>
    <row r="762" spans="1:1" ht="12.75">
      <c r="A762" s="244"/>
    </row>
    <row r="763" spans="1:1" ht="12.75">
      <c r="A763" s="244"/>
    </row>
    <row r="764" spans="1:1" ht="12.75">
      <c r="A764" s="244"/>
    </row>
    <row r="765" spans="1:1" ht="12.75">
      <c r="A765" s="244"/>
    </row>
    <row r="766" spans="1:1" ht="12.75">
      <c r="A766" s="244"/>
    </row>
    <row r="767" spans="1:1" ht="12.75">
      <c r="A767" s="244"/>
    </row>
    <row r="768" spans="1:1" ht="12.75">
      <c r="A768" s="244"/>
    </row>
    <row r="769" spans="1:1" ht="12.75">
      <c r="A769" s="244"/>
    </row>
    <row r="770" spans="1:1" ht="12.75">
      <c r="A770" s="244"/>
    </row>
    <row r="771" spans="1:1" ht="12.75">
      <c r="A771" s="244"/>
    </row>
    <row r="772" spans="1:1" ht="12.75">
      <c r="A772" s="244"/>
    </row>
    <row r="773" spans="1:1" ht="12.75">
      <c r="A773" s="244"/>
    </row>
    <row r="774" spans="1:1" ht="12.75">
      <c r="A774" s="244"/>
    </row>
    <row r="775" spans="1:1" ht="12.75">
      <c r="A775" s="244"/>
    </row>
    <row r="776" spans="1:1" ht="12.75">
      <c r="A776" s="244"/>
    </row>
    <row r="777" spans="1:1" ht="12.75">
      <c r="A777" s="244"/>
    </row>
    <row r="778" spans="1:1" ht="12.75">
      <c r="A778" s="244"/>
    </row>
    <row r="779" spans="1:1" ht="12.75">
      <c r="A779" s="244"/>
    </row>
    <row r="780" spans="1:1" ht="12.75">
      <c r="A780" s="244"/>
    </row>
    <row r="781" spans="1:1" ht="12.75">
      <c r="A781" s="244"/>
    </row>
    <row r="782" spans="1:1" ht="12.75">
      <c r="A782" s="244"/>
    </row>
    <row r="783" spans="1:1" ht="12.75">
      <c r="A783" s="244"/>
    </row>
    <row r="784" spans="1:1" ht="12.75">
      <c r="A784" s="244"/>
    </row>
    <row r="785" spans="1:1" ht="12.75">
      <c r="A785" s="244"/>
    </row>
    <row r="786" spans="1:1" ht="12.75">
      <c r="A786" s="244"/>
    </row>
    <row r="787" spans="1:1" ht="12.75">
      <c r="A787" s="244"/>
    </row>
    <row r="788" spans="1:1" ht="12.75">
      <c r="A788" s="244"/>
    </row>
    <row r="789" spans="1:1" ht="12.75">
      <c r="A789" s="244"/>
    </row>
    <row r="790" spans="1:1" ht="12.75">
      <c r="A790" s="244"/>
    </row>
    <row r="791" spans="1:1" ht="12.75">
      <c r="A791" s="244"/>
    </row>
    <row r="792" spans="1:1" ht="12.75">
      <c r="A792" s="244"/>
    </row>
    <row r="793" spans="1:1" ht="12.75">
      <c r="A793" s="244"/>
    </row>
    <row r="794" spans="1:1" ht="12.75">
      <c r="A794" s="244"/>
    </row>
    <row r="795" spans="1:1" ht="12.75">
      <c r="A795" s="244"/>
    </row>
    <row r="796" spans="1:1" ht="12.75">
      <c r="A796" s="244"/>
    </row>
    <row r="797" spans="1:1" ht="12.75">
      <c r="A797" s="244"/>
    </row>
    <row r="798" spans="1:1" ht="12.75">
      <c r="A798" s="244"/>
    </row>
    <row r="799" spans="1:1" ht="12.75">
      <c r="A799" s="244"/>
    </row>
    <row r="800" spans="1:1" ht="12.75">
      <c r="A800" s="244"/>
    </row>
    <row r="801" spans="1:1" ht="12.75">
      <c r="A801" s="244"/>
    </row>
    <row r="802" spans="1:1" ht="12.75">
      <c r="A802" s="244"/>
    </row>
    <row r="803" spans="1:1" ht="12.75">
      <c r="A803" s="244"/>
    </row>
    <row r="804" spans="1:1" ht="12.75">
      <c r="A804" s="244"/>
    </row>
    <row r="805" spans="1:1" ht="12.75">
      <c r="A805" s="244"/>
    </row>
    <row r="806" spans="1:1" ht="12.75">
      <c r="A806" s="244"/>
    </row>
    <row r="807" spans="1:1" ht="12.75">
      <c r="A807" s="244"/>
    </row>
    <row r="808" spans="1:1" ht="12.75">
      <c r="A808" s="244"/>
    </row>
    <row r="809" spans="1:1" ht="12.75">
      <c r="A809" s="244"/>
    </row>
    <row r="810" spans="1:1" ht="12.75">
      <c r="A810" s="244"/>
    </row>
    <row r="811" spans="1:1" ht="12.75">
      <c r="A811" s="244"/>
    </row>
    <row r="812" spans="1:1" ht="12.75">
      <c r="A812" s="244"/>
    </row>
    <row r="813" spans="1:1" ht="12.75">
      <c r="A813" s="244"/>
    </row>
    <row r="814" spans="1:1" ht="12.75">
      <c r="A814" s="244"/>
    </row>
    <row r="815" spans="1:1" ht="12.75">
      <c r="A815" s="244"/>
    </row>
    <row r="816" spans="1:1" ht="12.75">
      <c r="A816" s="244"/>
    </row>
    <row r="817" spans="1:1" ht="12.75">
      <c r="A817" s="244"/>
    </row>
    <row r="818" spans="1:1" ht="12.75">
      <c r="A818" s="244"/>
    </row>
    <row r="819" spans="1:1" ht="12.75">
      <c r="A819" s="244"/>
    </row>
    <row r="820" spans="1:1" ht="12.75">
      <c r="A820" s="244"/>
    </row>
    <row r="821" spans="1:1" ht="12.75">
      <c r="A821" s="244"/>
    </row>
    <row r="822" spans="1:1" ht="12.75">
      <c r="A822" s="244"/>
    </row>
    <row r="823" spans="1:1" ht="12.75">
      <c r="A823" s="244"/>
    </row>
    <row r="824" spans="1:1" ht="12.75">
      <c r="A824" s="244"/>
    </row>
    <row r="825" spans="1:1" ht="12.75">
      <c r="A825" s="244"/>
    </row>
    <row r="826" spans="1:1" ht="12.75">
      <c r="A826" s="244"/>
    </row>
    <row r="827" spans="1:1" ht="12.75">
      <c r="A827" s="244"/>
    </row>
    <row r="828" spans="1:1" ht="12.75">
      <c r="A828" s="244"/>
    </row>
    <row r="829" spans="1:1" ht="12.75">
      <c r="A829" s="244"/>
    </row>
    <row r="830" spans="1:1" ht="12.75">
      <c r="A830" s="244"/>
    </row>
    <row r="831" spans="1:1" ht="12.75">
      <c r="A831" s="244"/>
    </row>
    <row r="832" spans="1:1" ht="12.75">
      <c r="A832" s="244"/>
    </row>
    <row r="833" spans="1:1" ht="12.75">
      <c r="A833" s="244"/>
    </row>
    <row r="834" spans="1:1" ht="12.75">
      <c r="A834" s="244"/>
    </row>
    <row r="835" spans="1:1" ht="12.75">
      <c r="A835" s="244"/>
    </row>
    <row r="836" spans="1:1" ht="12.75">
      <c r="A836" s="244"/>
    </row>
    <row r="837" spans="1:1" ht="12.75">
      <c r="A837" s="244"/>
    </row>
    <row r="838" spans="1:1" ht="12.75">
      <c r="A838" s="244"/>
    </row>
    <row r="839" spans="1:1" ht="12.75">
      <c r="A839" s="244"/>
    </row>
    <row r="840" spans="1:1" ht="12.75">
      <c r="A840" s="244"/>
    </row>
    <row r="841" spans="1:1" ht="12.75">
      <c r="A841" s="244"/>
    </row>
    <row r="842" spans="1:1" ht="12.75">
      <c r="A842" s="244"/>
    </row>
    <row r="843" spans="1:1" ht="12.75">
      <c r="A843" s="244"/>
    </row>
    <row r="844" spans="1:1" ht="12.75">
      <c r="A844" s="244"/>
    </row>
    <row r="845" spans="1:1" ht="12.75">
      <c r="A845" s="244"/>
    </row>
    <row r="846" spans="1:1" ht="12.75">
      <c r="A846" s="244"/>
    </row>
    <row r="847" spans="1:1" ht="12.75">
      <c r="A847" s="244"/>
    </row>
    <row r="848" spans="1:1" ht="12.75">
      <c r="A848" s="244"/>
    </row>
    <row r="849" spans="1:1" ht="12.75">
      <c r="A849" s="244"/>
    </row>
    <row r="850" spans="1:1" ht="12.75">
      <c r="A850" s="244"/>
    </row>
    <row r="851" spans="1:1" ht="12.75">
      <c r="A851" s="244"/>
    </row>
    <row r="852" spans="1:1" ht="12.75">
      <c r="A852" s="244"/>
    </row>
    <row r="853" spans="1:1" ht="12.75">
      <c r="A853" s="244"/>
    </row>
    <row r="854" spans="1:1" ht="12.75">
      <c r="A854" s="244"/>
    </row>
    <row r="855" spans="1:1" ht="12.75">
      <c r="A855" s="244"/>
    </row>
    <row r="856" spans="1:1" ht="12.75">
      <c r="A856" s="244"/>
    </row>
    <row r="857" spans="1:1" ht="12.75">
      <c r="A857" s="244"/>
    </row>
    <row r="858" spans="1:1" ht="12.75">
      <c r="A858" s="244"/>
    </row>
    <row r="859" spans="1:1" ht="12.75">
      <c r="A859" s="244"/>
    </row>
    <row r="860" spans="1:1" ht="12.75">
      <c r="A860" s="244"/>
    </row>
    <row r="861" spans="1:1" ht="12.75">
      <c r="A861" s="244"/>
    </row>
    <row r="862" spans="1:1" ht="12.75">
      <c r="A862" s="244"/>
    </row>
    <row r="863" spans="1:1" ht="12.75">
      <c r="A863" s="244"/>
    </row>
    <row r="864" spans="1:1" ht="12.75">
      <c r="A864" s="244"/>
    </row>
    <row r="865" spans="1:1" ht="12.75">
      <c r="A865" s="244"/>
    </row>
    <row r="866" spans="1:1" ht="12.75">
      <c r="A866" s="244"/>
    </row>
    <row r="867" spans="1:1" ht="12.75">
      <c r="A867" s="244"/>
    </row>
    <row r="868" spans="1:1" ht="12.75">
      <c r="A868" s="244"/>
    </row>
    <row r="869" spans="1:1" ht="12.75">
      <c r="A869" s="244"/>
    </row>
    <row r="870" spans="1:1" ht="12.75">
      <c r="A870" s="244"/>
    </row>
    <row r="871" spans="1:1" ht="12.75">
      <c r="A871" s="244"/>
    </row>
    <row r="872" spans="1:1" ht="12.75">
      <c r="A872" s="244"/>
    </row>
    <row r="873" spans="1:1" ht="12.75">
      <c r="A873" s="244"/>
    </row>
    <row r="874" spans="1:1" ht="12.75">
      <c r="A874" s="244"/>
    </row>
    <row r="875" spans="1:1" ht="12.75">
      <c r="A875" s="244"/>
    </row>
    <row r="876" spans="1:1" ht="12.75">
      <c r="A876" s="244"/>
    </row>
    <row r="877" spans="1:1" ht="12.75">
      <c r="A877" s="244"/>
    </row>
    <row r="878" spans="1:1" ht="12.75">
      <c r="A878" s="244"/>
    </row>
    <row r="879" spans="1:1" ht="12.75">
      <c r="A879" s="244"/>
    </row>
    <row r="880" spans="1:1" ht="12.75">
      <c r="A880" s="244"/>
    </row>
    <row r="881" spans="1:1" ht="12.75">
      <c r="A881" s="244"/>
    </row>
    <row r="882" spans="1:1" ht="12.75">
      <c r="A882" s="244"/>
    </row>
    <row r="883" spans="1:1" ht="12.75">
      <c r="A883" s="244"/>
    </row>
    <row r="884" spans="1:1" ht="12.75">
      <c r="A884" s="244"/>
    </row>
    <row r="885" spans="1:1" ht="12.75">
      <c r="A885" s="244"/>
    </row>
    <row r="886" spans="1:1" ht="12.75">
      <c r="A886" s="244"/>
    </row>
    <row r="887" spans="1:1" ht="12.75">
      <c r="A887" s="244"/>
    </row>
    <row r="888" spans="1:1" ht="12.75">
      <c r="A888" s="244"/>
    </row>
    <row r="889" spans="1:1" ht="12.75">
      <c r="A889" s="244"/>
    </row>
    <row r="890" spans="1:1" ht="12.75">
      <c r="A890" s="244"/>
    </row>
    <row r="891" spans="1:1" ht="12.75">
      <c r="A891" s="244"/>
    </row>
    <row r="892" spans="1:1" ht="12.75">
      <c r="A892" s="244"/>
    </row>
    <row r="893" spans="1:1" ht="12.75">
      <c r="A893" s="244"/>
    </row>
    <row r="894" spans="1:1" ht="12.75">
      <c r="A894" s="244"/>
    </row>
    <row r="895" spans="1:1" ht="12.75">
      <c r="A895" s="244"/>
    </row>
    <row r="896" spans="1:1" ht="12.75">
      <c r="A896" s="244"/>
    </row>
    <row r="897" spans="1:1" ht="12.75">
      <c r="A897" s="244"/>
    </row>
    <row r="898" spans="1:1" ht="12.75">
      <c r="A898" s="244"/>
    </row>
    <row r="899" spans="1:1" ht="12.75">
      <c r="A899" s="244"/>
    </row>
    <row r="900" spans="1:1" ht="12.75">
      <c r="A900" s="244"/>
    </row>
    <row r="901" spans="1:1" ht="12.75">
      <c r="A901" s="244"/>
    </row>
    <row r="902" spans="1:1" ht="12.75">
      <c r="A902" s="244"/>
    </row>
    <row r="903" spans="1:1" ht="12.75">
      <c r="A903" s="244"/>
    </row>
    <row r="904" spans="1:1" ht="12.75">
      <c r="A904" s="244"/>
    </row>
    <row r="905" spans="1:1" ht="12.75">
      <c r="A905" s="244"/>
    </row>
    <row r="906" spans="1:1" ht="12.75">
      <c r="A906" s="244"/>
    </row>
    <row r="907" spans="1:1" ht="12.75">
      <c r="A907" s="244"/>
    </row>
    <row r="908" spans="1:1" ht="12.75">
      <c r="A908" s="244"/>
    </row>
    <row r="909" spans="1:1" ht="12.75">
      <c r="A909" s="244"/>
    </row>
    <row r="910" spans="1:1" ht="12.75">
      <c r="A910" s="244"/>
    </row>
    <row r="911" spans="1:1" ht="12.75">
      <c r="A911" s="244"/>
    </row>
    <row r="912" spans="1:1" ht="12.75">
      <c r="A912" s="244"/>
    </row>
    <row r="913" spans="1:1" ht="12.75">
      <c r="A913" s="244"/>
    </row>
    <row r="914" spans="1:1" ht="12.75">
      <c r="A914" s="244"/>
    </row>
    <row r="915" spans="1:1" ht="12.75">
      <c r="A915" s="244"/>
    </row>
    <row r="916" spans="1:1" ht="12.75">
      <c r="A916" s="244"/>
    </row>
    <row r="917" spans="1:1" ht="12.75">
      <c r="A917" s="244"/>
    </row>
    <row r="918" spans="1:1" ht="12.75">
      <c r="A918" s="244"/>
    </row>
    <row r="919" spans="1:1" ht="12.75">
      <c r="A919" s="244"/>
    </row>
    <row r="920" spans="1:1" ht="12.75">
      <c r="A920" s="244"/>
    </row>
    <row r="921" spans="1:1" ht="12.75">
      <c r="A921" s="244"/>
    </row>
    <row r="922" spans="1:1" ht="12.75">
      <c r="A922" s="244"/>
    </row>
    <row r="923" spans="1:1" ht="12.75">
      <c r="A923" s="244"/>
    </row>
    <row r="924" spans="1:1" ht="12.75">
      <c r="A924" s="244"/>
    </row>
    <row r="925" spans="1:1" ht="12.75">
      <c r="A925" s="244"/>
    </row>
    <row r="926" spans="1:1" ht="12.75">
      <c r="A926" s="244"/>
    </row>
    <row r="927" spans="1:1" ht="12.75">
      <c r="A927" s="244"/>
    </row>
    <row r="928" spans="1:1" ht="12.75">
      <c r="A928" s="244"/>
    </row>
    <row r="929" spans="1:1" ht="12.75">
      <c r="A929" s="244"/>
    </row>
    <row r="930" spans="1:1" ht="12.75">
      <c r="A930" s="244"/>
    </row>
    <row r="931" spans="1:1" ht="12.75">
      <c r="A931" s="244"/>
    </row>
    <row r="932" spans="1:1" ht="12.75">
      <c r="A932" s="244"/>
    </row>
    <row r="933" spans="1:1" ht="12.75">
      <c r="A933" s="244"/>
    </row>
    <row r="934" spans="1:1" ht="12.75">
      <c r="A934" s="244"/>
    </row>
    <row r="935" spans="1:1" ht="12.75">
      <c r="A935" s="244"/>
    </row>
    <row r="936" spans="1:1" ht="12.75">
      <c r="A936" s="244"/>
    </row>
    <row r="937" spans="1:1" ht="12.75">
      <c r="A937" s="244"/>
    </row>
    <row r="938" spans="1:1" ht="12.75">
      <c r="A938" s="244"/>
    </row>
    <row r="939" spans="1:1" ht="12.75">
      <c r="A939" s="244"/>
    </row>
    <row r="940" spans="1:1" ht="12.75">
      <c r="A940" s="244"/>
    </row>
    <row r="941" spans="1:1" ht="12.75">
      <c r="A941" s="244"/>
    </row>
    <row r="942" spans="1:1" ht="12.75">
      <c r="A942" s="244"/>
    </row>
    <row r="943" spans="1:1" ht="12.75">
      <c r="A943" s="244"/>
    </row>
    <row r="944" spans="1:1" ht="12.75">
      <c r="A944" s="244"/>
    </row>
    <row r="945" spans="1:1" ht="12.75">
      <c r="A945" s="244"/>
    </row>
    <row r="946" spans="1:1" ht="12.75">
      <c r="A946" s="244"/>
    </row>
    <row r="947" spans="1:1" ht="12.75">
      <c r="A947" s="244"/>
    </row>
    <row r="948" spans="1:1" ht="12.75">
      <c r="A948" s="244"/>
    </row>
    <row r="949" spans="1:1" ht="12.75">
      <c r="A949" s="244"/>
    </row>
    <row r="950" spans="1:1" ht="12.75">
      <c r="A950" s="244"/>
    </row>
    <row r="951" spans="1:1" ht="12.75">
      <c r="A951" s="244"/>
    </row>
    <row r="952" spans="1:1" ht="12.75">
      <c r="A952" s="244"/>
    </row>
    <row r="953" spans="1:1" ht="12.75">
      <c r="A953" s="244"/>
    </row>
    <row r="954" spans="1:1" ht="12.75">
      <c r="A954" s="244"/>
    </row>
    <row r="955" spans="1:1" ht="12.75">
      <c r="A955" s="244"/>
    </row>
    <row r="956" spans="1:1" ht="12.75">
      <c r="A956" s="244"/>
    </row>
    <row r="957" spans="1:1" ht="12.75">
      <c r="A957" s="244"/>
    </row>
    <row r="958" spans="1:1" ht="12.75">
      <c r="A958" s="244"/>
    </row>
    <row r="959" spans="1:1" ht="12.75">
      <c r="A959" s="244"/>
    </row>
    <row r="960" spans="1:1" ht="12.75">
      <c r="A960" s="244"/>
    </row>
    <row r="961" spans="1:1" ht="12.75">
      <c r="A961" s="244"/>
    </row>
    <row r="962" spans="1:1" ht="12.75">
      <c r="A962" s="244"/>
    </row>
    <row r="963" spans="1:1" ht="12.75">
      <c r="A963" s="244"/>
    </row>
    <row r="964" spans="1:1" ht="12.75">
      <c r="A964" s="244"/>
    </row>
    <row r="965" spans="1:1" ht="12.75">
      <c r="A965" s="244"/>
    </row>
    <row r="966" spans="1:1" ht="12.75">
      <c r="A966" s="244"/>
    </row>
    <row r="967" spans="1:1" ht="12.75">
      <c r="A967" s="244"/>
    </row>
    <row r="968" spans="1:1" ht="12.75">
      <c r="A968" s="244"/>
    </row>
    <row r="969" spans="1:1" ht="12.75">
      <c r="A969" s="244"/>
    </row>
    <row r="970" spans="1:1" ht="12.75">
      <c r="A970" s="244"/>
    </row>
    <row r="971" spans="1:1" ht="12.75">
      <c r="A971" s="244"/>
    </row>
    <row r="972" spans="1:1" ht="12.75">
      <c r="A972" s="244"/>
    </row>
    <row r="973" spans="1:1" ht="12.75">
      <c r="A973" s="244"/>
    </row>
    <row r="974" spans="1:1" ht="12.75">
      <c r="A974" s="244"/>
    </row>
    <row r="975" spans="1:1" ht="12.75">
      <c r="A975" s="244"/>
    </row>
    <row r="976" spans="1:1" ht="12.75">
      <c r="A976" s="244"/>
    </row>
    <row r="977" spans="1:1" ht="12.75">
      <c r="A977" s="244"/>
    </row>
    <row r="978" spans="1:1" ht="12.75">
      <c r="A978" s="244"/>
    </row>
    <row r="979" spans="1:1" ht="12.75">
      <c r="A979" s="244"/>
    </row>
    <row r="980" spans="1:1" ht="12.75">
      <c r="A980" s="244"/>
    </row>
    <row r="981" spans="1:1" ht="12.75">
      <c r="A981" s="244"/>
    </row>
    <row r="982" spans="1:1" ht="12.75">
      <c r="A982" s="244"/>
    </row>
    <row r="983" spans="1:1" ht="12.75">
      <c r="A983" s="244"/>
    </row>
    <row r="984" spans="1:1" ht="12.75">
      <c r="A984" s="244"/>
    </row>
    <row r="985" spans="1:1" ht="12.75">
      <c r="A985" s="244"/>
    </row>
    <row r="986" spans="1:1" ht="12.75">
      <c r="A986" s="244"/>
    </row>
    <row r="987" spans="1:1" ht="12.75">
      <c r="A987" s="244"/>
    </row>
    <row r="988" spans="1:1" ht="12.75">
      <c r="A988" s="244"/>
    </row>
    <row r="989" spans="1:1" ht="12.75">
      <c r="A989" s="244"/>
    </row>
    <row r="990" spans="1:1" ht="12.75">
      <c r="A990" s="244"/>
    </row>
    <row r="991" spans="1:1" ht="12.75">
      <c r="A991" s="244"/>
    </row>
    <row r="992" spans="1:1" ht="12.75">
      <c r="A992" s="244"/>
    </row>
    <row r="993" spans="1:1" ht="12.75">
      <c r="A993" s="244"/>
    </row>
    <row r="994" spans="1:1" ht="12.75">
      <c r="A994" s="244"/>
    </row>
    <row r="995" spans="1:1" ht="12.75">
      <c r="A995" s="244"/>
    </row>
    <row r="996" spans="1:1" ht="12.75">
      <c r="A996" s="244"/>
    </row>
    <row r="997" spans="1:1" ht="12.75">
      <c r="A997" s="244"/>
    </row>
    <row r="998" spans="1:1" ht="12.75">
      <c r="A998" s="244"/>
    </row>
    <row r="999" spans="1:1" ht="12.75">
      <c r="A999" s="244"/>
    </row>
    <row r="1000" spans="1:1" ht="12.75">
      <c r="A1000" s="244"/>
    </row>
  </sheetData>
  <mergeCells count="15">
    <mergeCell ref="B2:B19"/>
    <mergeCell ref="H2:H7"/>
    <mergeCell ref="I2:I7"/>
    <mergeCell ref="J2:J7"/>
    <mergeCell ref="H8:H13"/>
    <mergeCell ref="I8:I13"/>
    <mergeCell ref="J8:J13"/>
    <mergeCell ref="H14:H19"/>
    <mergeCell ref="I14:I19"/>
    <mergeCell ref="J14:J19"/>
    <mergeCell ref="S98:W98"/>
    <mergeCell ref="S26:W26"/>
    <mergeCell ref="S50:W50"/>
    <mergeCell ref="S74:W74"/>
    <mergeCell ref="S2:W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R439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5703125" style="45" bestFit="1" customWidth="1"/>
    <col min="2" max="2" width="12.140625" style="45" bestFit="1" customWidth="1"/>
    <col min="3" max="3" width="24.5703125" style="45" bestFit="1" customWidth="1"/>
    <col min="4" max="4" width="26" style="45" bestFit="1" customWidth="1"/>
    <col min="5" max="5" width="15.28515625" style="45" bestFit="1" customWidth="1"/>
    <col min="6" max="6" width="12.5703125" style="45" bestFit="1" customWidth="1"/>
    <col min="7" max="7" width="10.85546875" style="410" bestFit="1" customWidth="1"/>
    <col min="8" max="8" width="12.140625" style="390" bestFit="1" customWidth="1"/>
    <col min="9" max="9" width="31.28515625" style="45" bestFit="1" customWidth="1"/>
    <col min="10" max="10" width="14.140625" style="211" bestFit="1" customWidth="1"/>
    <col min="12" max="12" width="12.5703125" style="392" bestFit="1" customWidth="1"/>
    <col min="13" max="13" width="25.28515625" style="392" bestFit="1" customWidth="1"/>
    <col min="14" max="14" width="16.140625" style="16" bestFit="1" customWidth="1"/>
    <col min="15" max="15" width="11.5703125" style="16" bestFit="1" customWidth="1"/>
    <col min="17" max="17" width="26.85546875" style="2" bestFit="1" customWidth="1"/>
    <col min="18" max="18" width="24.5703125" style="16" customWidth="1"/>
  </cols>
  <sheetData>
    <row r="1" spans="1:18">
      <c r="A1" s="224" t="s">
        <v>42</v>
      </c>
      <c r="B1" s="224" t="s">
        <v>749</v>
      </c>
      <c r="C1" s="224" t="s">
        <v>43</v>
      </c>
      <c r="D1" s="225" t="s">
        <v>750</v>
      </c>
      <c r="E1" s="225" t="s">
        <v>608</v>
      </c>
      <c r="F1" s="225" t="s">
        <v>1</v>
      </c>
      <c r="G1" s="225" t="s">
        <v>594</v>
      </c>
      <c r="H1" s="226" t="s">
        <v>751</v>
      </c>
      <c r="I1" s="224" t="s">
        <v>596</v>
      </c>
      <c r="J1" s="223"/>
      <c r="L1" s="212" t="s">
        <v>642</v>
      </c>
      <c r="M1" s="212" t="s">
        <v>752</v>
      </c>
      <c r="N1" s="213" t="s">
        <v>753</v>
      </c>
      <c r="O1" s="213" t="s">
        <v>754</v>
      </c>
      <c r="P1" s="26"/>
      <c r="Q1" s="216" t="s">
        <v>755</v>
      </c>
      <c r="R1" s="217" t="s">
        <v>756</v>
      </c>
    </row>
    <row r="2" spans="1:18">
      <c r="A2" s="205" t="s">
        <v>471</v>
      </c>
      <c r="B2" s="205">
        <v>10071775</v>
      </c>
      <c r="C2" s="220" t="s">
        <v>83</v>
      </c>
      <c r="D2" s="206" t="s">
        <v>84</v>
      </c>
      <c r="E2" s="206" t="s">
        <v>85</v>
      </c>
      <c r="F2" s="206" t="s">
        <v>757</v>
      </c>
      <c r="G2" s="629">
        <v>1</v>
      </c>
      <c r="H2" s="207">
        <v>0.6</v>
      </c>
      <c r="I2" s="208"/>
      <c r="J2" s="70"/>
      <c r="L2" s="664">
        <v>10071492</v>
      </c>
      <c r="M2" s="664" t="s">
        <v>241</v>
      </c>
      <c r="N2" s="31" t="str">
        <f t="shared" ref="N2:N12" si="0">IFERROR(AVERAGEIFS($H:$H,$B:$B,$L2),"-")</f>
        <v>-</v>
      </c>
      <c r="O2" s="31">
        <f>IFERROR(AVERAGEIFS($H:$H,$D:$D,$M2),"-")</f>
        <v>0.95849802371541493</v>
      </c>
      <c r="Q2" s="230" t="s">
        <v>758</v>
      </c>
      <c r="R2" s="231">
        <f>AVERAGE($H:$H)</f>
        <v>0.77231572481572508</v>
      </c>
    </row>
    <row r="3" spans="1:18">
      <c r="A3" s="205" t="s">
        <v>446</v>
      </c>
      <c r="B3" s="205">
        <v>10072158</v>
      </c>
      <c r="C3" s="220" t="s">
        <v>83</v>
      </c>
      <c r="D3" s="206" t="s">
        <v>84</v>
      </c>
      <c r="E3" s="206" t="s">
        <v>85</v>
      </c>
      <c r="F3" s="206" t="s">
        <v>757</v>
      </c>
      <c r="G3" s="629">
        <v>1</v>
      </c>
      <c r="H3" s="207">
        <v>0.8</v>
      </c>
      <c r="I3" s="208"/>
      <c r="J3" s="70"/>
      <c r="L3" s="664">
        <v>10071256</v>
      </c>
      <c r="M3" s="664" t="s">
        <v>227</v>
      </c>
      <c r="N3" s="31">
        <f t="shared" si="0"/>
        <v>0.8</v>
      </c>
      <c r="O3" s="31">
        <f t="shared" ref="O3:O12" si="1">IFERROR(AVERAGEIFS($H:$H,$D:$D,$M3),"-")</f>
        <v>0.89583333333333337</v>
      </c>
    </row>
    <row r="4" spans="1:18">
      <c r="A4" s="205" t="s">
        <v>447</v>
      </c>
      <c r="B4" s="205">
        <v>10071899</v>
      </c>
      <c r="C4" s="220" t="s">
        <v>83</v>
      </c>
      <c r="D4" s="206" t="s">
        <v>84</v>
      </c>
      <c r="E4" s="206" t="s">
        <v>85</v>
      </c>
      <c r="F4" s="206" t="s">
        <v>757</v>
      </c>
      <c r="G4" s="629">
        <v>1</v>
      </c>
      <c r="H4" s="207">
        <v>0.9</v>
      </c>
      <c r="I4" s="208"/>
      <c r="J4" s="70"/>
      <c r="L4" s="664">
        <v>10071099</v>
      </c>
      <c r="M4" s="664" t="s">
        <v>214</v>
      </c>
      <c r="N4" s="31">
        <f t="shared" si="0"/>
        <v>0.75</v>
      </c>
      <c r="O4" s="31">
        <f t="shared" si="1"/>
        <v>0.75416666666666654</v>
      </c>
      <c r="Q4" s="216" t="s">
        <v>759</v>
      </c>
      <c r="R4" s="217" t="s">
        <v>756</v>
      </c>
    </row>
    <row r="5" spans="1:18" ht="15" customHeight="1">
      <c r="A5" s="205" t="s">
        <v>462</v>
      </c>
      <c r="B5" s="205">
        <v>10071594</v>
      </c>
      <c r="C5" s="220" t="s">
        <v>83</v>
      </c>
      <c r="D5" s="206" t="s">
        <v>84</v>
      </c>
      <c r="E5" s="206" t="s">
        <v>85</v>
      </c>
      <c r="F5" s="206" t="s">
        <v>757</v>
      </c>
      <c r="G5" s="629">
        <v>1</v>
      </c>
      <c r="H5" s="207">
        <v>0.7</v>
      </c>
      <c r="I5" s="208"/>
      <c r="J5" s="70"/>
      <c r="L5" s="664">
        <v>10071309</v>
      </c>
      <c r="M5" s="664" t="s">
        <v>200</v>
      </c>
      <c r="N5" s="31" t="str">
        <f t="shared" si="0"/>
        <v>-</v>
      </c>
      <c r="O5" s="31">
        <f t="shared" si="1"/>
        <v>0.78076923076923077</v>
      </c>
      <c r="Q5" s="230" t="s">
        <v>123</v>
      </c>
      <c r="R5" s="231">
        <f t="shared" ref="R5:R13" si="2">AVERAGEIFS($H:$H,$C:$C,$Q5)</f>
        <v>0.87021276595744679</v>
      </c>
    </row>
    <row r="6" spans="1:18">
      <c r="A6" s="205" t="s">
        <v>496</v>
      </c>
      <c r="B6" s="205">
        <v>10071592</v>
      </c>
      <c r="C6" s="220" t="s">
        <v>83</v>
      </c>
      <c r="D6" s="206" t="s">
        <v>84</v>
      </c>
      <c r="E6" s="206" t="s">
        <v>85</v>
      </c>
      <c r="F6" s="206" t="s">
        <v>757</v>
      </c>
      <c r="G6" s="629">
        <v>1</v>
      </c>
      <c r="H6" s="207">
        <v>0.8</v>
      </c>
      <c r="I6" s="208"/>
      <c r="J6" s="70"/>
      <c r="L6" s="664">
        <v>10072501</v>
      </c>
      <c r="M6" s="664" t="s">
        <v>186</v>
      </c>
      <c r="N6" s="31">
        <f t="shared" si="0"/>
        <v>0.85000000000000009</v>
      </c>
      <c r="O6" s="31">
        <f t="shared" si="1"/>
        <v>0.73730769230769222</v>
      </c>
      <c r="Q6" s="230" t="s">
        <v>158</v>
      </c>
      <c r="R6" s="231">
        <f t="shared" si="2"/>
        <v>0.95</v>
      </c>
    </row>
    <row r="7" spans="1:18">
      <c r="A7" s="205" t="s">
        <v>499</v>
      </c>
      <c r="B7" s="205">
        <v>10072228</v>
      </c>
      <c r="C7" s="220" t="s">
        <v>83</v>
      </c>
      <c r="D7" s="206" t="s">
        <v>84</v>
      </c>
      <c r="E7" s="206" t="s">
        <v>85</v>
      </c>
      <c r="F7" s="206" t="s">
        <v>757</v>
      </c>
      <c r="G7" s="629">
        <v>1</v>
      </c>
      <c r="H7" s="207">
        <v>0.8</v>
      </c>
      <c r="I7" s="208"/>
      <c r="J7" s="70"/>
      <c r="L7" s="664">
        <v>10072072</v>
      </c>
      <c r="M7" s="664" t="s">
        <v>169</v>
      </c>
      <c r="N7" s="31">
        <f t="shared" si="0"/>
        <v>0.9</v>
      </c>
      <c r="O7" s="31">
        <f t="shared" si="1"/>
        <v>0.74814814814814823</v>
      </c>
      <c r="Q7" s="230" t="s">
        <v>165</v>
      </c>
      <c r="R7" s="231">
        <f t="shared" si="2"/>
        <v>0.91499999999999992</v>
      </c>
    </row>
    <row r="8" spans="1:18">
      <c r="A8" s="205" t="s">
        <v>504</v>
      </c>
      <c r="B8" s="205">
        <v>10072161</v>
      </c>
      <c r="C8" s="220" t="s">
        <v>83</v>
      </c>
      <c r="D8" s="208" t="s">
        <v>84</v>
      </c>
      <c r="E8" s="208" t="s">
        <v>85</v>
      </c>
      <c r="F8" s="206" t="s">
        <v>757</v>
      </c>
      <c r="G8" s="629">
        <v>1</v>
      </c>
      <c r="H8" s="207" t="s">
        <v>14</v>
      </c>
      <c r="I8" s="208" t="s">
        <v>760</v>
      </c>
      <c r="J8" s="70"/>
      <c r="L8" s="664">
        <v>10070715</v>
      </c>
      <c r="M8" s="664" t="s">
        <v>152</v>
      </c>
      <c r="N8" s="31">
        <f t="shared" si="0"/>
        <v>0.7</v>
      </c>
      <c r="O8" s="31">
        <f t="shared" si="1"/>
        <v>0.79250000000000009</v>
      </c>
      <c r="Q8" s="230" t="s">
        <v>87</v>
      </c>
      <c r="R8" s="231">
        <f t="shared" si="2"/>
        <v>0.67878787878787861</v>
      </c>
    </row>
    <row r="9" spans="1:18">
      <c r="A9" s="205" t="s">
        <v>513</v>
      </c>
      <c r="B9" s="205">
        <v>10071147</v>
      </c>
      <c r="C9" s="220" t="s">
        <v>83</v>
      </c>
      <c r="D9" s="205" t="s">
        <v>84</v>
      </c>
      <c r="E9" s="205" t="s">
        <v>85</v>
      </c>
      <c r="F9" s="206" t="s">
        <v>757</v>
      </c>
      <c r="G9" s="629">
        <v>1</v>
      </c>
      <c r="H9" s="207">
        <v>0.7</v>
      </c>
      <c r="I9" s="205"/>
      <c r="J9" s="70"/>
      <c r="L9" s="664">
        <v>10072502</v>
      </c>
      <c r="M9" s="664" t="s">
        <v>137</v>
      </c>
      <c r="N9" s="31">
        <f t="shared" si="0"/>
        <v>0.5</v>
      </c>
      <c r="O9" s="31">
        <f t="shared" si="1"/>
        <v>0.68846153846153846</v>
      </c>
      <c r="Q9" s="230" t="s">
        <v>761</v>
      </c>
      <c r="R9" s="231">
        <f t="shared" si="2"/>
        <v>0.8</v>
      </c>
    </row>
    <row r="10" spans="1:18">
      <c r="A10" s="205" t="s">
        <v>559</v>
      </c>
      <c r="B10" s="205">
        <v>10072105</v>
      </c>
      <c r="C10" s="220" t="s">
        <v>83</v>
      </c>
      <c r="D10" s="206" t="s">
        <v>84</v>
      </c>
      <c r="E10" s="206" t="s">
        <v>85</v>
      </c>
      <c r="F10" s="206" t="s">
        <v>757</v>
      </c>
      <c r="G10" s="629">
        <v>1</v>
      </c>
      <c r="H10" s="207">
        <v>0.8</v>
      </c>
      <c r="I10" s="208"/>
      <c r="J10" s="70"/>
      <c r="L10" s="664">
        <v>10071245</v>
      </c>
      <c r="M10" s="664" t="s">
        <v>124</v>
      </c>
      <c r="N10" s="31">
        <f t="shared" si="0"/>
        <v>0.8</v>
      </c>
      <c r="O10" s="31">
        <f t="shared" si="1"/>
        <v>0.84347826086956534</v>
      </c>
      <c r="Q10" s="230" t="s">
        <v>142</v>
      </c>
      <c r="R10" s="231">
        <f t="shared" si="2"/>
        <v>0.9</v>
      </c>
    </row>
    <row r="11" spans="1:18">
      <c r="A11" s="205" t="s">
        <v>99</v>
      </c>
      <c r="B11" s="205">
        <v>10072206</v>
      </c>
      <c r="C11" s="220" t="s">
        <v>83</v>
      </c>
      <c r="D11" s="206" t="s">
        <v>84</v>
      </c>
      <c r="E11" s="206" t="s">
        <v>85</v>
      </c>
      <c r="F11" s="206" t="s">
        <v>757</v>
      </c>
      <c r="G11" s="629">
        <v>1</v>
      </c>
      <c r="H11" s="207">
        <v>0.5</v>
      </c>
      <c r="I11" s="208"/>
      <c r="J11" s="70"/>
      <c r="L11" s="664">
        <v>10070828</v>
      </c>
      <c r="M11" s="664" t="s">
        <v>105</v>
      </c>
      <c r="N11" s="31" t="str">
        <f t="shared" si="0"/>
        <v>-</v>
      </c>
      <c r="O11" s="31">
        <f t="shared" si="1"/>
        <v>0.64827586206896537</v>
      </c>
      <c r="Q11" s="230" t="s">
        <v>262</v>
      </c>
      <c r="R11" s="231">
        <f t="shared" si="2"/>
        <v>0.69000000000000006</v>
      </c>
    </row>
    <row r="12" spans="1:18">
      <c r="A12" s="205" t="s">
        <v>475</v>
      </c>
      <c r="B12" s="205">
        <v>10072031</v>
      </c>
      <c r="C12" s="220" t="s">
        <v>83</v>
      </c>
      <c r="D12" s="206" t="s">
        <v>84</v>
      </c>
      <c r="E12" s="206" t="s">
        <v>85</v>
      </c>
      <c r="F12" s="206" t="s">
        <v>757</v>
      </c>
      <c r="G12" s="629">
        <v>1</v>
      </c>
      <c r="H12" s="207">
        <v>0.8</v>
      </c>
      <c r="I12" s="208"/>
      <c r="J12" s="70"/>
      <c r="L12" s="664">
        <v>10070655</v>
      </c>
      <c r="M12" s="664" t="s">
        <v>84</v>
      </c>
      <c r="N12" s="31">
        <f t="shared" si="0"/>
        <v>0.2</v>
      </c>
      <c r="O12" s="31">
        <f t="shared" si="1"/>
        <v>0.72692307692307689</v>
      </c>
      <c r="Q12" s="230" t="s">
        <v>265</v>
      </c>
      <c r="R12" s="231">
        <f t="shared" si="2"/>
        <v>0.8</v>
      </c>
    </row>
    <row r="13" spans="1:18">
      <c r="A13" s="205" t="s">
        <v>557</v>
      </c>
      <c r="B13" s="205">
        <v>10070976</v>
      </c>
      <c r="C13" s="220" t="s">
        <v>83</v>
      </c>
      <c r="D13" s="208" t="s">
        <v>84</v>
      </c>
      <c r="E13" s="208" t="s">
        <v>85</v>
      </c>
      <c r="F13" s="206" t="s">
        <v>757</v>
      </c>
      <c r="G13" s="629">
        <v>1</v>
      </c>
      <c r="H13" s="207">
        <v>0.7</v>
      </c>
      <c r="I13" s="208"/>
      <c r="J13" s="70"/>
      <c r="L13" s="2"/>
      <c r="M13" s="2"/>
      <c r="Q13" s="230" t="s">
        <v>83</v>
      </c>
      <c r="R13" s="231">
        <f t="shared" si="2"/>
        <v>0.72264150943396255</v>
      </c>
    </row>
    <row r="14" spans="1:18">
      <c r="A14" s="205" t="s">
        <v>472</v>
      </c>
      <c r="B14" s="205">
        <v>10072063</v>
      </c>
      <c r="C14" s="220" t="s">
        <v>83</v>
      </c>
      <c r="D14" s="206" t="s">
        <v>84</v>
      </c>
      <c r="E14" s="206" t="s">
        <v>85</v>
      </c>
      <c r="F14" s="206" t="s">
        <v>757</v>
      </c>
      <c r="G14" s="629">
        <v>1</v>
      </c>
      <c r="H14" s="207">
        <v>0.8</v>
      </c>
      <c r="I14" s="208"/>
      <c r="J14" s="70"/>
      <c r="L14" s="2"/>
      <c r="M14" s="2"/>
    </row>
    <row r="15" spans="1:18">
      <c r="A15" s="206" t="s">
        <v>561</v>
      </c>
      <c r="B15" s="205">
        <v>10071750</v>
      </c>
      <c r="C15" s="220" t="s">
        <v>83</v>
      </c>
      <c r="D15" s="206" t="s">
        <v>84</v>
      </c>
      <c r="E15" s="206" t="s">
        <v>85</v>
      </c>
      <c r="F15" s="206" t="s">
        <v>757</v>
      </c>
      <c r="G15" s="629">
        <v>1</v>
      </c>
      <c r="H15" s="207">
        <v>0.7</v>
      </c>
      <c r="I15" s="208"/>
      <c r="J15" s="70"/>
      <c r="L15" s="214" t="s">
        <v>642</v>
      </c>
      <c r="M15" s="214" t="s">
        <v>762</v>
      </c>
      <c r="N15" s="215" t="s">
        <v>753</v>
      </c>
      <c r="O15" s="215" t="s">
        <v>754</v>
      </c>
    </row>
    <row r="16" spans="1:18">
      <c r="A16" s="205" t="s">
        <v>420</v>
      </c>
      <c r="B16" s="205">
        <v>10071071</v>
      </c>
      <c r="C16" s="220" t="s">
        <v>87</v>
      </c>
      <c r="D16" s="206" t="s">
        <v>105</v>
      </c>
      <c r="E16" s="206" t="s">
        <v>106</v>
      </c>
      <c r="F16" s="206" t="s">
        <v>757</v>
      </c>
      <c r="G16" s="629">
        <v>1</v>
      </c>
      <c r="H16" s="207">
        <v>0.5</v>
      </c>
      <c r="I16" s="208"/>
      <c r="J16" s="70"/>
      <c r="L16" s="664">
        <v>10072003</v>
      </c>
      <c r="M16" s="664" t="s">
        <v>85</v>
      </c>
      <c r="N16" s="31" t="str">
        <f>IFERROR(AVERAGEIFS($H:$H,$B:$B,$L16),"-")</f>
        <v>-</v>
      </c>
      <c r="O16" s="31">
        <f>AVERAGEIFS($H:$H,$E:$E,M16)</f>
        <v>0.72488095238095251</v>
      </c>
    </row>
    <row r="17" spans="1:15">
      <c r="A17" s="206" t="s">
        <v>445</v>
      </c>
      <c r="B17" s="205">
        <v>10072471</v>
      </c>
      <c r="C17" s="220" t="s">
        <v>87</v>
      </c>
      <c r="D17" s="206" t="s">
        <v>105</v>
      </c>
      <c r="E17" s="206" t="s">
        <v>106</v>
      </c>
      <c r="F17" s="206" t="s">
        <v>757</v>
      </c>
      <c r="G17" s="629">
        <v>1</v>
      </c>
      <c r="H17" s="207">
        <v>0.8</v>
      </c>
      <c r="I17" s="208"/>
      <c r="J17" s="70"/>
      <c r="L17" s="664">
        <v>10071937</v>
      </c>
      <c r="M17" s="664" t="s">
        <v>106</v>
      </c>
      <c r="N17" s="31" t="str">
        <f>IFERROR(AVERAGEIFS($H:$H,$B:$B,$L17),"-")</f>
        <v>-</v>
      </c>
      <c r="O17" s="31">
        <f>AVERAGEIFS($H:$H,$E:$E,M17)</f>
        <v>0.82471315092674291</v>
      </c>
    </row>
    <row r="18" spans="1:15">
      <c r="A18" s="206" t="s">
        <v>480</v>
      </c>
      <c r="B18" s="205">
        <v>10072182</v>
      </c>
      <c r="C18" s="220" t="s">
        <v>87</v>
      </c>
      <c r="D18" s="206" t="s">
        <v>105</v>
      </c>
      <c r="E18" s="206" t="s">
        <v>106</v>
      </c>
      <c r="F18" s="206" t="s">
        <v>757</v>
      </c>
      <c r="G18" s="629">
        <v>1</v>
      </c>
      <c r="H18" s="207">
        <v>0.5</v>
      </c>
      <c r="I18" s="208"/>
      <c r="J18" s="70"/>
      <c r="L18" s="664">
        <v>7010609</v>
      </c>
      <c r="M18" s="664" t="s">
        <v>170</v>
      </c>
      <c r="N18" s="31" t="str">
        <f>IFERROR(AVERAGEIFS($H:$H,$B:$B,$L18),"-")</f>
        <v>-</v>
      </c>
      <c r="O18" s="31">
        <f>AVERAGEIFS($H:$H,$E:$E,M18)</f>
        <v>0.75935779816513793</v>
      </c>
    </row>
    <row r="19" spans="1:15">
      <c r="A19" s="206" t="s">
        <v>484</v>
      </c>
      <c r="B19" s="205">
        <v>10072222</v>
      </c>
      <c r="C19" s="220" t="s">
        <v>87</v>
      </c>
      <c r="D19" s="206" t="s">
        <v>105</v>
      </c>
      <c r="E19" s="206" t="s">
        <v>106</v>
      </c>
      <c r="F19" s="206" t="s">
        <v>757</v>
      </c>
      <c r="G19" s="629">
        <v>1</v>
      </c>
      <c r="H19" s="207">
        <v>0.7</v>
      </c>
      <c r="I19" s="208"/>
      <c r="J19" s="70"/>
      <c r="L19" s="2"/>
      <c r="M19" s="2"/>
    </row>
    <row r="20" spans="1:15">
      <c r="A20" s="206" t="s">
        <v>493</v>
      </c>
      <c r="B20" s="205">
        <v>10072472</v>
      </c>
      <c r="C20" s="220" t="s">
        <v>87</v>
      </c>
      <c r="D20" s="206" t="s">
        <v>105</v>
      </c>
      <c r="E20" s="206" t="s">
        <v>106</v>
      </c>
      <c r="F20" s="206" t="s">
        <v>757</v>
      </c>
      <c r="G20" s="629">
        <v>1</v>
      </c>
      <c r="H20" s="207">
        <v>0.7</v>
      </c>
      <c r="I20" s="208"/>
      <c r="J20" s="70"/>
      <c r="L20" s="2"/>
      <c r="M20" s="2"/>
    </row>
    <row r="21" spans="1:15">
      <c r="A21" s="206" t="s">
        <v>512</v>
      </c>
      <c r="B21" s="205">
        <v>10072069</v>
      </c>
      <c r="C21" s="220" t="s">
        <v>87</v>
      </c>
      <c r="D21" s="206" t="s">
        <v>105</v>
      </c>
      <c r="E21" s="206" t="s">
        <v>106</v>
      </c>
      <c r="F21" s="206" t="s">
        <v>757</v>
      </c>
      <c r="G21" s="629">
        <v>1</v>
      </c>
      <c r="H21" s="207" t="s">
        <v>14</v>
      </c>
      <c r="I21" s="208" t="s">
        <v>763</v>
      </c>
      <c r="J21" s="70"/>
      <c r="L21" s="2"/>
      <c r="M21" s="2"/>
    </row>
    <row r="22" spans="1:15">
      <c r="A22" s="206" t="s">
        <v>517</v>
      </c>
      <c r="B22" s="206">
        <v>10072097</v>
      </c>
      <c r="C22" s="605" t="s">
        <v>87</v>
      </c>
      <c r="D22" s="206" t="s">
        <v>105</v>
      </c>
      <c r="E22" s="206" t="s">
        <v>106</v>
      </c>
      <c r="F22" s="206" t="s">
        <v>757</v>
      </c>
      <c r="G22" s="629">
        <v>1</v>
      </c>
      <c r="H22" s="207">
        <v>0.8</v>
      </c>
      <c r="I22" s="206"/>
      <c r="J22" s="70"/>
      <c r="L22"/>
      <c r="M22"/>
      <c r="N22"/>
      <c r="O22"/>
    </row>
    <row r="23" spans="1:15" ht="15" customHeight="1">
      <c r="A23" s="206" t="s">
        <v>521</v>
      </c>
      <c r="B23" s="205">
        <v>10072077</v>
      </c>
      <c r="C23" s="220" t="s">
        <v>87</v>
      </c>
      <c r="D23" s="206" t="s">
        <v>105</v>
      </c>
      <c r="E23" s="206" t="s">
        <v>106</v>
      </c>
      <c r="F23" s="206" t="s">
        <v>757</v>
      </c>
      <c r="G23" s="629">
        <v>1</v>
      </c>
      <c r="H23" s="207">
        <v>0.7</v>
      </c>
      <c r="I23" s="208"/>
      <c r="J23" s="70"/>
      <c r="L23"/>
      <c r="M23"/>
      <c r="N23"/>
      <c r="O23"/>
    </row>
    <row r="24" spans="1:15" ht="15" customHeight="1">
      <c r="A24" s="206" t="s">
        <v>527</v>
      </c>
      <c r="B24" s="205">
        <v>10071617</v>
      </c>
      <c r="C24" s="220" t="s">
        <v>87</v>
      </c>
      <c r="D24" s="206" t="s">
        <v>105</v>
      </c>
      <c r="E24" s="206" t="s">
        <v>106</v>
      </c>
      <c r="F24" s="206" t="s">
        <v>757</v>
      </c>
      <c r="G24" s="629">
        <v>1</v>
      </c>
      <c r="H24" s="207">
        <v>0.6</v>
      </c>
      <c r="I24" s="208"/>
      <c r="J24" s="70"/>
      <c r="L24" s="2"/>
      <c r="M24" s="2"/>
    </row>
    <row r="25" spans="1:15" ht="15" customHeight="1">
      <c r="A25" s="206" t="s">
        <v>528</v>
      </c>
      <c r="B25" s="205">
        <v>10072215</v>
      </c>
      <c r="C25" s="220" t="s">
        <v>87</v>
      </c>
      <c r="D25" s="206" t="s">
        <v>105</v>
      </c>
      <c r="E25" s="206" t="s">
        <v>106</v>
      </c>
      <c r="F25" s="206" t="s">
        <v>757</v>
      </c>
      <c r="G25" s="629">
        <v>1</v>
      </c>
      <c r="H25" s="207">
        <v>0.5</v>
      </c>
      <c r="I25" s="208"/>
      <c r="J25" s="70"/>
      <c r="L25" s="2"/>
      <c r="M25" s="2"/>
    </row>
    <row r="26" spans="1:15" ht="15" customHeight="1">
      <c r="A26" s="206" t="s">
        <v>536</v>
      </c>
      <c r="B26" s="205">
        <v>10072213</v>
      </c>
      <c r="C26" s="220" t="s">
        <v>87</v>
      </c>
      <c r="D26" s="206" t="s">
        <v>105</v>
      </c>
      <c r="E26" s="206" t="s">
        <v>106</v>
      </c>
      <c r="F26" s="206" t="s">
        <v>757</v>
      </c>
      <c r="G26" s="629">
        <v>1</v>
      </c>
      <c r="H26" s="207">
        <v>0.6</v>
      </c>
      <c r="I26" s="208"/>
      <c r="J26" s="70"/>
      <c r="L26" s="2"/>
      <c r="M26" s="2"/>
    </row>
    <row r="27" spans="1:15" ht="15" customHeight="1">
      <c r="A27" s="206" t="s">
        <v>550</v>
      </c>
      <c r="B27" s="205">
        <v>10071055</v>
      </c>
      <c r="C27" s="220" t="s">
        <v>87</v>
      </c>
      <c r="D27" s="206" t="s">
        <v>105</v>
      </c>
      <c r="E27" s="206" t="s">
        <v>106</v>
      </c>
      <c r="F27" s="206" t="s">
        <v>757</v>
      </c>
      <c r="G27" s="629">
        <v>1</v>
      </c>
      <c r="H27" s="207">
        <v>0.6</v>
      </c>
      <c r="I27" s="208"/>
      <c r="J27" s="70"/>
      <c r="L27" s="2"/>
      <c r="M27" s="2"/>
    </row>
    <row r="28" spans="1:15" ht="15" customHeight="1">
      <c r="A28" s="206" t="s">
        <v>552</v>
      </c>
      <c r="B28" s="205">
        <v>10070996</v>
      </c>
      <c r="C28" s="220" t="s">
        <v>87</v>
      </c>
      <c r="D28" s="206" t="s">
        <v>105</v>
      </c>
      <c r="E28" s="206" t="s">
        <v>106</v>
      </c>
      <c r="F28" s="206" t="s">
        <v>757</v>
      </c>
      <c r="G28" s="629">
        <v>1</v>
      </c>
      <c r="H28" s="207">
        <v>0.8</v>
      </c>
      <c r="I28" s="208"/>
      <c r="J28" s="70"/>
      <c r="L28" s="2"/>
      <c r="M28" s="2"/>
    </row>
    <row r="29" spans="1:15" ht="15" customHeight="1">
      <c r="A29" s="206" t="s">
        <v>558</v>
      </c>
      <c r="B29" s="205">
        <v>10072184</v>
      </c>
      <c r="C29" s="220" t="s">
        <v>87</v>
      </c>
      <c r="D29" s="206" t="s">
        <v>105</v>
      </c>
      <c r="E29" s="206" t="s">
        <v>106</v>
      </c>
      <c r="F29" s="206" t="s">
        <v>757</v>
      </c>
      <c r="G29" s="629">
        <v>1</v>
      </c>
      <c r="H29" s="207">
        <v>0.5</v>
      </c>
      <c r="I29" s="208"/>
      <c r="J29" s="70"/>
      <c r="L29" s="2"/>
      <c r="M29" s="2"/>
    </row>
    <row r="30" spans="1:15" ht="15" customHeight="1">
      <c r="A30" s="206" t="s">
        <v>120</v>
      </c>
      <c r="B30" s="205">
        <v>10071355</v>
      </c>
      <c r="C30" s="220" t="s">
        <v>87</v>
      </c>
      <c r="D30" s="206" t="s">
        <v>105</v>
      </c>
      <c r="E30" s="206" t="s">
        <v>106</v>
      </c>
      <c r="F30" s="206" t="s">
        <v>757</v>
      </c>
      <c r="G30" s="629">
        <v>1</v>
      </c>
      <c r="H30" s="207">
        <v>0.3</v>
      </c>
      <c r="I30" s="208"/>
      <c r="J30" s="70"/>
      <c r="L30" s="2"/>
      <c r="M30" s="2"/>
    </row>
    <row r="31" spans="1:15" ht="15" customHeight="1">
      <c r="A31" s="206" t="s">
        <v>121</v>
      </c>
      <c r="B31" s="205">
        <v>10072007</v>
      </c>
      <c r="C31" s="220" t="s">
        <v>87</v>
      </c>
      <c r="D31" s="208" t="s">
        <v>105</v>
      </c>
      <c r="E31" s="208" t="s">
        <v>106</v>
      </c>
      <c r="F31" s="206" t="s">
        <v>757</v>
      </c>
      <c r="G31" s="629">
        <v>1</v>
      </c>
      <c r="H31" s="207">
        <v>0.6</v>
      </c>
      <c r="I31" s="208"/>
      <c r="J31" s="70"/>
      <c r="L31" s="2"/>
      <c r="M31" s="2"/>
    </row>
    <row r="32" spans="1:15" ht="15" customHeight="1">
      <c r="A32" s="206" t="s">
        <v>421</v>
      </c>
      <c r="B32" s="205">
        <v>10072156</v>
      </c>
      <c r="C32" s="220" t="s">
        <v>123</v>
      </c>
      <c r="D32" s="206" t="s">
        <v>124</v>
      </c>
      <c r="E32" s="206" t="s">
        <v>106</v>
      </c>
      <c r="F32" s="206" t="s">
        <v>757</v>
      </c>
      <c r="G32" s="629">
        <v>1</v>
      </c>
      <c r="H32" s="207">
        <v>0.8</v>
      </c>
      <c r="I32" s="208"/>
      <c r="J32" s="70"/>
      <c r="L32" s="2"/>
      <c r="M32" s="2"/>
    </row>
    <row r="33" spans="1:13" ht="15" customHeight="1">
      <c r="A33" s="206" t="s">
        <v>424</v>
      </c>
      <c r="B33" s="205">
        <v>10072237</v>
      </c>
      <c r="C33" s="220" t="s">
        <v>123</v>
      </c>
      <c r="D33" s="206" t="s">
        <v>124</v>
      </c>
      <c r="E33" s="206" t="s">
        <v>106</v>
      </c>
      <c r="F33" s="206" t="s">
        <v>757</v>
      </c>
      <c r="G33" s="629">
        <v>1</v>
      </c>
      <c r="H33" s="207">
        <v>0.6</v>
      </c>
      <c r="I33" s="208"/>
      <c r="J33" s="70"/>
      <c r="L33" s="2"/>
      <c r="M33" s="2"/>
    </row>
    <row r="34" spans="1:13" ht="15" customHeight="1">
      <c r="A34" s="206" t="s">
        <v>227</v>
      </c>
      <c r="B34" s="205">
        <v>10071256</v>
      </c>
      <c r="C34" s="220" t="s">
        <v>265</v>
      </c>
      <c r="D34" s="206" t="s">
        <v>106</v>
      </c>
      <c r="E34" s="206" t="s">
        <v>106</v>
      </c>
      <c r="F34" s="206" t="s">
        <v>757</v>
      </c>
      <c r="G34" s="629">
        <v>1</v>
      </c>
      <c r="H34" s="207" t="s">
        <v>14</v>
      </c>
      <c r="I34" s="208" t="s">
        <v>764</v>
      </c>
      <c r="J34" s="70"/>
      <c r="L34" s="2"/>
      <c r="M34" s="2"/>
    </row>
    <row r="35" spans="1:13" ht="15" customHeight="1">
      <c r="A35" s="206" t="s">
        <v>434</v>
      </c>
      <c r="B35" s="205">
        <v>10072512</v>
      </c>
      <c r="C35" s="220" t="s">
        <v>123</v>
      </c>
      <c r="D35" s="206" t="s">
        <v>227</v>
      </c>
      <c r="E35" s="206" t="s">
        <v>106</v>
      </c>
      <c r="F35" s="206" t="s">
        <v>757</v>
      </c>
      <c r="G35" s="629">
        <v>1</v>
      </c>
      <c r="H35" s="207" t="s">
        <v>14</v>
      </c>
      <c r="I35" s="208" t="s">
        <v>764</v>
      </c>
      <c r="J35" s="70"/>
      <c r="L35" s="2"/>
      <c r="M35" s="2"/>
    </row>
    <row r="36" spans="1:13" ht="15" customHeight="1">
      <c r="A36" s="206" t="s">
        <v>438</v>
      </c>
      <c r="B36" s="205">
        <v>10071904</v>
      </c>
      <c r="C36" s="220" t="s">
        <v>123</v>
      </c>
      <c r="D36" s="206" t="s">
        <v>124</v>
      </c>
      <c r="E36" s="206" t="s">
        <v>106</v>
      </c>
      <c r="F36" s="206" t="s">
        <v>757</v>
      </c>
      <c r="G36" s="629">
        <v>1</v>
      </c>
      <c r="H36" s="207">
        <v>0.9</v>
      </c>
      <c r="I36" s="208"/>
      <c r="J36" s="70"/>
      <c r="L36" s="2"/>
      <c r="M36" s="2"/>
    </row>
    <row r="37" spans="1:13" ht="15" customHeight="1">
      <c r="A37" s="206" t="s">
        <v>440</v>
      </c>
      <c r="B37" s="205">
        <v>10072224</v>
      </c>
      <c r="C37" s="220" t="s">
        <v>123</v>
      </c>
      <c r="D37" s="206" t="s">
        <v>227</v>
      </c>
      <c r="E37" s="206" t="s">
        <v>106</v>
      </c>
      <c r="F37" s="206" t="s">
        <v>757</v>
      </c>
      <c r="G37" s="629">
        <v>1</v>
      </c>
      <c r="H37" s="207">
        <v>1</v>
      </c>
      <c r="I37" s="208"/>
      <c r="J37" s="70"/>
      <c r="L37" s="2"/>
      <c r="M37" s="2"/>
    </row>
    <row r="38" spans="1:13" ht="15" customHeight="1">
      <c r="A38" s="206" t="s">
        <v>451</v>
      </c>
      <c r="B38" s="205">
        <v>10071278</v>
      </c>
      <c r="C38" s="220" t="s">
        <v>123</v>
      </c>
      <c r="D38" s="206" t="s">
        <v>124</v>
      </c>
      <c r="E38" s="206" t="s">
        <v>106</v>
      </c>
      <c r="F38" s="206" t="s">
        <v>757</v>
      </c>
      <c r="G38" s="629">
        <v>1</v>
      </c>
      <c r="H38" s="207">
        <v>0.8</v>
      </c>
      <c r="I38" s="208"/>
      <c r="J38" s="70"/>
      <c r="L38" s="2"/>
      <c r="M38" s="2"/>
    </row>
    <row r="39" spans="1:13" ht="15" customHeight="1">
      <c r="A39" s="206" t="s">
        <v>454</v>
      </c>
      <c r="B39" s="205">
        <v>10071356</v>
      </c>
      <c r="C39" s="220" t="s">
        <v>123</v>
      </c>
      <c r="D39" s="206" t="s">
        <v>227</v>
      </c>
      <c r="E39" s="206" t="s">
        <v>106</v>
      </c>
      <c r="F39" s="206" t="s">
        <v>757</v>
      </c>
      <c r="G39" s="629">
        <v>1</v>
      </c>
      <c r="H39" s="207">
        <v>1</v>
      </c>
      <c r="I39" s="208"/>
      <c r="J39" s="70"/>
      <c r="L39" s="2"/>
      <c r="M39" s="2"/>
    </row>
    <row r="40" spans="1:13" ht="15" customHeight="1">
      <c r="A40" s="206" t="s">
        <v>456</v>
      </c>
      <c r="B40" s="205">
        <v>10072032</v>
      </c>
      <c r="C40" s="220" t="s">
        <v>123</v>
      </c>
      <c r="D40" s="206" t="s">
        <v>227</v>
      </c>
      <c r="E40" s="206" t="s">
        <v>106</v>
      </c>
      <c r="F40" s="206" t="s">
        <v>757</v>
      </c>
      <c r="G40" s="629">
        <v>1</v>
      </c>
      <c r="H40" s="207">
        <v>0.8</v>
      </c>
      <c r="I40" s="208"/>
      <c r="J40" s="70"/>
      <c r="L40" s="2"/>
      <c r="M40" s="2"/>
    </row>
    <row r="41" spans="1:13" ht="15" customHeight="1">
      <c r="A41" s="206" t="s">
        <v>461</v>
      </c>
      <c r="B41" s="205">
        <v>10072207</v>
      </c>
      <c r="C41" s="220" t="s">
        <v>123</v>
      </c>
      <c r="D41" s="206" t="s">
        <v>124</v>
      </c>
      <c r="E41" s="206" t="s">
        <v>106</v>
      </c>
      <c r="F41" s="206" t="s">
        <v>757</v>
      </c>
      <c r="G41" s="629">
        <v>1</v>
      </c>
      <c r="H41" s="207">
        <v>0.7</v>
      </c>
      <c r="I41" s="208"/>
      <c r="J41" s="70"/>
      <c r="L41" s="2"/>
      <c r="M41" s="2"/>
    </row>
    <row r="42" spans="1:13" ht="15" customHeight="1">
      <c r="A42" s="206" t="s">
        <v>463</v>
      </c>
      <c r="B42" s="205">
        <v>10071198</v>
      </c>
      <c r="C42" s="220" t="s">
        <v>123</v>
      </c>
      <c r="D42" s="206" t="s">
        <v>124</v>
      </c>
      <c r="E42" s="206" t="s">
        <v>106</v>
      </c>
      <c r="F42" s="206" t="s">
        <v>757</v>
      </c>
      <c r="G42" s="629">
        <v>1</v>
      </c>
      <c r="H42" s="207">
        <v>1</v>
      </c>
      <c r="I42" s="208"/>
      <c r="J42" s="70"/>
      <c r="L42" s="2"/>
      <c r="M42" s="2"/>
    </row>
    <row r="43" spans="1:13" ht="15" customHeight="1">
      <c r="A43" s="206" t="s">
        <v>465</v>
      </c>
      <c r="B43" s="205">
        <v>10071908</v>
      </c>
      <c r="C43" s="220" t="s">
        <v>123</v>
      </c>
      <c r="D43" s="208" t="s">
        <v>227</v>
      </c>
      <c r="E43" s="208" t="s">
        <v>106</v>
      </c>
      <c r="F43" s="206" t="s">
        <v>757</v>
      </c>
      <c r="G43" s="629">
        <v>1</v>
      </c>
      <c r="H43" s="207">
        <v>1</v>
      </c>
      <c r="I43" s="208"/>
      <c r="J43" s="70"/>
      <c r="L43" s="2"/>
      <c r="M43" s="2"/>
    </row>
    <row r="44" spans="1:13" ht="15" customHeight="1">
      <c r="A44" s="206" t="s">
        <v>425</v>
      </c>
      <c r="B44" s="205">
        <v>10072201</v>
      </c>
      <c r="C44" s="220" t="s">
        <v>83</v>
      </c>
      <c r="D44" s="206" t="s">
        <v>137</v>
      </c>
      <c r="E44" s="206" t="s">
        <v>85</v>
      </c>
      <c r="F44" s="206" t="s">
        <v>757</v>
      </c>
      <c r="G44" s="629">
        <v>1</v>
      </c>
      <c r="H44" s="207">
        <v>0.7</v>
      </c>
      <c r="I44" s="208"/>
      <c r="J44" s="70"/>
      <c r="L44" s="2"/>
      <c r="M44" s="2"/>
    </row>
    <row r="45" spans="1:13" ht="15" customHeight="1">
      <c r="A45" s="206" t="s">
        <v>426</v>
      </c>
      <c r="B45" s="205">
        <v>10071631</v>
      </c>
      <c r="C45" s="220" t="s">
        <v>83</v>
      </c>
      <c r="D45" s="206" t="s">
        <v>137</v>
      </c>
      <c r="E45" s="206" t="s">
        <v>85</v>
      </c>
      <c r="F45" s="206" t="s">
        <v>757</v>
      </c>
      <c r="G45" s="629">
        <v>1</v>
      </c>
      <c r="H45" s="207">
        <v>0.5</v>
      </c>
      <c r="I45" s="208"/>
      <c r="J45" s="70"/>
      <c r="L45" s="2"/>
      <c r="M45" s="2"/>
    </row>
    <row r="46" spans="1:13" ht="15" customHeight="1">
      <c r="A46" s="206" t="s">
        <v>437</v>
      </c>
      <c r="B46" s="205">
        <v>10072157</v>
      </c>
      <c r="C46" s="220" t="s">
        <v>83</v>
      </c>
      <c r="D46" s="206" t="s">
        <v>137</v>
      </c>
      <c r="E46" s="206" t="s">
        <v>85</v>
      </c>
      <c r="F46" s="206" t="s">
        <v>757</v>
      </c>
      <c r="G46" s="629">
        <v>1</v>
      </c>
      <c r="H46" s="207">
        <v>0.9</v>
      </c>
      <c r="I46" s="208"/>
      <c r="J46" s="70"/>
      <c r="L46" s="2"/>
      <c r="M46" s="2"/>
    </row>
    <row r="47" spans="1:13" ht="15" customHeight="1">
      <c r="A47" s="206" t="s">
        <v>442</v>
      </c>
      <c r="B47" s="205">
        <v>10071958</v>
      </c>
      <c r="C47" s="220" t="s">
        <v>83</v>
      </c>
      <c r="D47" s="206" t="s">
        <v>137</v>
      </c>
      <c r="E47" s="206" t="s">
        <v>85</v>
      </c>
      <c r="F47" s="206" t="s">
        <v>757</v>
      </c>
      <c r="G47" s="629">
        <v>1</v>
      </c>
      <c r="H47" s="207">
        <v>0.8</v>
      </c>
      <c r="I47" s="208"/>
      <c r="J47" s="70"/>
      <c r="L47" s="2"/>
      <c r="M47" s="2"/>
    </row>
    <row r="48" spans="1:13" ht="15" customHeight="1">
      <c r="A48" s="206" t="s">
        <v>470</v>
      </c>
      <c r="B48" s="205">
        <v>10071039</v>
      </c>
      <c r="C48" s="220" t="s">
        <v>142</v>
      </c>
      <c r="D48" s="206" t="s">
        <v>137</v>
      </c>
      <c r="E48" s="206" t="s">
        <v>85</v>
      </c>
      <c r="F48" s="206" t="s">
        <v>757</v>
      </c>
      <c r="G48" s="629">
        <v>1</v>
      </c>
      <c r="H48" s="207">
        <v>0.7</v>
      </c>
      <c r="I48" s="208"/>
      <c r="J48" s="70"/>
      <c r="L48" s="2"/>
      <c r="M48" s="2"/>
    </row>
    <row r="49" spans="1:13" ht="15" customHeight="1">
      <c r="A49" s="206" t="s">
        <v>476</v>
      </c>
      <c r="B49" s="205">
        <v>10071261</v>
      </c>
      <c r="C49" s="220" t="s">
        <v>83</v>
      </c>
      <c r="D49" s="206" t="s">
        <v>137</v>
      </c>
      <c r="E49" s="206" t="s">
        <v>85</v>
      </c>
      <c r="F49" s="206" t="s">
        <v>757</v>
      </c>
      <c r="G49" s="629">
        <v>1</v>
      </c>
      <c r="H49" s="207">
        <v>0.7</v>
      </c>
      <c r="I49" s="208"/>
      <c r="J49" s="70"/>
      <c r="L49" s="2"/>
      <c r="M49" s="2"/>
    </row>
    <row r="50" spans="1:13" ht="15" customHeight="1">
      <c r="A50" s="206" t="s">
        <v>477</v>
      </c>
      <c r="B50" s="205">
        <v>10071751</v>
      </c>
      <c r="C50" s="220" t="s">
        <v>83</v>
      </c>
      <c r="D50" s="206" t="s">
        <v>137</v>
      </c>
      <c r="E50" s="206" t="s">
        <v>85</v>
      </c>
      <c r="F50" s="206" t="s">
        <v>757</v>
      </c>
      <c r="G50" s="629">
        <v>1</v>
      </c>
      <c r="H50" s="207">
        <v>0.8</v>
      </c>
      <c r="I50" s="208"/>
      <c r="J50" s="70"/>
      <c r="L50" s="2"/>
      <c r="M50" s="2"/>
    </row>
    <row r="51" spans="1:13" ht="15" customHeight="1">
      <c r="A51" s="218" t="s">
        <v>487</v>
      </c>
      <c r="B51" s="205">
        <v>10072238</v>
      </c>
      <c r="C51" s="220" t="s">
        <v>83</v>
      </c>
      <c r="D51" s="208" t="s">
        <v>137</v>
      </c>
      <c r="E51" s="208" t="s">
        <v>85</v>
      </c>
      <c r="F51" s="206" t="s">
        <v>757</v>
      </c>
      <c r="G51" s="629">
        <v>1</v>
      </c>
      <c r="H51" s="207">
        <v>0.8</v>
      </c>
      <c r="I51" s="208"/>
      <c r="J51" s="70"/>
      <c r="L51" s="2"/>
      <c r="M51" s="2"/>
    </row>
    <row r="52" spans="1:13" ht="15" customHeight="1">
      <c r="A52" s="206" t="s">
        <v>495</v>
      </c>
      <c r="B52" s="205">
        <v>10071275</v>
      </c>
      <c r="C52" s="220" t="s">
        <v>83</v>
      </c>
      <c r="D52" s="206" t="s">
        <v>137</v>
      </c>
      <c r="E52" s="206" t="s">
        <v>85</v>
      </c>
      <c r="F52" s="206" t="s">
        <v>757</v>
      </c>
      <c r="G52" s="629">
        <v>1</v>
      </c>
      <c r="H52" s="207">
        <v>0.4</v>
      </c>
      <c r="I52" s="208"/>
      <c r="J52" s="70"/>
      <c r="L52" s="2"/>
      <c r="M52" s="2"/>
    </row>
    <row r="53" spans="1:13" ht="15" customHeight="1">
      <c r="A53" s="206" t="s">
        <v>523</v>
      </c>
      <c r="B53" s="205">
        <v>10072233</v>
      </c>
      <c r="C53" s="220" t="s">
        <v>83</v>
      </c>
      <c r="D53" s="208" t="s">
        <v>137</v>
      </c>
      <c r="E53" s="208" t="s">
        <v>85</v>
      </c>
      <c r="F53" s="206" t="s">
        <v>757</v>
      </c>
      <c r="G53" s="629">
        <v>1</v>
      </c>
      <c r="H53" s="207">
        <v>0.7</v>
      </c>
      <c r="I53" s="208"/>
      <c r="J53" s="70"/>
      <c r="L53" s="2"/>
      <c r="M53" s="2"/>
    </row>
    <row r="54" spans="1:13" ht="15" customHeight="1">
      <c r="A54" s="206" t="s">
        <v>491</v>
      </c>
      <c r="B54" s="205">
        <v>10072026</v>
      </c>
      <c r="C54" s="220" t="s">
        <v>83</v>
      </c>
      <c r="D54" s="206" t="s">
        <v>137</v>
      </c>
      <c r="E54" s="206" t="s">
        <v>85</v>
      </c>
      <c r="F54" s="206" t="s">
        <v>757</v>
      </c>
      <c r="G54" s="629">
        <v>1</v>
      </c>
      <c r="H54" s="207">
        <v>0.5</v>
      </c>
      <c r="I54" s="208"/>
      <c r="J54" s="70"/>
      <c r="L54" s="2"/>
      <c r="M54" s="2"/>
    </row>
    <row r="55" spans="1:13" ht="15" customHeight="1">
      <c r="A55" s="205" t="s">
        <v>435</v>
      </c>
      <c r="B55" s="205">
        <v>10072179</v>
      </c>
      <c r="C55" s="220" t="s">
        <v>83</v>
      </c>
      <c r="D55" s="206" t="s">
        <v>137</v>
      </c>
      <c r="E55" s="206" t="s">
        <v>85</v>
      </c>
      <c r="F55" s="206" t="s">
        <v>757</v>
      </c>
      <c r="G55" s="629">
        <v>1</v>
      </c>
      <c r="H55" s="207">
        <v>0.6</v>
      </c>
      <c r="I55" s="208"/>
      <c r="J55" s="70"/>
      <c r="L55" s="2"/>
      <c r="M55" s="2"/>
    </row>
    <row r="56" spans="1:13" ht="15" customHeight="1">
      <c r="A56" s="206" t="s">
        <v>150</v>
      </c>
      <c r="B56" s="205">
        <v>10072159</v>
      </c>
      <c r="C56" s="220" t="s">
        <v>83</v>
      </c>
      <c r="D56" s="206" t="s">
        <v>137</v>
      </c>
      <c r="E56" s="206" t="s">
        <v>85</v>
      </c>
      <c r="F56" s="206" t="s">
        <v>757</v>
      </c>
      <c r="G56" s="629">
        <v>1</v>
      </c>
      <c r="H56" s="207">
        <v>0.7</v>
      </c>
      <c r="I56" s="208"/>
      <c r="J56" s="70"/>
      <c r="L56" s="2"/>
      <c r="M56" s="2"/>
    </row>
    <row r="57" spans="1:13" ht="15" customHeight="1">
      <c r="A57" s="206" t="s">
        <v>432</v>
      </c>
      <c r="B57" s="205">
        <v>10072155</v>
      </c>
      <c r="C57" s="220" t="s">
        <v>83</v>
      </c>
      <c r="D57" s="206" t="s">
        <v>152</v>
      </c>
      <c r="E57" s="206" t="s">
        <v>85</v>
      </c>
      <c r="F57" s="206" t="s">
        <v>757</v>
      </c>
      <c r="G57" s="629">
        <v>1</v>
      </c>
      <c r="H57" s="207">
        <v>0.5</v>
      </c>
      <c r="I57" s="208"/>
      <c r="J57" s="70"/>
      <c r="L57" s="2"/>
      <c r="M57" s="2"/>
    </row>
    <row r="58" spans="1:13" ht="15" customHeight="1">
      <c r="A58" s="206" t="s">
        <v>460</v>
      </c>
      <c r="B58" s="205">
        <v>10072451</v>
      </c>
      <c r="C58" s="220" t="s">
        <v>83</v>
      </c>
      <c r="D58" s="208" t="s">
        <v>152</v>
      </c>
      <c r="E58" s="208" t="s">
        <v>85</v>
      </c>
      <c r="F58" s="206" t="s">
        <v>757</v>
      </c>
      <c r="G58" s="629">
        <v>1</v>
      </c>
      <c r="H58" s="207">
        <v>0.8</v>
      </c>
      <c r="I58" s="208"/>
      <c r="J58" s="70"/>
      <c r="L58" s="2"/>
      <c r="M58" s="2"/>
    </row>
    <row r="59" spans="1:13" ht="15" customHeight="1">
      <c r="A59" s="206" t="s">
        <v>431</v>
      </c>
      <c r="B59" s="205">
        <v>10071201</v>
      </c>
      <c r="C59" s="220" t="s">
        <v>83</v>
      </c>
      <c r="D59" s="206" t="s">
        <v>152</v>
      </c>
      <c r="E59" s="206" t="s">
        <v>85</v>
      </c>
      <c r="F59" s="206" t="s">
        <v>757</v>
      </c>
      <c r="G59" s="629">
        <v>1</v>
      </c>
      <c r="H59" s="207">
        <v>0.5</v>
      </c>
      <c r="I59" s="208"/>
      <c r="J59" s="70"/>
      <c r="L59" s="2"/>
      <c r="M59" s="2"/>
    </row>
    <row r="60" spans="1:13" ht="15" customHeight="1">
      <c r="A60" s="206" t="s">
        <v>467</v>
      </c>
      <c r="B60" s="205">
        <v>10072241</v>
      </c>
      <c r="C60" s="220" t="s">
        <v>83</v>
      </c>
      <c r="D60" s="206" t="s">
        <v>152</v>
      </c>
      <c r="E60" s="206" t="s">
        <v>85</v>
      </c>
      <c r="F60" s="206" t="s">
        <v>757</v>
      </c>
      <c r="G60" s="629">
        <v>1</v>
      </c>
      <c r="H60" s="207">
        <v>0.9</v>
      </c>
      <c r="I60" s="208"/>
      <c r="J60" s="70"/>
      <c r="L60" s="2"/>
      <c r="M60" s="2"/>
    </row>
    <row r="61" spans="1:13" ht="15" customHeight="1">
      <c r="A61" s="206" t="s">
        <v>492</v>
      </c>
      <c r="B61" s="205">
        <v>10072237</v>
      </c>
      <c r="C61" s="220" t="s">
        <v>83</v>
      </c>
      <c r="D61" s="206" t="s">
        <v>152</v>
      </c>
      <c r="E61" s="206" t="s">
        <v>85</v>
      </c>
      <c r="F61" s="206" t="s">
        <v>757</v>
      </c>
      <c r="G61" s="629">
        <v>1</v>
      </c>
      <c r="H61" s="207">
        <v>0.6</v>
      </c>
      <c r="I61" s="208"/>
      <c r="J61" s="70"/>
      <c r="L61" s="2"/>
      <c r="M61" s="2"/>
    </row>
    <row r="62" spans="1:13" ht="15" customHeight="1">
      <c r="A62" s="206" t="s">
        <v>500</v>
      </c>
      <c r="B62" s="205">
        <v>10072249</v>
      </c>
      <c r="C62" s="220" t="s">
        <v>158</v>
      </c>
      <c r="D62" s="206" t="s">
        <v>152</v>
      </c>
      <c r="E62" s="206" t="s">
        <v>85</v>
      </c>
      <c r="F62" s="206" t="s">
        <v>757</v>
      </c>
      <c r="G62" s="629">
        <v>1</v>
      </c>
      <c r="H62" s="207">
        <v>0.9</v>
      </c>
      <c r="I62" s="208"/>
      <c r="J62" s="70"/>
      <c r="L62" s="2"/>
      <c r="M62" s="2"/>
    </row>
    <row r="63" spans="1:13" ht="15" customHeight="1">
      <c r="A63" s="205" t="s">
        <v>514</v>
      </c>
      <c r="B63" s="205">
        <v>10071067</v>
      </c>
      <c r="C63" s="220" t="s">
        <v>83</v>
      </c>
      <c r="D63" s="206" t="s">
        <v>152</v>
      </c>
      <c r="E63" s="206" t="s">
        <v>85</v>
      </c>
      <c r="F63" s="206" t="s">
        <v>757</v>
      </c>
      <c r="G63" s="629">
        <v>1</v>
      </c>
      <c r="H63" s="207">
        <v>0.8</v>
      </c>
      <c r="I63" s="208"/>
      <c r="J63" s="70"/>
      <c r="L63" s="2"/>
      <c r="M63" s="2"/>
    </row>
    <row r="64" spans="1:13" ht="15" customHeight="1">
      <c r="A64" s="206" t="s">
        <v>518</v>
      </c>
      <c r="B64" s="205">
        <v>10071420</v>
      </c>
      <c r="C64" s="220" t="s">
        <v>83</v>
      </c>
      <c r="D64" s="206" t="s">
        <v>152</v>
      </c>
      <c r="E64" s="206" t="s">
        <v>85</v>
      </c>
      <c r="F64" s="206" t="s">
        <v>757</v>
      </c>
      <c r="G64" s="629">
        <v>1</v>
      </c>
      <c r="H64" s="207">
        <v>0.5</v>
      </c>
      <c r="I64" s="208"/>
      <c r="J64" s="70"/>
      <c r="L64" s="2"/>
      <c r="M64" s="2"/>
    </row>
    <row r="65" spans="1:13" ht="15" customHeight="1">
      <c r="A65" s="206" t="s">
        <v>529</v>
      </c>
      <c r="B65" s="205">
        <v>10071677</v>
      </c>
      <c r="C65" s="220" t="s">
        <v>83</v>
      </c>
      <c r="D65" s="206" t="s">
        <v>152</v>
      </c>
      <c r="E65" s="206" t="s">
        <v>85</v>
      </c>
      <c r="F65" s="206" t="s">
        <v>757</v>
      </c>
      <c r="G65" s="629">
        <v>1</v>
      </c>
      <c r="H65" s="207">
        <v>0.7</v>
      </c>
      <c r="I65" s="208"/>
      <c r="J65" s="70"/>
      <c r="L65" s="2"/>
      <c r="M65" s="2"/>
    </row>
    <row r="66" spans="1:13" ht="15" customHeight="1">
      <c r="A66" s="206" t="s">
        <v>534</v>
      </c>
      <c r="B66" s="205">
        <v>10071253</v>
      </c>
      <c r="C66" s="220" t="s">
        <v>142</v>
      </c>
      <c r="D66" s="208" t="s">
        <v>152</v>
      </c>
      <c r="E66" s="208" t="s">
        <v>85</v>
      </c>
      <c r="F66" s="206" t="s">
        <v>757</v>
      </c>
      <c r="G66" s="629">
        <v>1</v>
      </c>
      <c r="H66" s="207">
        <v>0.9</v>
      </c>
      <c r="I66" s="208"/>
      <c r="J66" s="70"/>
      <c r="L66" s="2"/>
      <c r="M66" s="2"/>
    </row>
    <row r="67" spans="1:13" ht="15" customHeight="1">
      <c r="A67" s="206" t="s">
        <v>546</v>
      </c>
      <c r="B67" s="205">
        <v>10072450</v>
      </c>
      <c r="C67" s="220" t="s">
        <v>83</v>
      </c>
      <c r="D67" s="206" t="s">
        <v>152</v>
      </c>
      <c r="E67" s="208" t="s">
        <v>85</v>
      </c>
      <c r="F67" s="206" t="s">
        <v>757</v>
      </c>
      <c r="G67" s="629">
        <v>1</v>
      </c>
      <c r="H67" s="207">
        <v>0.5</v>
      </c>
      <c r="I67" s="208"/>
      <c r="J67" s="70"/>
      <c r="L67" s="2"/>
      <c r="M67" s="2"/>
    </row>
    <row r="68" spans="1:13" ht="15" customHeight="1">
      <c r="A68" s="206" t="s">
        <v>554</v>
      </c>
      <c r="B68" s="205">
        <v>10072440</v>
      </c>
      <c r="C68" s="220" t="s">
        <v>165</v>
      </c>
      <c r="D68" s="206" t="s">
        <v>152</v>
      </c>
      <c r="E68" s="208" t="s">
        <v>85</v>
      </c>
      <c r="F68" s="206" t="s">
        <v>757</v>
      </c>
      <c r="G68" s="629">
        <v>1</v>
      </c>
      <c r="H68" s="207">
        <v>0.90669999999999995</v>
      </c>
      <c r="I68" s="208"/>
      <c r="J68" s="70"/>
      <c r="L68" s="2"/>
      <c r="M68" s="2"/>
    </row>
    <row r="69" spans="1:13" ht="15" customHeight="1">
      <c r="A69" s="206" t="s">
        <v>166</v>
      </c>
      <c r="B69" s="205">
        <v>10072255</v>
      </c>
      <c r="C69" s="220" t="s">
        <v>83</v>
      </c>
      <c r="D69" s="206" t="s">
        <v>152</v>
      </c>
      <c r="E69" s="208" t="s">
        <v>85</v>
      </c>
      <c r="F69" s="206" t="s">
        <v>757</v>
      </c>
      <c r="G69" s="629">
        <v>1</v>
      </c>
      <c r="H69" s="207">
        <v>0.8</v>
      </c>
      <c r="I69" s="208"/>
      <c r="J69" s="70"/>
      <c r="L69" s="2"/>
      <c r="M69" s="2"/>
    </row>
    <row r="70" spans="1:13" ht="15" customHeight="1">
      <c r="A70" s="206" t="s">
        <v>544</v>
      </c>
      <c r="B70" s="205">
        <v>10070729</v>
      </c>
      <c r="C70" s="220" t="s">
        <v>142</v>
      </c>
      <c r="D70" s="206" t="s">
        <v>152</v>
      </c>
      <c r="E70" s="208" t="s">
        <v>85</v>
      </c>
      <c r="F70" s="206" t="s">
        <v>757</v>
      </c>
      <c r="G70" s="629">
        <v>1</v>
      </c>
      <c r="H70" s="207">
        <v>0.9</v>
      </c>
      <c r="I70" s="208"/>
      <c r="J70" s="70"/>
      <c r="L70" s="2"/>
      <c r="M70" s="2"/>
    </row>
    <row r="71" spans="1:13" ht="15" customHeight="1">
      <c r="A71" s="206" t="s">
        <v>458</v>
      </c>
      <c r="B71" s="205">
        <v>10072177</v>
      </c>
      <c r="C71" s="220" t="s">
        <v>83</v>
      </c>
      <c r="D71" s="206" t="s">
        <v>169</v>
      </c>
      <c r="E71" s="208" t="s">
        <v>170</v>
      </c>
      <c r="F71" s="206" t="s">
        <v>757</v>
      </c>
      <c r="G71" s="629">
        <v>1</v>
      </c>
      <c r="H71" s="207">
        <v>0.9</v>
      </c>
      <c r="I71" s="208"/>
      <c r="J71" s="70"/>
      <c r="L71" s="2"/>
      <c r="M71" s="2"/>
    </row>
    <row r="72" spans="1:13" ht="15" customHeight="1">
      <c r="A72" s="206" t="s">
        <v>433</v>
      </c>
      <c r="B72" s="205">
        <v>10071358</v>
      </c>
      <c r="C72" s="220" t="s">
        <v>83</v>
      </c>
      <c r="D72" s="206" t="s">
        <v>169</v>
      </c>
      <c r="E72" s="208" t="s">
        <v>170</v>
      </c>
      <c r="F72" s="206" t="s">
        <v>757</v>
      </c>
      <c r="G72" s="629">
        <v>1</v>
      </c>
      <c r="H72" s="207">
        <v>0.9</v>
      </c>
      <c r="I72" s="208"/>
      <c r="J72" s="70"/>
      <c r="L72" s="2"/>
      <c r="M72" s="2"/>
    </row>
    <row r="73" spans="1:13" ht="15" customHeight="1">
      <c r="A73" s="206" t="s">
        <v>436</v>
      </c>
      <c r="B73" s="205">
        <v>10071910</v>
      </c>
      <c r="C73" s="220" t="s">
        <v>83</v>
      </c>
      <c r="D73" s="206" t="s">
        <v>169</v>
      </c>
      <c r="E73" s="208" t="s">
        <v>170</v>
      </c>
      <c r="F73" s="206" t="s">
        <v>757</v>
      </c>
      <c r="G73" s="629">
        <v>1</v>
      </c>
      <c r="H73" s="207">
        <v>0.8</v>
      </c>
      <c r="I73" s="208"/>
      <c r="J73" s="70"/>
      <c r="L73" s="2"/>
      <c r="M73" s="2"/>
    </row>
    <row r="74" spans="1:13" ht="15" customHeight="1">
      <c r="A74" s="206" t="s">
        <v>444</v>
      </c>
      <c r="B74" s="205">
        <v>10071433</v>
      </c>
      <c r="C74" s="220" t="s">
        <v>83</v>
      </c>
      <c r="D74" s="206" t="s">
        <v>169</v>
      </c>
      <c r="E74" s="208" t="s">
        <v>170</v>
      </c>
      <c r="F74" s="206" t="s">
        <v>757</v>
      </c>
      <c r="G74" s="629">
        <v>1</v>
      </c>
      <c r="H74" s="207">
        <v>0.4</v>
      </c>
      <c r="I74" s="208"/>
      <c r="J74" s="70"/>
      <c r="L74" s="2"/>
      <c r="M74" s="2"/>
    </row>
    <row r="75" spans="1:13" ht="15" customHeight="1">
      <c r="A75" s="206" t="s">
        <v>448</v>
      </c>
      <c r="B75" s="205">
        <v>10072437</v>
      </c>
      <c r="C75" s="220" t="s">
        <v>83</v>
      </c>
      <c r="D75" s="206" t="s">
        <v>169</v>
      </c>
      <c r="E75" s="208" t="s">
        <v>170</v>
      </c>
      <c r="F75" s="206" t="s">
        <v>757</v>
      </c>
      <c r="G75" s="629">
        <v>1</v>
      </c>
      <c r="H75" s="207">
        <v>0.7</v>
      </c>
      <c r="I75" s="208"/>
      <c r="J75" s="70"/>
      <c r="L75" s="2"/>
      <c r="M75" s="2"/>
    </row>
    <row r="76" spans="1:13" ht="15" customHeight="1">
      <c r="A76" s="206" t="s">
        <v>486</v>
      </c>
      <c r="B76" s="205">
        <v>10072453</v>
      </c>
      <c r="C76" s="220" t="s">
        <v>83</v>
      </c>
      <c r="D76" s="206" t="s">
        <v>169</v>
      </c>
      <c r="E76" s="208" t="s">
        <v>170</v>
      </c>
      <c r="F76" s="206" t="s">
        <v>757</v>
      </c>
      <c r="G76" s="629">
        <v>1</v>
      </c>
      <c r="H76" s="207">
        <v>0.8</v>
      </c>
      <c r="I76" s="208"/>
      <c r="J76" s="70"/>
      <c r="L76" s="2"/>
      <c r="M76" s="2"/>
    </row>
    <row r="77" spans="1:13" ht="15" customHeight="1">
      <c r="A77" s="206" t="s">
        <v>508</v>
      </c>
      <c r="B77" s="205">
        <v>10071603</v>
      </c>
      <c r="C77" s="220" t="s">
        <v>87</v>
      </c>
      <c r="D77" s="206" t="s">
        <v>169</v>
      </c>
      <c r="E77" s="208" t="s">
        <v>170</v>
      </c>
      <c r="F77" s="206" t="s">
        <v>757</v>
      </c>
      <c r="G77" s="629">
        <v>1</v>
      </c>
      <c r="H77" s="207">
        <v>0.9</v>
      </c>
      <c r="I77" s="208"/>
      <c r="J77" s="70"/>
      <c r="L77" s="2"/>
      <c r="M77" s="2"/>
    </row>
    <row r="78" spans="1:13" ht="15" customHeight="1">
      <c r="A78" s="206" t="s">
        <v>520</v>
      </c>
      <c r="B78" s="205">
        <v>10071268</v>
      </c>
      <c r="C78" s="220" t="s">
        <v>83</v>
      </c>
      <c r="D78" s="206" t="s">
        <v>169</v>
      </c>
      <c r="E78" s="208" t="s">
        <v>170</v>
      </c>
      <c r="F78" s="206" t="s">
        <v>757</v>
      </c>
      <c r="G78" s="629">
        <v>1</v>
      </c>
      <c r="H78" s="207">
        <v>0.8</v>
      </c>
      <c r="I78" s="208"/>
      <c r="J78" s="70"/>
      <c r="L78" s="2"/>
      <c r="M78" s="2"/>
    </row>
    <row r="79" spans="1:13" ht="15" customHeight="1">
      <c r="A79" s="206" t="s">
        <v>540</v>
      </c>
      <c r="B79" s="205">
        <v>10071296</v>
      </c>
      <c r="C79" s="220" t="s">
        <v>83</v>
      </c>
      <c r="D79" s="206" t="s">
        <v>169</v>
      </c>
      <c r="E79" s="208" t="s">
        <v>170</v>
      </c>
      <c r="F79" s="206" t="s">
        <v>757</v>
      </c>
      <c r="G79" s="629">
        <v>1</v>
      </c>
      <c r="H79" s="207">
        <v>0.8</v>
      </c>
      <c r="I79" s="208"/>
      <c r="J79" s="70"/>
      <c r="L79" s="2"/>
      <c r="M79" s="2"/>
    </row>
    <row r="80" spans="1:13" ht="15" customHeight="1">
      <c r="A80" s="206" t="s">
        <v>543</v>
      </c>
      <c r="B80" s="205">
        <v>10071972</v>
      </c>
      <c r="C80" s="220" t="s">
        <v>87</v>
      </c>
      <c r="D80" s="206" t="s">
        <v>169</v>
      </c>
      <c r="E80" s="208" t="s">
        <v>170</v>
      </c>
      <c r="F80" s="206" t="s">
        <v>757</v>
      </c>
      <c r="G80" s="629">
        <v>1</v>
      </c>
      <c r="H80" s="207">
        <v>0.8</v>
      </c>
      <c r="I80" s="208"/>
      <c r="J80" s="70"/>
      <c r="L80" s="2"/>
      <c r="M80" s="2"/>
    </row>
    <row r="81" spans="1:13" ht="15" customHeight="1">
      <c r="A81" s="206" t="s">
        <v>549</v>
      </c>
      <c r="B81" s="205">
        <v>10071283</v>
      </c>
      <c r="C81" s="220" t="s">
        <v>83</v>
      </c>
      <c r="D81" s="206" t="s">
        <v>169</v>
      </c>
      <c r="E81" s="208" t="s">
        <v>170</v>
      </c>
      <c r="F81" s="206" t="s">
        <v>757</v>
      </c>
      <c r="G81" s="629">
        <v>1</v>
      </c>
      <c r="H81" s="207">
        <v>0.6</v>
      </c>
      <c r="I81" s="208"/>
      <c r="J81" s="70"/>
      <c r="L81" s="2"/>
      <c r="M81" s="2"/>
    </row>
    <row r="82" spans="1:13" ht="15" customHeight="1">
      <c r="A82" s="206" t="s">
        <v>182</v>
      </c>
      <c r="B82" s="205">
        <v>10071753</v>
      </c>
      <c r="C82" s="220" t="s">
        <v>83</v>
      </c>
      <c r="D82" s="206" t="s">
        <v>169</v>
      </c>
      <c r="E82" s="208" t="s">
        <v>170</v>
      </c>
      <c r="F82" s="206" t="s">
        <v>757</v>
      </c>
      <c r="G82" s="629">
        <v>1</v>
      </c>
      <c r="H82" s="207">
        <v>0.6</v>
      </c>
      <c r="I82" s="208"/>
      <c r="J82" s="70"/>
      <c r="L82" s="2"/>
      <c r="M82" s="2"/>
    </row>
    <row r="83" spans="1:13" ht="15" customHeight="1">
      <c r="A83" s="206" t="s">
        <v>439</v>
      </c>
      <c r="B83" s="205">
        <v>10071803</v>
      </c>
      <c r="C83" s="220" t="s">
        <v>83</v>
      </c>
      <c r="D83" s="206" t="s">
        <v>169</v>
      </c>
      <c r="E83" s="208" t="s">
        <v>170</v>
      </c>
      <c r="F83" s="206" t="s">
        <v>757</v>
      </c>
      <c r="G83" s="629">
        <v>1</v>
      </c>
      <c r="H83" s="207">
        <v>0.8</v>
      </c>
      <c r="I83" s="208"/>
      <c r="J83" s="70"/>
      <c r="L83" s="2"/>
      <c r="M83" s="2"/>
    </row>
    <row r="84" spans="1:13" ht="15" customHeight="1">
      <c r="A84" s="206" t="s">
        <v>473</v>
      </c>
      <c r="B84" s="206">
        <v>10072076</v>
      </c>
      <c r="C84" s="605" t="s">
        <v>83</v>
      </c>
      <c r="D84" s="206" t="s">
        <v>169</v>
      </c>
      <c r="E84" s="206" t="s">
        <v>170</v>
      </c>
      <c r="F84" s="206" t="s">
        <v>757</v>
      </c>
      <c r="G84" s="629">
        <v>1</v>
      </c>
      <c r="H84" s="207">
        <v>0.7</v>
      </c>
      <c r="I84" s="206"/>
      <c r="J84" s="70"/>
      <c r="L84" s="2"/>
      <c r="M84" s="2"/>
    </row>
    <row r="85" spans="1:13" ht="15" customHeight="1">
      <c r="A85" s="206" t="s">
        <v>430</v>
      </c>
      <c r="B85" s="205">
        <v>10072458</v>
      </c>
      <c r="C85" s="220" t="s">
        <v>83</v>
      </c>
      <c r="D85" s="206" t="s">
        <v>186</v>
      </c>
      <c r="E85" s="208" t="s">
        <v>170</v>
      </c>
      <c r="F85" s="206" t="s">
        <v>757</v>
      </c>
      <c r="G85" s="629">
        <v>1</v>
      </c>
      <c r="H85" s="207">
        <v>0.5</v>
      </c>
      <c r="I85" s="208"/>
      <c r="J85" s="70"/>
      <c r="L85" s="2"/>
      <c r="M85" s="2"/>
    </row>
    <row r="86" spans="1:13" ht="15" customHeight="1">
      <c r="A86" s="206" t="s">
        <v>449</v>
      </c>
      <c r="B86" s="205">
        <v>10071322</v>
      </c>
      <c r="C86" s="220" t="s">
        <v>165</v>
      </c>
      <c r="D86" s="206" t="s">
        <v>186</v>
      </c>
      <c r="E86" s="208" t="s">
        <v>170</v>
      </c>
      <c r="F86" s="206" t="s">
        <v>757</v>
      </c>
      <c r="G86" s="629">
        <v>1</v>
      </c>
      <c r="H86" s="207">
        <v>0.95330000000000004</v>
      </c>
      <c r="I86" s="208"/>
      <c r="J86" s="70"/>
      <c r="L86" s="2"/>
      <c r="M86" s="2"/>
    </row>
    <row r="87" spans="1:13" ht="15" customHeight="1">
      <c r="A87" s="206" t="s">
        <v>453</v>
      </c>
      <c r="B87" s="205">
        <v>10071429</v>
      </c>
      <c r="C87" s="220" t="s">
        <v>158</v>
      </c>
      <c r="D87" s="206" t="s">
        <v>186</v>
      </c>
      <c r="E87" s="208" t="s">
        <v>170</v>
      </c>
      <c r="F87" s="206" t="s">
        <v>757</v>
      </c>
      <c r="G87" s="629">
        <v>1</v>
      </c>
      <c r="H87" s="207">
        <v>0.9</v>
      </c>
      <c r="I87" s="208"/>
      <c r="J87" s="70"/>
      <c r="L87" s="2"/>
      <c r="M87" s="2"/>
    </row>
    <row r="88" spans="1:13" ht="15" customHeight="1">
      <c r="A88" s="206" t="s">
        <v>468</v>
      </c>
      <c r="B88" s="205">
        <v>10071430</v>
      </c>
      <c r="C88" s="220" t="s">
        <v>83</v>
      </c>
      <c r="D88" s="206" t="s">
        <v>186</v>
      </c>
      <c r="E88" s="208" t="s">
        <v>170</v>
      </c>
      <c r="F88" s="206" t="s">
        <v>757</v>
      </c>
      <c r="G88" s="629">
        <v>1</v>
      </c>
      <c r="H88" s="207">
        <v>0.9</v>
      </c>
      <c r="I88" s="208"/>
      <c r="J88" s="70"/>
      <c r="L88" s="2"/>
      <c r="M88" s="2"/>
    </row>
    <row r="89" spans="1:13" ht="15" customHeight="1">
      <c r="A89" s="206" t="s">
        <v>478</v>
      </c>
      <c r="B89" s="205">
        <v>10072202</v>
      </c>
      <c r="C89" s="220" t="s">
        <v>142</v>
      </c>
      <c r="D89" s="206" t="s">
        <v>186</v>
      </c>
      <c r="E89" s="208" t="s">
        <v>170</v>
      </c>
      <c r="F89" s="206" t="s">
        <v>757</v>
      </c>
      <c r="G89" s="629">
        <v>1</v>
      </c>
      <c r="H89" s="207">
        <v>0.8</v>
      </c>
      <c r="I89" s="208"/>
      <c r="J89" s="70"/>
      <c r="L89" s="2"/>
      <c r="M89" s="2"/>
    </row>
    <row r="90" spans="1:13" ht="15" customHeight="1">
      <c r="A90" s="206" t="s">
        <v>485</v>
      </c>
      <c r="B90" s="205">
        <v>10072205</v>
      </c>
      <c r="C90" s="220" t="s">
        <v>83</v>
      </c>
      <c r="D90" s="206" t="s">
        <v>186</v>
      </c>
      <c r="E90" s="208" t="s">
        <v>170</v>
      </c>
      <c r="F90" s="206" t="s">
        <v>757</v>
      </c>
      <c r="G90" s="629">
        <v>1</v>
      </c>
      <c r="H90" s="207">
        <v>0.8</v>
      </c>
      <c r="I90" s="208"/>
      <c r="J90" s="70"/>
      <c r="L90" s="2"/>
      <c r="M90" s="2"/>
    </row>
    <row r="91" spans="1:13" ht="15" customHeight="1">
      <c r="A91" s="206" t="s">
        <v>489</v>
      </c>
      <c r="B91" s="205">
        <v>10072256</v>
      </c>
      <c r="C91" s="220" t="s">
        <v>83</v>
      </c>
      <c r="D91" s="206" t="s">
        <v>186</v>
      </c>
      <c r="E91" s="208" t="s">
        <v>170</v>
      </c>
      <c r="F91" s="206" t="s">
        <v>757</v>
      </c>
      <c r="G91" s="629">
        <v>1</v>
      </c>
      <c r="H91" s="207">
        <v>0.7</v>
      </c>
      <c r="I91" s="208"/>
      <c r="J91" s="70"/>
      <c r="L91" s="2"/>
      <c r="M91" s="2"/>
    </row>
    <row r="92" spans="1:13" ht="15" customHeight="1">
      <c r="A92" s="206" t="s">
        <v>494</v>
      </c>
      <c r="B92" s="205">
        <v>10071811</v>
      </c>
      <c r="C92" s="220" t="s">
        <v>83</v>
      </c>
      <c r="D92" s="206" t="s">
        <v>186</v>
      </c>
      <c r="E92" s="208" t="s">
        <v>170</v>
      </c>
      <c r="F92" s="206" t="s">
        <v>757</v>
      </c>
      <c r="G92" s="629">
        <v>1</v>
      </c>
      <c r="H92" s="207">
        <v>0.6</v>
      </c>
      <c r="I92" s="208"/>
      <c r="J92" s="70"/>
      <c r="L92" s="2"/>
      <c r="M92" s="2"/>
    </row>
    <row r="93" spans="1:13" ht="15" customHeight="1">
      <c r="A93" s="206" t="s">
        <v>503</v>
      </c>
      <c r="B93" s="205">
        <v>10072516</v>
      </c>
      <c r="C93" s="220" t="s">
        <v>83</v>
      </c>
      <c r="D93" s="206" t="s">
        <v>186</v>
      </c>
      <c r="E93" s="208" t="s">
        <v>170</v>
      </c>
      <c r="F93" s="206" t="s">
        <v>757</v>
      </c>
      <c r="G93" s="629">
        <v>1</v>
      </c>
      <c r="H93" s="207">
        <v>0.6</v>
      </c>
      <c r="I93" s="208"/>
      <c r="J93" s="70"/>
      <c r="L93" s="2"/>
      <c r="M93" s="2"/>
    </row>
    <row r="94" spans="1:13" ht="15" customHeight="1">
      <c r="A94" s="206" t="s">
        <v>548</v>
      </c>
      <c r="B94" s="205">
        <v>10072243</v>
      </c>
      <c r="C94" s="220" t="s">
        <v>142</v>
      </c>
      <c r="D94" s="206" t="s">
        <v>186</v>
      </c>
      <c r="E94" s="208" t="s">
        <v>170</v>
      </c>
      <c r="F94" s="206" t="s">
        <v>757</v>
      </c>
      <c r="G94" s="629">
        <v>1</v>
      </c>
      <c r="H94" s="207">
        <v>0.8</v>
      </c>
      <c r="I94" s="208"/>
      <c r="J94" s="70"/>
      <c r="L94" s="2"/>
      <c r="M94" s="2"/>
    </row>
    <row r="95" spans="1:13" ht="15" customHeight="1">
      <c r="A95" s="206" t="s">
        <v>553</v>
      </c>
      <c r="B95" s="205">
        <v>10072096</v>
      </c>
      <c r="C95" s="220" t="s">
        <v>83</v>
      </c>
      <c r="D95" s="206" t="s">
        <v>186</v>
      </c>
      <c r="E95" s="208" t="s">
        <v>170</v>
      </c>
      <c r="F95" s="206" t="s">
        <v>757</v>
      </c>
      <c r="G95" s="629">
        <v>1</v>
      </c>
      <c r="H95" s="207">
        <v>0.6</v>
      </c>
      <c r="I95" s="208"/>
      <c r="J95" s="70"/>
      <c r="L95" s="2"/>
      <c r="M95" s="2"/>
    </row>
    <row r="96" spans="1:13" ht="15" customHeight="1">
      <c r="A96" s="206" t="s">
        <v>490</v>
      </c>
      <c r="B96" s="205">
        <v>10071432</v>
      </c>
      <c r="C96" s="220" t="s">
        <v>142</v>
      </c>
      <c r="D96" s="208" t="s">
        <v>186</v>
      </c>
      <c r="E96" s="208" t="s">
        <v>170</v>
      </c>
      <c r="F96" s="206" t="s">
        <v>757</v>
      </c>
      <c r="G96" s="629">
        <v>1</v>
      </c>
      <c r="H96" s="207">
        <v>0.7</v>
      </c>
      <c r="I96" s="208"/>
      <c r="J96" s="70"/>
      <c r="L96" s="2"/>
      <c r="M96" s="2"/>
    </row>
    <row r="97" spans="1:13" ht="15" customHeight="1">
      <c r="A97" s="206" t="s">
        <v>198</v>
      </c>
      <c r="B97" s="205">
        <v>10071188</v>
      </c>
      <c r="C97" s="220" t="s">
        <v>83</v>
      </c>
      <c r="D97" s="208" t="s">
        <v>186</v>
      </c>
      <c r="E97" s="208" t="s">
        <v>170</v>
      </c>
      <c r="F97" s="206" t="s">
        <v>757</v>
      </c>
      <c r="G97" s="629">
        <v>1</v>
      </c>
      <c r="H97" s="207">
        <v>0.6</v>
      </c>
      <c r="I97" s="208"/>
      <c r="J97" s="70"/>
      <c r="L97" s="2"/>
      <c r="M97" s="2"/>
    </row>
    <row r="98" spans="1:13" ht="15" customHeight="1">
      <c r="A98" s="206" t="s">
        <v>443</v>
      </c>
      <c r="B98" s="205">
        <v>10072244</v>
      </c>
      <c r="C98" s="220" t="s">
        <v>83</v>
      </c>
      <c r="D98" s="208" t="s">
        <v>200</v>
      </c>
      <c r="E98" s="208" t="s">
        <v>170</v>
      </c>
      <c r="F98" s="206" t="s">
        <v>757</v>
      </c>
      <c r="G98" s="629">
        <v>1</v>
      </c>
      <c r="H98" s="207">
        <v>0.5</v>
      </c>
      <c r="I98" s="208"/>
      <c r="J98" s="70"/>
      <c r="L98" s="2"/>
      <c r="M98" s="2"/>
    </row>
    <row r="99" spans="1:13" ht="15" customHeight="1">
      <c r="A99" s="206" t="s">
        <v>483</v>
      </c>
      <c r="B99" s="205">
        <v>10072449</v>
      </c>
      <c r="C99" s="220" t="s">
        <v>83</v>
      </c>
      <c r="D99" s="208" t="s">
        <v>200</v>
      </c>
      <c r="E99" s="208" t="s">
        <v>170</v>
      </c>
      <c r="F99" s="206" t="s">
        <v>757</v>
      </c>
      <c r="G99" s="629">
        <v>1</v>
      </c>
      <c r="H99" s="207">
        <v>0.6</v>
      </c>
      <c r="I99" s="208"/>
      <c r="J99" s="70"/>
      <c r="L99" s="2"/>
      <c r="M99" s="2"/>
    </row>
    <row r="100" spans="1:13" ht="15" customHeight="1">
      <c r="A100" s="206" t="s">
        <v>501</v>
      </c>
      <c r="B100" s="205">
        <v>10071692</v>
      </c>
      <c r="C100" s="220" t="s">
        <v>83</v>
      </c>
      <c r="D100" s="208" t="s">
        <v>200</v>
      </c>
      <c r="E100" s="208" t="s">
        <v>170</v>
      </c>
      <c r="F100" s="206" t="s">
        <v>757</v>
      </c>
      <c r="G100" s="629">
        <v>1</v>
      </c>
      <c r="H100" s="207">
        <v>0.9</v>
      </c>
      <c r="I100" s="208"/>
      <c r="J100" s="70"/>
      <c r="L100" s="2"/>
      <c r="M100" s="2"/>
    </row>
    <row r="101" spans="1:13" ht="15" customHeight="1">
      <c r="A101" s="206" t="s">
        <v>541</v>
      </c>
      <c r="B101" s="205">
        <v>10072180</v>
      </c>
      <c r="C101" s="220" t="s">
        <v>83</v>
      </c>
      <c r="D101" s="208" t="s">
        <v>200</v>
      </c>
      <c r="E101" s="208" t="s">
        <v>170</v>
      </c>
      <c r="F101" s="206" t="s">
        <v>757</v>
      </c>
      <c r="G101" s="629">
        <v>1</v>
      </c>
      <c r="H101" s="207">
        <v>0.7</v>
      </c>
      <c r="I101" s="208"/>
      <c r="J101" s="70"/>
      <c r="L101" s="2"/>
      <c r="M101" s="2"/>
    </row>
    <row r="102" spans="1:13" ht="15" customHeight="1">
      <c r="A102" s="206" t="s">
        <v>419</v>
      </c>
      <c r="B102" s="205">
        <v>10072198</v>
      </c>
      <c r="C102" s="220" t="s">
        <v>83</v>
      </c>
      <c r="D102" s="208" t="s">
        <v>200</v>
      </c>
      <c r="E102" s="208" t="s">
        <v>170</v>
      </c>
      <c r="F102" s="206" t="s">
        <v>757</v>
      </c>
      <c r="G102" s="629">
        <v>1</v>
      </c>
      <c r="H102" s="207">
        <v>0.5</v>
      </c>
      <c r="I102" s="208"/>
      <c r="J102" s="70"/>
      <c r="L102" s="2"/>
      <c r="M102" s="2"/>
    </row>
    <row r="103" spans="1:13" ht="15" customHeight="1">
      <c r="A103" s="206" t="s">
        <v>464</v>
      </c>
      <c r="B103" s="205">
        <v>10072444</v>
      </c>
      <c r="C103" s="220" t="s">
        <v>83</v>
      </c>
      <c r="D103" s="208" t="s">
        <v>200</v>
      </c>
      <c r="E103" s="208" t="s">
        <v>170</v>
      </c>
      <c r="F103" s="206" t="s">
        <v>757</v>
      </c>
      <c r="G103" s="629">
        <v>1</v>
      </c>
      <c r="H103" s="207">
        <v>0.9</v>
      </c>
      <c r="I103" s="208"/>
      <c r="J103" s="70"/>
      <c r="L103" s="2"/>
      <c r="M103" s="2"/>
    </row>
    <row r="104" spans="1:13" ht="15" customHeight="1">
      <c r="A104" s="206" t="s">
        <v>497</v>
      </c>
      <c r="B104" s="205">
        <v>10071306</v>
      </c>
      <c r="C104" s="220" t="s">
        <v>83</v>
      </c>
      <c r="D104" s="208" t="s">
        <v>200</v>
      </c>
      <c r="E104" s="208" t="s">
        <v>170</v>
      </c>
      <c r="F104" s="206" t="s">
        <v>757</v>
      </c>
      <c r="G104" s="629">
        <v>1</v>
      </c>
      <c r="H104" s="207">
        <v>0.8</v>
      </c>
      <c r="I104" s="208"/>
      <c r="J104" s="70"/>
      <c r="L104" s="2"/>
      <c r="M104" s="2"/>
    </row>
    <row r="105" spans="1:13" ht="15" customHeight="1">
      <c r="A105" s="206" t="s">
        <v>502</v>
      </c>
      <c r="B105" s="205">
        <v>10072517</v>
      </c>
      <c r="C105" s="220" t="s">
        <v>83</v>
      </c>
      <c r="D105" s="208" t="s">
        <v>200</v>
      </c>
      <c r="E105" s="208" t="s">
        <v>170</v>
      </c>
      <c r="F105" s="206" t="s">
        <v>757</v>
      </c>
      <c r="G105" s="629">
        <v>1</v>
      </c>
      <c r="H105" s="207">
        <v>0.7</v>
      </c>
      <c r="I105" s="208"/>
      <c r="J105" s="70"/>
      <c r="L105" s="2"/>
      <c r="M105" s="2"/>
    </row>
    <row r="106" spans="1:13" ht="15" customHeight="1">
      <c r="A106" s="206" t="s">
        <v>511</v>
      </c>
      <c r="B106" s="205">
        <v>10072204</v>
      </c>
      <c r="C106" s="220" t="s">
        <v>83</v>
      </c>
      <c r="D106" s="208" t="s">
        <v>200</v>
      </c>
      <c r="E106" s="208" t="s">
        <v>170</v>
      </c>
      <c r="F106" s="206" t="s">
        <v>757</v>
      </c>
      <c r="G106" s="629">
        <v>1</v>
      </c>
      <c r="H106" s="207">
        <v>0.8</v>
      </c>
      <c r="I106" s="208"/>
      <c r="J106" s="70"/>
      <c r="L106" s="2"/>
      <c r="M106" s="2"/>
    </row>
    <row r="107" spans="1:13" ht="15" customHeight="1">
      <c r="A107" s="206" t="s">
        <v>560</v>
      </c>
      <c r="B107" s="205">
        <v>10072445</v>
      </c>
      <c r="C107" s="220" t="s">
        <v>83</v>
      </c>
      <c r="D107" s="208" t="s">
        <v>200</v>
      </c>
      <c r="E107" s="208" t="s">
        <v>170</v>
      </c>
      <c r="F107" s="206" t="s">
        <v>757</v>
      </c>
      <c r="G107" s="629">
        <v>1</v>
      </c>
      <c r="H107" s="207">
        <v>0.8</v>
      </c>
      <c r="I107" s="208"/>
      <c r="J107" s="70"/>
      <c r="L107" s="2"/>
      <c r="M107" s="2"/>
    </row>
    <row r="108" spans="1:13" ht="15" customHeight="1">
      <c r="A108" s="206" t="s">
        <v>210</v>
      </c>
      <c r="B108" s="205">
        <v>10071728</v>
      </c>
      <c r="C108" s="220" t="s">
        <v>83</v>
      </c>
      <c r="D108" s="208" t="s">
        <v>200</v>
      </c>
      <c r="E108" s="208" t="s">
        <v>170</v>
      </c>
      <c r="F108" s="206" t="s">
        <v>757</v>
      </c>
      <c r="G108" s="629">
        <v>1</v>
      </c>
      <c r="H108" s="207">
        <v>0.7</v>
      </c>
      <c r="I108" s="208"/>
      <c r="J108" s="70"/>
      <c r="L108" s="2"/>
      <c r="M108" s="2"/>
    </row>
    <row r="109" spans="1:13" ht="15" customHeight="1">
      <c r="A109" s="206" t="s">
        <v>423</v>
      </c>
      <c r="B109" s="205">
        <v>10072438</v>
      </c>
      <c r="C109" s="220" t="s">
        <v>83</v>
      </c>
      <c r="D109" s="208" t="s">
        <v>200</v>
      </c>
      <c r="E109" s="208" t="s">
        <v>170</v>
      </c>
      <c r="F109" s="206" t="s">
        <v>757</v>
      </c>
      <c r="G109" s="629">
        <v>1</v>
      </c>
      <c r="H109" s="207">
        <v>0.8</v>
      </c>
      <c r="I109" s="208"/>
      <c r="J109" s="70"/>
      <c r="L109" s="2"/>
      <c r="M109" s="2"/>
    </row>
    <row r="110" spans="1:13" ht="15" customHeight="1">
      <c r="A110" s="206" t="s">
        <v>542</v>
      </c>
      <c r="B110" s="205">
        <v>10072073</v>
      </c>
      <c r="C110" s="220" t="s">
        <v>83</v>
      </c>
      <c r="D110" s="208" t="s">
        <v>200</v>
      </c>
      <c r="E110" s="208" t="s">
        <v>170</v>
      </c>
      <c r="F110" s="206" t="s">
        <v>757</v>
      </c>
      <c r="G110" s="629">
        <v>1</v>
      </c>
      <c r="H110" s="207">
        <v>0.7</v>
      </c>
      <c r="I110" s="208"/>
      <c r="J110" s="70"/>
      <c r="L110" s="2"/>
      <c r="M110" s="2"/>
    </row>
    <row r="111" spans="1:13" ht="15" customHeight="1">
      <c r="A111" s="206" t="s">
        <v>457</v>
      </c>
      <c r="B111" s="205">
        <v>10071423</v>
      </c>
      <c r="C111" s="220" t="s">
        <v>83</v>
      </c>
      <c r="D111" s="208" t="s">
        <v>214</v>
      </c>
      <c r="E111" s="208" t="s">
        <v>170</v>
      </c>
      <c r="F111" s="206" t="s">
        <v>757</v>
      </c>
      <c r="G111" s="629">
        <v>1</v>
      </c>
      <c r="H111" s="207">
        <v>0.9</v>
      </c>
      <c r="I111" s="208"/>
      <c r="J111" s="70"/>
      <c r="L111" s="2"/>
      <c r="M111" s="2"/>
    </row>
    <row r="112" spans="1:13" ht="15" customHeight="1">
      <c r="A112" s="206" t="s">
        <v>469</v>
      </c>
      <c r="B112" s="205">
        <v>10071301</v>
      </c>
      <c r="C112" s="220" t="s">
        <v>83</v>
      </c>
      <c r="D112" s="208" t="s">
        <v>214</v>
      </c>
      <c r="E112" s="208" t="s">
        <v>170</v>
      </c>
      <c r="F112" s="206" t="s">
        <v>757</v>
      </c>
      <c r="G112" s="629">
        <v>1</v>
      </c>
      <c r="H112" s="207">
        <v>0.9</v>
      </c>
      <c r="I112" s="208"/>
      <c r="J112" s="70"/>
      <c r="L112" s="2"/>
      <c r="M112" s="2"/>
    </row>
    <row r="113" spans="1:13" ht="15" customHeight="1">
      <c r="A113" s="206" t="s">
        <v>482</v>
      </c>
      <c r="B113" s="205">
        <v>10072245</v>
      </c>
      <c r="C113" s="220" t="s">
        <v>83</v>
      </c>
      <c r="D113" s="208" t="s">
        <v>214</v>
      </c>
      <c r="E113" s="208" t="s">
        <v>170</v>
      </c>
      <c r="F113" s="206" t="s">
        <v>757</v>
      </c>
      <c r="G113" s="629">
        <v>1</v>
      </c>
      <c r="H113" s="207">
        <v>0.9</v>
      </c>
      <c r="I113" s="208"/>
      <c r="J113" s="70"/>
      <c r="L113" s="2"/>
      <c r="M113" s="2"/>
    </row>
    <row r="114" spans="1:13" ht="15" customHeight="1">
      <c r="A114" s="206" t="s">
        <v>488</v>
      </c>
      <c r="B114" s="205">
        <v>10072160</v>
      </c>
      <c r="C114" s="220" t="s">
        <v>83</v>
      </c>
      <c r="D114" s="208" t="s">
        <v>214</v>
      </c>
      <c r="E114" s="208" t="s">
        <v>170</v>
      </c>
      <c r="F114" s="206" t="s">
        <v>757</v>
      </c>
      <c r="G114" s="629">
        <v>1</v>
      </c>
      <c r="H114" s="207">
        <v>0.8</v>
      </c>
      <c r="I114" s="208"/>
      <c r="J114" s="70"/>
      <c r="L114" s="2"/>
      <c r="M114" s="2"/>
    </row>
    <row r="115" spans="1:13" ht="15" customHeight="1">
      <c r="A115" s="206" t="s">
        <v>507</v>
      </c>
      <c r="B115" s="205">
        <v>10071252</v>
      </c>
      <c r="C115" s="220" t="s">
        <v>83</v>
      </c>
      <c r="D115" s="208" t="s">
        <v>214</v>
      </c>
      <c r="E115" s="208" t="s">
        <v>170</v>
      </c>
      <c r="F115" s="206" t="s">
        <v>757</v>
      </c>
      <c r="G115" s="629">
        <v>1</v>
      </c>
      <c r="H115" s="207">
        <v>0.6</v>
      </c>
      <c r="I115" s="208"/>
      <c r="J115" s="70"/>
      <c r="L115" s="2"/>
      <c r="M115" s="2"/>
    </row>
    <row r="116" spans="1:13" ht="15" customHeight="1">
      <c r="A116" s="206" t="s">
        <v>515</v>
      </c>
      <c r="B116" s="205">
        <v>10072457</v>
      </c>
      <c r="C116" s="220" t="s">
        <v>83</v>
      </c>
      <c r="D116" s="208" t="s">
        <v>214</v>
      </c>
      <c r="E116" s="208" t="s">
        <v>170</v>
      </c>
      <c r="F116" s="206" t="s">
        <v>757</v>
      </c>
      <c r="G116" s="629">
        <v>1</v>
      </c>
      <c r="H116" s="207">
        <v>0.8</v>
      </c>
      <c r="I116" s="208"/>
      <c r="J116" s="70"/>
      <c r="L116" s="2"/>
      <c r="M116" s="2"/>
    </row>
    <row r="117" spans="1:13" ht="15" customHeight="1">
      <c r="A117" s="206" t="s">
        <v>519</v>
      </c>
      <c r="B117" s="205">
        <v>10070728</v>
      </c>
      <c r="C117" s="220" t="s">
        <v>83</v>
      </c>
      <c r="D117" s="208" t="s">
        <v>214</v>
      </c>
      <c r="E117" s="208" t="s">
        <v>170</v>
      </c>
      <c r="F117" s="206" t="s">
        <v>757</v>
      </c>
      <c r="G117" s="629">
        <v>1</v>
      </c>
      <c r="H117" s="207">
        <v>0.7</v>
      </c>
      <c r="I117" s="208"/>
      <c r="J117" s="70"/>
      <c r="L117" s="2"/>
      <c r="M117" s="2"/>
    </row>
    <row r="118" spans="1:13" ht="15" customHeight="1">
      <c r="A118" s="206" t="s">
        <v>525</v>
      </c>
      <c r="B118" s="205">
        <v>10071310</v>
      </c>
      <c r="C118" s="220" t="s">
        <v>83</v>
      </c>
      <c r="D118" s="208" t="s">
        <v>214</v>
      </c>
      <c r="E118" s="208" t="s">
        <v>170</v>
      </c>
      <c r="F118" s="206" t="s">
        <v>757</v>
      </c>
      <c r="G118" s="629">
        <v>1</v>
      </c>
      <c r="H118" s="207">
        <v>0.7</v>
      </c>
      <c r="I118" s="208"/>
      <c r="J118" s="70"/>
      <c r="L118" s="2"/>
      <c r="M118" s="2"/>
    </row>
    <row r="119" spans="1:13" ht="15" customHeight="1">
      <c r="A119" s="206" t="s">
        <v>532</v>
      </c>
      <c r="B119" s="205">
        <v>10072515</v>
      </c>
      <c r="C119" s="220" t="s">
        <v>83</v>
      </c>
      <c r="D119" s="208" t="s">
        <v>214</v>
      </c>
      <c r="E119" s="208" t="s">
        <v>170</v>
      </c>
      <c r="F119" s="206" t="s">
        <v>757</v>
      </c>
      <c r="G119" s="629">
        <v>1</v>
      </c>
      <c r="H119" s="207">
        <v>0.7</v>
      </c>
      <c r="I119" s="208"/>
      <c r="J119" s="70"/>
      <c r="L119" s="2"/>
      <c r="M119" s="2"/>
    </row>
    <row r="120" spans="1:13" ht="15" customHeight="1">
      <c r="A120" s="206" t="s">
        <v>537</v>
      </c>
      <c r="B120" s="205">
        <v>10072211</v>
      </c>
      <c r="C120" s="220" t="s">
        <v>83</v>
      </c>
      <c r="D120" s="208" t="s">
        <v>214</v>
      </c>
      <c r="E120" s="208" t="s">
        <v>170</v>
      </c>
      <c r="F120" s="206" t="s">
        <v>757</v>
      </c>
      <c r="G120" s="629">
        <v>1</v>
      </c>
      <c r="H120" s="207">
        <v>0.7</v>
      </c>
      <c r="I120" s="208"/>
      <c r="J120" s="70"/>
      <c r="L120" s="2"/>
      <c r="M120" s="2"/>
    </row>
    <row r="121" spans="1:13" ht="15" customHeight="1">
      <c r="A121" s="206" t="s">
        <v>455</v>
      </c>
      <c r="B121" s="205">
        <v>10072460</v>
      </c>
      <c r="C121" s="220" t="s">
        <v>83</v>
      </c>
      <c r="D121" s="208" t="s">
        <v>214</v>
      </c>
      <c r="E121" s="208" t="s">
        <v>170</v>
      </c>
      <c r="F121" s="206" t="s">
        <v>757</v>
      </c>
      <c r="G121" s="629">
        <v>1</v>
      </c>
      <c r="H121" s="207">
        <v>0.9</v>
      </c>
      <c r="I121" s="208"/>
      <c r="J121" s="70"/>
      <c r="L121" s="2"/>
      <c r="M121" s="2"/>
    </row>
    <row r="122" spans="1:13" ht="15" customHeight="1">
      <c r="A122" s="206" t="s">
        <v>551</v>
      </c>
      <c r="B122" s="205">
        <v>10071903</v>
      </c>
      <c r="C122" s="220" t="s">
        <v>83</v>
      </c>
      <c r="D122" s="208" t="s">
        <v>214</v>
      </c>
      <c r="E122" s="208" t="s">
        <v>170</v>
      </c>
      <c r="F122" s="206" t="s">
        <v>757</v>
      </c>
      <c r="G122" s="629">
        <v>1</v>
      </c>
      <c r="H122" s="207">
        <v>0.9</v>
      </c>
      <c r="I122" s="208"/>
      <c r="J122" s="70"/>
      <c r="L122" s="2"/>
      <c r="M122" s="2"/>
    </row>
    <row r="123" spans="1:13" ht="15" customHeight="1">
      <c r="A123" s="206" t="s">
        <v>466</v>
      </c>
      <c r="B123" s="205">
        <v>10071411</v>
      </c>
      <c r="C123" s="220" t="s">
        <v>123</v>
      </c>
      <c r="D123" s="208" t="s">
        <v>227</v>
      </c>
      <c r="E123" s="208" t="s">
        <v>106</v>
      </c>
      <c r="F123" s="206" t="s">
        <v>757</v>
      </c>
      <c r="G123" s="629">
        <v>1</v>
      </c>
      <c r="H123" s="207">
        <v>1</v>
      </c>
      <c r="I123" s="208"/>
      <c r="J123" s="70"/>
      <c r="L123" s="2"/>
      <c r="M123" s="2"/>
    </row>
    <row r="124" spans="1:13" ht="15" customHeight="1">
      <c r="A124" s="206" t="s">
        <v>474</v>
      </c>
      <c r="B124" s="205">
        <v>10072040</v>
      </c>
      <c r="C124" s="220" t="s">
        <v>123</v>
      </c>
      <c r="D124" s="208" t="s">
        <v>124</v>
      </c>
      <c r="E124" s="208" t="s">
        <v>106</v>
      </c>
      <c r="F124" s="206" t="s">
        <v>757</v>
      </c>
      <c r="G124" s="629">
        <v>1</v>
      </c>
      <c r="H124" s="207">
        <v>0.8</v>
      </c>
      <c r="I124" s="208"/>
      <c r="J124" s="70"/>
      <c r="L124" s="2"/>
      <c r="M124" s="2"/>
    </row>
    <row r="125" spans="1:13" ht="15" customHeight="1">
      <c r="A125" s="206" t="s">
        <v>481</v>
      </c>
      <c r="B125" s="205">
        <v>10071199</v>
      </c>
      <c r="C125" s="220" t="s">
        <v>123</v>
      </c>
      <c r="D125" s="208" t="s">
        <v>124</v>
      </c>
      <c r="E125" s="208" t="s">
        <v>106</v>
      </c>
      <c r="F125" s="206" t="s">
        <v>757</v>
      </c>
      <c r="G125" s="629">
        <v>1</v>
      </c>
      <c r="H125" s="207">
        <v>0.9</v>
      </c>
      <c r="I125" s="208"/>
      <c r="J125" s="70"/>
      <c r="L125" s="2"/>
      <c r="M125" s="2"/>
    </row>
    <row r="126" spans="1:13" ht="15" customHeight="1">
      <c r="A126" s="206" t="s">
        <v>214</v>
      </c>
      <c r="B126" s="205">
        <v>10071099</v>
      </c>
      <c r="C126" s="220" t="s">
        <v>262</v>
      </c>
      <c r="D126" s="208" t="s">
        <v>170</v>
      </c>
      <c r="E126" s="208" t="s">
        <v>170</v>
      </c>
      <c r="F126" s="206" t="s">
        <v>757</v>
      </c>
      <c r="G126" s="629">
        <v>1</v>
      </c>
      <c r="H126" s="207">
        <v>0.6</v>
      </c>
      <c r="I126" s="208"/>
      <c r="J126" s="70"/>
      <c r="L126" s="2"/>
      <c r="M126" s="2"/>
    </row>
    <row r="127" spans="1:13" ht="15" customHeight="1">
      <c r="A127" s="206" t="s">
        <v>498</v>
      </c>
      <c r="B127" s="206">
        <v>10072220</v>
      </c>
      <c r="C127" s="220" t="s">
        <v>123</v>
      </c>
      <c r="D127" s="208" t="s">
        <v>227</v>
      </c>
      <c r="E127" s="208" t="s">
        <v>106</v>
      </c>
      <c r="F127" s="206" t="s">
        <v>757</v>
      </c>
      <c r="G127" s="629">
        <v>1</v>
      </c>
      <c r="H127" s="207">
        <v>1</v>
      </c>
      <c r="I127" s="208"/>
      <c r="J127" s="70"/>
      <c r="L127" s="2"/>
      <c r="M127" s="2"/>
    </row>
    <row r="128" spans="1:13" ht="15" customHeight="1">
      <c r="A128" s="206" t="s">
        <v>510</v>
      </c>
      <c r="B128" s="206">
        <v>10071342</v>
      </c>
      <c r="C128" s="220" t="s">
        <v>123</v>
      </c>
      <c r="D128" s="208" t="s">
        <v>227</v>
      </c>
      <c r="E128" s="208" t="s">
        <v>106</v>
      </c>
      <c r="F128" s="206" t="s">
        <v>757</v>
      </c>
      <c r="G128" s="629">
        <v>1</v>
      </c>
      <c r="H128" s="207">
        <v>1</v>
      </c>
      <c r="I128" s="208"/>
      <c r="J128" s="70"/>
      <c r="L128" s="2"/>
      <c r="M128" s="2"/>
    </row>
    <row r="129" spans="1:13" ht="15" customHeight="1">
      <c r="A129" s="206" t="s">
        <v>516</v>
      </c>
      <c r="B129" s="206">
        <v>10071946</v>
      </c>
      <c r="C129" s="220" t="s">
        <v>123</v>
      </c>
      <c r="D129" s="208" t="s">
        <v>227</v>
      </c>
      <c r="E129" s="208" t="s">
        <v>106</v>
      </c>
      <c r="F129" s="206" t="s">
        <v>757</v>
      </c>
      <c r="G129" s="629">
        <v>1</v>
      </c>
      <c r="H129" s="207">
        <v>0.9</v>
      </c>
      <c r="I129" s="208"/>
      <c r="J129" s="70"/>
      <c r="L129" s="2"/>
      <c r="M129" s="2"/>
    </row>
    <row r="130" spans="1:13" ht="15" customHeight="1">
      <c r="A130" s="206" t="s">
        <v>522</v>
      </c>
      <c r="B130" s="206">
        <v>10071600</v>
      </c>
      <c r="C130" s="220" t="s">
        <v>123</v>
      </c>
      <c r="D130" s="208" t="s">
        <v>227</v>
      </c>
      <c r="E130" s="208" t="s">
        <v>106</v>
      </c>
      <c r="F130" s="206" t="s">
        <v>757</v>
      </c>
      <c r="G130" s="629">
        <v>1</v>
      </c>
      <c r="H130" s="207">
        <v>1</v>
      </c>
      <c r="I130" s="208"/>
      <c r="J130" s="70"/>
      <c r="L130" s="2"/>
      <c r="M130" s="2"/>
    </row>
    <row r="131" spans="1:13" ht="15" customHeight="1">
      <c r="A131" s="206" t="s">
        <v>524</v>
      </c>
      <c r="B131" s="206">
        <v>10071729</v>
      </c>
      <c r="C131" s="220" t="s">
        <v>123</v>
      </c>
      <c r="D131" s="208" t="s">
        <v>227</v>
      </c>
      <c r="E131" s="208" t="s">
        <v>106</v>
      </c>
      <c r="F131" s="206" t="s">
        <v>757</v>
      </c>
      <c r="G131" s="629">
        <v>1</v>
      </c>
      <c r="H131" s="207">
        <v>1</v>
      </c>
      <c r="I131" s="208"/>
      <c r="J131" s="70"/>
      <c r="L131" s="2"/>
      <c r="M131" s="2"/>
    </row>
    <row r="132" spans="1:13" ht="15" customHeight="1">
      <c r="A132" s="206" t="s">
        <v>530</v>
      </c>
      <c r="B132" s="206">
        <v>10072452</v>
      </c>
      <c r="C132" s="220" t="s">
        <v>123</v>
      </c>
      <c r="D132" s="208" t="s">
        <v>124</v>
      </c>
      <c r="E132" s="208" t="s">
        <v>106</v>
      </c>
      <c r="F132" s="206" t="s">
        <v>757</v>
      </c>
      <c r="G132" s="629">
        <v>1</v>
      </c>
      <c r="H132" s="207">
        <v>1</v>
      </c>
      <c r="I132" s="208"/>
      <c r="J132" s="70"/>
      <c r="L132" s="2"/>
      <c r="M132" s="2"/>
    </row>
    <row r="133" spans="1:13" ht="15" customHeight="1">
      <c r="A133" s="206" t="s">
        <v>531</v>
      </c>
      <c r="B133" s="206">
        <v>10071178</v>
      </c>
      <c r="C133" s="220" t="s">
        <v>123</v>
      </c>
      <c r="D133" s="208" t="s">
        <v>124</v>
      </c>
      <c r="E133" s="208" t="s">
        <v>106</v>
      </c>
      <c r="F133" s="206" t="s">
        <v>757</v>
      </c>
      <c r="G133" s="629">
        <v>1</v>
      </c>
      <c r="H133" s="207">
        <v>0.9</v>
      </c>
      <c r="I133" s="208"/>
      <c r="J133" s="70"/>
      <c r="L133" s="2"/>
      <c r="M133" s="2"/>
    </row>
    <row r="134" spans="1:13" ht="15" customHeight="1">
      <c r="A134" s="206" t="s">
        <v>533</v>
      </c>
      <c r="B134" s="206">
        <v>10071439</v>
      </c>
      <c r="C134" s="220" t="s">
        <v>123</v>
      </c>
      <c r="D134" s="208" t="s">
        <v>124</v>
      </c>
      <c r="E134" s="208" t="s">
        <v>106</v>
      </c>
      <c r="F134" s="206" t="s">
        <v>757</v>
      </c>
      <c r="G134" s="629">
        <v>1</v>
      </c>
      <c r="H134" s="207">
        <v>1</v>
      </c>
      <c r="I134" s="208"/>
      <c r="J134" s="70"/>
      <c r="L134" s="2"/>
      <c r="M134" s="2"/>
    </row>
    <row r="135" spans="1:13" ht="15" customHeight="1">
      <c r="A135" s="206" t="s">
        <v>535</v>
      </c>
      <c r="B135" s="206">
        <v>10071151</v>
      </c>
      <c r="C135" s="220" t="s">
        <v>123</v>
      </c>
      <c r="D135" s="208" t="s">
        <v>227</v>
      </c>
      <c r="E135" s="208" t="s">
        <v>106</v>
      </c>
      <c r="F135" s="206" t="s">
        <v>757</v>
      </c>
      <c r="G135" s="629">
        <v>1</v>
      </c>
      <c r="H135" s="207">
        <v>1</v>
      </c>
      <c r="I135" s="208"/>
      <c r="J135" s="70"/>
      <c r="L135" s="2"/>
      <c r="M135" s="2"/>
    </row>
    <row r="136" spans="1:13" ht="15" customHeight="1">
      <c r="A136" s="219" t="s">
        <v>186</v>
      </c>
      <c r="B136" s="205">
        <v>10072501</v>
      </c>
      <c r="C136" s="220" t="s">
        <v>262</v>
      </c>
      <c r="D136" s="208" t="s">
        <v>170</v>
      </c>
      <c r="E136" s="208" t="s">
        <v>170</v>
      </c>
      <c r="F136" s="206" t="s">
        <v>757</v>
      </c>
      <c r="G136" s="629">
        <v>1</v>
      </c>
      <c r="H136" s="207">
        <v>0.8</v>
      </c>
      <c r="I136" s="208"/>
      <c r="J136" s="70"/>
      <c r="L136" s="2"/>
      <c r="M136" s="2"/>
    </row>
    <row r="137" spans="1:13" ht="15" customHeight="1">
      <c r="A137" s="206" t="s">
        <v>169</v>
      </c>
      <c r="B137" s="205">
        <v>10072072</v>
      </c>
      <c r="C137" s="220" t="s">
        <v>262</v>
      </c>
      <c r="D137" s="206" t="s">
        <v>170</v>
      </c>
      <c r="E137" s="206" t="s">
        <v>170</v>
      </c>
      <c r="F137" s="206" t="s">
        <v>757</v>
      </c>
      <c r="G137" s="629">
        <v>1</v>
      </c>
      <c r="H137" s="207">
        <v>1</v>
      </c>
      <c r="I137" s="208"/>
      <c r="J137" s="70"/>
      <c r="L137" s="2"/>
      <c r="M137" s="2"/>
    </row>
    <row r="138" spans="1:13" ht="15" customHeight="1">
      <c r="A138" s="206" t="s">
        <v>152</v>
      </c>
      <c r="B138" s="205">
        <v>10070715</v>
      </c>
      <c r="C138" s="220" t="s">
        <v>262</v>
      </c>
      <c r="D138" s="206" t="s">
        <v>85</v>
      </c>
      <c r="E138" s="206" t="s">
        <v>85</v>
      </c>
      <c r="F138" s="206" t="s">
        <v>757</v>
      </c>
      <c r="G138" s="629">
        <v>1</v>
      </c>
      <c r="H138" s="207" t="s">
        <v>14</v>
      </c>
      <c r="I138" s="208" t="s">
        <v>764</v>
      </c>
      <c r="J138" s="70"/>
      <c r="L138" s="2"/>
      <c r="M138" s="2"/>
    </row>
    <row r="139" spans="1:13" ht="15" customHeight="1">
      <c r="A139" s="206" t="s">
        <v>137</v>
      </c>
      <c r="B139" s="206">
        <v>10072502</v>
      </c>
      <c r="C139" s="220" t="s">
        <v>262</v>
      </c>
      <c r="D139" s="206" t="s">
        <v>85</v>
      </c>
      <c r="E139" s="206" t="s">
        <v>85</v>
      </c>
      <c r="F139" s="206" t="s">
        <v>757</v>
      </c>
      <c r="G139" s="629">
        <v>1</v>
      </c>
      <c r="H139" s="207">
        <v>0.7</v>
      </c>
      <c r="I139" s="208"/>
      <c r="J139" s="70"/>
      <c r="L139" s="2"/>
      <c r="M139" s="2"/>
    </row>
    <row r="140" spans="1:13" ht="15" customHeight="1">
      <c r="A140" s="206" t="s">
        <v>765</v>
      </c>
      <c r="B140" s="206">
        <v>10072608</v>
      </c>
      <c r="C140" s="220" t="s">
        <v>761</v>
      </c>
      <c r="D140" s="206" t="s">
        <v>106</v>
      </c>
      <c r="E140" s="206" t="s">
        <v>106</v>
      </c>
      <c r="F140" s="206" t="s">
        <v>757</v>
      </c>
      <c r="G140" s="629">
        <v>1</v>
      </c>
      <c r="H140" s="207">
        <v>0.9</v>
      </c>
      <c r="I140" s="208"/>
      <c r="J140" s="70"/>
      <c r="L140" s="2"/>
      <c r="M140" s="2"/>
    </row>
    <row r="141" spans="1:13" ht="15" customHeight="1">
      <c r="A141" s="206" t="s">
        <v>124</v>
      </c>
      <c r="B141" s="206">
        <v>10071245</v>
      </c>
      <c r="C141" s="220" t="s">
        <v>265</v>
      </c>
      <c r="D141" s="206" t="s">
        <v>106</v>
      </c>
      <c r="E141" s="206" t="s">
        <v>106</v>
      </c>
      <c r="F141" s="206" t="s">
        <v>757</v>
      </c>
      <c r="G141" s="629">
        <v>1</v>
      </c>
      <c r="H141" s="207">
        <v>0.8</v>
      </c>
      <c r="I141" s="208"/>
      <c r="J141" s="70"/>
      <c r="L141" s="2"/>
      <c r="M141" s="2"/>
    </row>
    <row r="142" spans="1:13" ht="15" customHeight="1">
      <c r="A142" s="206" t="s">
        <v>84</v>
      </c>
      <c r="B142" s="206">
        <v>10070655</v>
      </c>
      <c r="C142" s="220" t="s">
        <v>262</v>
      </c>
      <c r="D142" s="206" t="s">
        <v>85</v>
      </c>
      <c r="E142" s="206" t="s">
        <v>85</v>
      </c>
      <c r="F142" s="206" t="s">
        <v>757</v>
      </c>
      <c r="G142" s="629">
        <v>1</v>
      </c>
      <c r="H142" s="207">
        <v>0.2</v>
      </c>
      <c r="I142" s="208"/>
      <c r="J142" s="70"/>
      <c r="L142" s="2"/>
      <c r="M142" s="2"/>
    </row>
    <row r="143" spans="1:13" ht="15" customHeight="1">
      <c r="A143" s="205" t="s">
        <v>545</v>
      </c>
      <c r="B143" s="205">
        <v>10072439</v>
      </c>
      <c r="C143" s="220" t="s">
        <v>123</v>
      </c>
      <c r="D143" s="206" t="s">
        <v>227</v>
      </c>
      <c r="E143" s="206" t="s">
        <v>106</v>
      </c>
      <c r="F143" s="206" t="s">
        <v>757</v>
      </c>
      <c r="G143" s="629">
        <v>1</v>
      </c>
      <c r="H143" s="207">
        <v>1</v>
      </c>
      <c r="I143" s="208"/>
      <c r="J143" s="70"/>
      <c r="L143" s="2"/>
      <c r="M143" s="2"/>
    </row>
    <row r="144" spans="1:13" ht="15" customHeight="1">
      <c r="A144" s="206" t="s">
        <v>556</v>
      </c>
      <c r="B144" s="206">
        <v>10071314</v>
      </c>
      <c r="C144" s="220" t="s">
        <v>123</v>
      </c>
      <c r="D144" s="206" t="s">
        <v>124</v>
      </c>
      <c r="E144" s="206" t="s">
        <v>106</v>
      </c>
      <c r="F144" s="206" t="s">
        <v>757</v>
      </c>
      <c r="G144" s="629">
        <v>1</v>
      </c>
      <c r="H144" s="207">
        <v>1</v>
      </c>
      <c r="I144" s="208"/>
      <c r="J144" s="70"/>
      <c r="L144" s="2"/>
      <c r="M144" s="2"/>
    </row>
    <row r="145" spans="1:13" ht="15" customHeight="1">
      <c r="A145" s="206" t="s">
        <v>471</v>
      </c>
      <c r="B145" s="206">
        <v>10071775</v>
      </c>
      <c r="C145" s="220" t="s">
        <v>83</v>
      </c>
      <c r="D145" s="206" t="s">
        <v>84</v>
      </c>
      <c r="E145" s="206" t="s">
        <v>85</v>
      </c>
      <c r="F145" s="206" t="s">
        <v>757</v>
      </c>
      <c r="G145" s="206">
        <v>2</v>
      </c>
      <c r="H145" s="207">
        <v>0.6</v>
      </c>
      <c r="I145" s="208"/>
      <c r="J145" s="70"/>
      <c r="L145" s="2"/>
      <c r="M145" s="2"/>
    </row>
    <row r="146" spans="1:13" ht="15" customHeight="1">
      <c r="A146" s="206" t="s">
        <v>446</v>
      </c>
      <c r="B146" s="206">
        <v>10072158</v>
      </c>
      <c r="C146" s="220" t="s">
        <v>83</v>
      </c>
      <c r="D146" s="206" t="s">
        <v>84</v>
      </c>
      <c r="E146" s="206" t="s">
        <v>85</v>
      </c>
      <c r="F146" s="206" t="s">
        <v>757</v>
      </c>
      <c r="G146" s="206">
        <v>2</v>
      </c>
      <c r="H146" s="207">
        <v>0.7</v>
      </c>
      <c r="I146" s="208"/>
      <c r="J146" s="70"/>
      <c r="L146" s="2"/>
      <c r="M146" s="2"/>
    </row>
    <row r="147" spans="1:13" ht="15" customHeight="1">
      <c r="A147" s="206" t="s">
        <v>447</v>
      </c>
      <c r="B147" s="205">
        <v>10071899</v>
      </c>
      <c r="C147" s="220" t="s">
        <v>83</v>
      </c>
      <c r="D147" s="206" t="s">
        <v>84</v>
      </c>
      <c r="E147" s="206" t="s">
        <v>85</v>
      </c>
      <c r="F147" s="206" t="s">
        <v>757</v>
      </c>
      <c r="G147" s="206">
        <v>2</v>
      </c>
      <c r="H147" s="207">
        <v>1</v>
      </c>
      <c r="I147" s="208"/>
      <c r="J147" s="70"/>
      <c r="L147" s="2"/>
      <c r="M147" s="2"/>
    </row>
    <row r="148" spans="1:13" ht="15" customHeight="1">
      <c r="A148" s="206" t="s">
        <v>462</v>
      </c>
      <c r="B148" s="205">
        <v>10071594</v>
      </c>
      <c r="C148" s="205" t="s">
        <v>83</v>
      </c>
      <c r="D148" s="208" t="s">
        <v>84</v>
      </c>
      <c r="E148" s="208" t="s">
        <v>85</v>
      </c>
      <c r="F148" s="206" t="s">
        <v>757</v>
      </c>
      <c r="G148" s="206">
        <v>2</v>
      </c>
      <c r="H148" s="207">
        <v>0.6</v>
      </c>
      <c r="I148" s="208"/>
      <c r="J148" s="70"/>
      <c r="L148" s="2"/>
      <c r="M148" s="2"/>
    </row>
    <row r="149" spans="1:13" ht="15" customHeight="1">
      <c r="A149" s="206" t="s">
        <v>496</v>
      </c>
      <c r="B149" s="206">
        <v>10071592</v>
      </c>
      <c r="C149" s="220" t="s">
        <v>83</v>
      </c>
      <c r="D149" s="206" t="s">
        <v>84</v>
      </c>
      <c r="E149" s="206" t="s">
        <v>85</v>
      </c>
      <c r="F149" s="206" t="s">
        <v>757</v>
      </c>
      <c r="G149" s="206">
        <v>2</v>
      </c>
      <c r="H149" s="207">
        <v>1</v>
      </c>
      <c r="I149" s="208"/>
      <c r="J149" s="70"/>
      <c r="L149" s="2"/>
      <c r="M149" s="2"/>
    </row>
    <row r="150" spans="1:13" ht="15" customHeight="1">
      <c r="A150" s="206" t="s">
        <v>499</v>
      </c>
      <c r="B150" s="206">
        <v>10072228</v>
      </c>
      <c r="C150" s="220" t="s">
        <v>83</v>
      </c>
      <c r="D150" s="206" t="s">
        <v>84</v>
      </c>
      <c r="E150" s="206" t="s">
        <v>85</v>
      </c>
      <c r="F150" s="206" t="s">
        <v>757</v>
      </c>
      <c r="G150" s="206">
        <v>2</v>
      </c>
      <c r="H150" s="207">
        <v>0.7</v>
      </c>
      <c r="I150" s="208"/>
      <c r="J150" s="70"/>
      <c r="L150" s="2"/>
      <c r="M150" s="2"/>
    </row>
    <row r="151" spans="1:13" ht="15" customHeight="1">
      <c r="A151" s="206" t="s">
        <v>504</v>
      </c>
      <c r="B151" s="205">
        <v>10072161</v>
      </c>
      <c r="C151" s="220" t="s">
        <v>83</v>
      </c>
      <c r="D151" s="206" t="s">
        <v>84</v>
      </c>
      <c r="E151" s="206" t="s">
        <v>85</v>
      </c>
      <c r="F151" s="206" t="s">
        <v>757</v>
      </c>
      <c r="G151" s="206">
        <v>2</v>
      </c>
      <c r="H151" s="207" t="s">
        <v>14</v>
      </c>
      <c r="I151" s="208" t="s">
        <v>760</v>
      </c>
      <c r="J151" s="70"/>
      <c r="L151" s="2"/>
      <c r="M151" s="2"/>
    </row>
    <row r="152" spans="1:13" ht="15" customHeight="1">
      <c r="A152" s="206" t="s">
        <v>513</v>
      </c>
      <c r="B152" s="205">
        <v>10071147</v>
      </c>
      <c r="C152" s="220" t="s">
        <v>83</v>
      </c>
      <c r="D152" s="206" t="s">
        <v>84</v>
      </c>
      <c r="E152" s="206" t="s">
        <v>85</v>
      </c>
      <c r="F152" s="206" t="s">
        <v>757</v>
      </c>
      <c r="G152" s="206">
        <v>2</v>
      </c>
      <c r="H152" s="207">
        <v>0.7</v>
      </c>
      <c r="I152" s="208"/>
      <c r="J152" s="70"/>
      <c r="L152" s="2"/>
      <c r="M152" s="2"/>
    </row>
    <row r="153" spans="1:13" ht="15" customHeight="1">
      <c r="A153" s="206" t="s">
        <v>559</v>
      </c>
      <c r="B153" s="205">
        <v>10072105</v>
      </c>
      <c r="C153" s="220" t="s">
        <v>83</v>
      </c>
      <c r="D153" s="206" t="s">
        <v>84</v>
      </c>
      <c r="E153" s="206" t="s">
        <v>85</v>
      </c>
      <c r="F153" s="206" t="s">
        <v>757</v>
      </c>
      <c r="G153" s="206">
        <v>2</v>
      </c>
      <c r="H153" s="207">
        <v>0.6</v>
      </c>
      <c r="I153" s="208"/>
      <c r="J153" s="70"/>
      <c r="L153" s="2"/>
      <c r="M153" s="2"/>
    </row>
    <row r="154" spans="1:13" ht="15" customHeight="1">
      <c r="A154" s="206" t="s">
        <v>99</v>
      </c>
      <c r="B154" s="205">
        <v>10072206</v>
      </c>
      <c r="C154" s="220" t="s">
        <v>83</v>
      </c>
      <c r="D154" s="206" t="s">
        <v>84</v>
      </c>
      <c r="E154" s="206" t="s">
        <v>85</v>
      </c>
      <c r="F154" s="206" t="s">
        <v>757</v>
      </c>
      <c r="G154" s="206">
        <v>2</v>
      </c>
      <c r="H154" s="207">
        <v>0.8</v>
      </c>
      <c r="I154" s="208"/>
      <c r="J154" s="70"/>
      <c r="L154" s="2"/>
      <c r="M154" s="2"/>
    </row>
    <row r="155" spans="1:13" ht="15" customHeight="1">
      <c r="A155" s="206" t="s">
        <v>475</v>
      </c>
      <c r="B155" s="205">
        <v>10072031</v>
      </c>
      <c r="C155" s="220" t="s">
        <v>83</v>
      </c>
      <c r="D155" s="206" t="s">
        <v>84</v>
      </c>
      <c r="E155" s="206" t="s">
        <v>85</v>
      </c>
      <c r="F155" s="206" t="s">
        <v>757</v>
      </c>
      <c r="G155" s="206">
        <v>2</v>
      </c>
      <c r="H155" s="207">
        <v>0.6</v>
      </c>
      <c r="I155" s="208"/>
      <c r="J155" s="70"/>
      <c r="L155" s="2"/>
      <c r="M155" s="2"/>
    </row>
    <row r="156" spans="1:13" ht="15" customHeight="1">
      <c r="A156" s="206" t="s">
        <v>557</v>
      </c>
      <c r="B156" s="205">
        <v>10070976</v>
      </c>
      <c r="C156" s="220" t="s">
        <v>83</v>
      </c>
      <c r="D156" s="206" t="s">
        <v>84</v>
      </c>
      <c r="E156" s="206" t="s">
        <v>85</v>
      </c>
      <c r="F156" s="206" t="s">
        <v>757</v>
      </c>
      <c r="G156" s="206">
        <v>2</v>
      </c>
      <c r="H156" s="207">
        <v>0.5</v>
      </c>
      <c r="I156" s="208"/>
      <c r="J156" s="70"/>
      <c r="L156" s="2"/>
      <c r="M156" s="2"/>
    </row>
    <row r="157" spans="1:13" ht="15" customHeight="1">
      <c r="A157" s="206" t="s">
        <v>472</v>
      </c>
      <c r="B157" s="205">
        <v>10072063</v>
      </c>
      <c r="C157" s="220" t="s">
        <v>83</v>
      </c>
      <c r="D157" s="206" t="s">
        <v>84</v>
      </c>
      <c r="E157" s="206" t="s">
        <v>85</v>
      </c>
      <c r="F157" s="206" t="s">
        <v>757</v>
      </c>
      <c r="G157" s="206">
        <v>2</v>
      </c>
      <c r="H157" s="207">
        <v>0.7</v>
      </c>
      <c r="I157" s="208"/>
      <c r="J157" s="70"/>
      <c r="L157" s="2"/>
      <c r="M157" s="2"/>
    </row>
    <row r="158" spans="1:13" ht="15" customHeight="1">
      <c r="A158" s="206" t="s">
        <v>561</v>
      </c>
      <c r="B158" s="205">
        <v>10071750</v>
      </c>
      <c r="C158" s="220" t="s">
        <v>83</v>
      </c>
      <c r="D158" s="206" t="s">
        <v>84</v>
      </c>
      <c r="E158" s="206" t="s">
        <v>85</v>
      </c>
      <c r="F158" s="206" t="s">
        <v>757</v>
      </c>
      <c r="G158" s="206">
        <v>2</v>
      </c>
      <c r="H158" s="207">
        <v>0.8</v>
      </c>
      <c r="I158" s="208"/>
      <c r="J158" s="70"/>
      <c r="L158" s="2"/>
      <c r="M158" s="2"/>
    </row>
    <row r="159" spans="1:13" ht="15" customHeight="1">
      <c r="A159" s="206" t="s">
        <v>420</v>
      </c>
      <c r="B159" s="205">
        <v>10071071</v>
      </c>
      <c r="C159" s="220" t="s">
        <v>87</v>
      </c>
      <c r="D159" s="206" t="s">
        <v>105</v>
      </c>
      <c r="E159" s="206" t="s">
        <v>106</v>
      </c>
      <c r="F159" s="206" t="s">
        <v>757</v>
      </c>
      <c r="G159" s="206">
        <v>2</v>
      </c>
      <c r="H159" s="207">
        <v>0.6</v>
      </c>
      <c r="I159" s="208"/>
      <c r="J159" s="70"/>
      <c r="L159" s="2"/>
      <c r="M159" s="2"/>
    </row>
    <row r="160" spans="1:13" ht="15" customHeight="1">
      <c r="A160" s="206" t="s">
        <v>445</v>
      </c>
      <c r="B160" s="205">
        <v>10072471</v>
      </c>
      <c r="C160" s="220" t="s">
        <v>87</v>
      </c>
      <c r="D160" s="206" t="s">
        <v>105</v>
      </c>
      <c r="E160" s="206" t="s">
        <v>106</v>
      </c>
      <c r="F160" s="206" t="s">
        <v>757</v>
      </c>
      <c r="G160" s="206">
        <v>2</v>
      </c>
      <c r="H160" s="207">
        <v>0.8</v>
      </c>
      <c r="I160" s="208"/>
      <c r="J160" s="70"/>
      <c r="L160" s="2"/>
      <c r="M160" s="2"/>
    </row>
    <row r="161" spans="1:13" ht="15" customHeight="1">
      <c r="A161" s="206" t="s">
        <v>480</v>
      </c>
      <c r="B161" s="205">
        <v>10072182</v>
      </c>
      <c r="C161" s="220" t="s">
        <v>87</v>
      </c>
      <c r="D161" s="206" t="s">
        <v>105</v>
      </c>
      <c r="E161" s="206" t="s">
        <v>106</v>
      </c>
      <c r="F161" s="206" t="s">
        <v>757</v>
      </c>
      <c r="G161" s="206">
        <v>2</v>
      </c>
      <c r="H161" s="207">
        <v>0.6</v>
      </c>
      <c r="I161" s="208"/>
      <c r="J161" s="70"/>
      <c r="L161" s="2"/>
      <c r="M161" s="2"/>
    </row>
    <row r="162" spans="1:13" ht="15" customHeight="1">
      <c r="A162" s="206" t="s">
        <v>484</v>
      </c>
      <c r="B162" s="205">
        <v>10072222</v>
      </c>
      <c r="C162" s="220" t="s">
        <v>87</v>
      </c>
      <c r="D162" s="206" t="s">
        <v>105</v>
      </c>
      <c r="E162" s="206" t="s">
        <v>106</v>
      </c>
      <c r="F162" s="206" t="s">
        <v>757</v>
      </c>
      <c r="G162" s="206">
        <v>2</v>
      </c>
      <c r="H162" s="207">
        <v>0.9</v>
      </c>
      <c r="I162" s="208"/>
      <c r="J162" s="70"/>
      <c r="L162" s="2"/>
      <c r="M162" s="2"/>
    </row>
    <row r="163" spans="1:13" ht="15" customHeight="1">
      <c r="A163" s="206" t="s">
        <v>493</v>
      </c>
      <c r="B163" s="205">
        <v>10072472</v>
      </c>
      <c r="C163" s="220" t="s">
        <v>87</v>
      </c>
      <c r="D163" s="208" t="s">
        <v>105</v>
      </c>
      <c r="E163" s="208" t="s">
        <v>106</v>
      </c>
      <c r="F163" s="206" t="s">
        <v>757</v>
      </c>
      <c r="G163" s="206">
        <v>2</v>
      </c>
      <c r="H163" s="207">
        <v>0.9</v>
      </c>
      <c r="I163" s="208"/>
      <c r="J163" s="70"/>
      <c r="L163" s="2"/>
      <c r="M163" s="2"/>
    </row>
    <row r="164" spans="1:13" ht="15" customHeight="1">
      <c r="A164" s="206" t="s">
        <v>512</v>
      </c>
      <c r="B164" s="205">
        <v>10072069</v>
      </c>
      <c r="C164" s="220" t="s">
        <v>87</v>
      </c>
      <c r="D164" s="206" t="s">
        <v>105</v>
      </c>
      <c r="E164" s="206" t="s">
        <v>106</v>
      </c>
      <c r="F164" s="206" t="s">
        <v>757</v>
      </c>
      <c r="G164" s="206">
        <v>2</v>
      </c>
      <c r="H164" s="207" t="s">
        <v>14</v>
      </c>
      <c r="I164" s="208" t="s">
        <v>763</v>
      </c>
      <c r="J164" s="70"/>
      <c r="L164" s="2"/>
      <c r="M164" s="2"/>
    </row>
    <row r="165" spans="1:13" ht="15" customHeight="1">
      <c r="A165" s="206" t="s">
        <v>517</v>
      </c>
      <c r="B165" s="205">
        <v>10072097</v>
      </c>
      <c r="C165" s="220" t="s">
        <v>87</v>
      </c>
      <c r="D165" s="206" t="s">
        <v>105</v>
      </c>
      <c r="E165" s="206" t="s">
        <v>106</v>
      </c>
      <c r="F165" s="206" t="s">
        <v>757</v>
      </c>
      <c r="G165" s="206">
        <v>2</v>
      </c>
      <c r="H165" s="207">
        <v>0.6</v>
      </c>
      <c r="I165" s="208"/>
      <c r="J165" s="70"/>
      <c r="L165" s="2"/>
      <c r="M165" s="2"/>
    </row>
    <row r="166" spans="1:13" ht="15" customHeight="1">
      <c r="A166" s="206" t="s">
        <v>521</v>
      </c>
      <c r="B166" s="205">
        <v>10072077</v>
      </c>
      <c r="C166" s="220" t="s">
        <v>87</v>
      </c>
      <c r="D166" s="206" t="s">
        <v>105</v>
      </c>
      <c r="E166" s="206" t="s">
        <v>106</v>
      </c>
      <c r="F166" s="206" t="s">
        <v>757</v>
      </c>
      <c r="G166" s="206">
        <v>2</v>
      </c>
      <c r="H166" s="207">
        <v>0.9</v>
      </c>
      <c r="I166" s="208"/>
      <c r="J166" s="70"/>
      <c r="L166" s="2"/>
      <c r="M166" s="2"/>
    </row>
    <row r="167" spans="1:13" ht="15" customHeight="1">
      <c r="A167" s="206" t="s">
        <v>527</v>
      </c>
      <c r="B167" s="205">
        <v>10071617</v>
      </c>
      <c r="C167" s="220" t="s">
        <v>87</v>
      </c>
      <c r="D167" s="206" t="s">
        <v>105</v>
      </c>
      <c r="E167" s="206" t="s">
        <v>106</v>
      </c>
      <c r="F167" s="206" t="s">
        <v>757</v>
      </c>
      <c r="G167" s="206">
        <v>2</v>
      </c>
      <c r="H167" s="207">
        <v>0.7</v>
      </c>
      <c r="I167" s="208"/>
      <c r="J167" s="70"/>
      <c r="L167" s="2"/>
      <c r="M167" s="2"/>
    </row>
    <row r="168" spans="1:13" ht="15" customHeight="1">
      <c r="A168" s="206" t="s">
        <v>528</v>
      </c>
      <c r="B168" s="205">
        <v>10072215</v>
      </c>
      <c r="C168" s="220" t="s">
        <v>87</v>
      </c>
      <c r="D168" s="206" t="s">
        <v>105</v>
      </c>
      <c r="E168" s="206" t="s">
        <v>106</v>
      </c>
      <c r="F168" s="206" t="s">
        <v>757</v>
      </c>
      <c r="G168" s="206">
        <v>2</v>
      </c>
      <c r="H168" s="207">
        <v>0.5</v>
      </c>
      <c r="I168" s="208"/>
      <c r="J168" s="70"/>
      <c r="L168" s="2"/>
      <c r="M168" s="2"/>
    </row>
    <row r="169" spans="1:13" ht="15" customHeight="1">
      <c r="A169" s="206" t="s">
        <v>536</v>
      </c>
      <c r="B169" s="205">
        <v>10072213</v>
      </c>
      <c r="C169" s="220" t="s">
        <v>87</v>
      </c>
      <c r="D169" s="206" t="s">
        <v>105</v>
      </c>
      <c r="E169" s="206" t="s">
        <v>106</v>
      </c>
      <c r="F169" s="206" t="s">
        <v>757</v>
      </c>
      <c r="G169" s="206">
        <v>2</v>
      </c>
      <c r="H169" s="207" t="s">
        <v>14</v>
      </c>
      <c r="I169" s="208" t="s">
        <v>766</v>
      </c>
      <c r="J169" s="70"/>
      <c r="L169" s="2"/>
      <c r="M169" s="2"/>
    </row>
    <row r="170" spans="1:13" ht="15" customHeight="1">
      <c r="A170" s="206" t="s">
        <v>550</v>
      </c>
      <c r="B170" s="205">
        <v>10071055</v>
      </c>
      <c r="C170" s="220" t="s">
        <v>87</v>
      </c>
      <c r="D170" s="206" t="s">
        <v>105</v>
      </c>
      <c r="E170" s="206" t="s">
        <v>106</v>
      </c>
      <c r="F170" s="206" t="s">
        <v>757</v>
      </c>
      <c r="G170" s="206">
        <v>2</v>
      </c>
      <c r="H170" s="207">
        <v>0.5</v>
      </c>
      <c r="I170" s="208"/>
      <c r="J170" s="70"/>
      <c r="L170" s="2"/>
      <c r="M170" s="2"/>
    </row>
    <row r="171" spans="1:13" ht="15" customHeight="1">
      <c r="A171" s="206" t="s">
        <v>552</v>
      </c>
      <c r="B171" s="205">
        <v>10070996</v>
      </c>
      <c r="C171" s="220" t="s">
        <v>87</v>
      </c>
      <c r="D171" s="206" t="s">
        <v>105</v>
      </c>
      <c r="E171" s="206" t="s">
        <v>106</v>
      </c>
      <c r="F171" s="206" t="s">
        <v>757</v>
      </c>
      <c r="G171" s="206">
        <v>2</v>
      </c>
      <c r="H171" s="207">
        <v>0.9</v>
      </c>
      <c r="I171" s="208"/>
      <c r="J171" s="70"/>
      <c r="L171" s="2"/>
      <c r="M171" s="2"/>
    </row>
    <row r="172" spans="1:13" ht="15" customHeight="1">
      <c r="A172" s="206" t="s">
        <v>558</v>
      </c>
      <c r="B172" s="205">
        <v>10072184</v>
      </c>
      <c r="C172" s="220" t="s">
        <v>87</v>
      </c>
      <c r="D172" s="206" t="s">
        <v>105</v>
      </c>
      <c r="E172" s="206" t="s">
        <v>106</v>
      </c>
      <c r="F172" s="206" t="s">
        <v>757</v>
      </c>
      <c r="G172" s="206">
        <v>2</v>
      </c>
      <c r="H172" s="207">
        <v>0.7</v>
      </c>
      <c r="I172" s="208"/>
      <c r="J172" s="70"/>
      <c r="L172" s="2"/>
      <c r="M172" s="2"/>
    </row>
    <row r="173" spans="1:13" ht="15" customHeight="1">
      <c r="A173" s="206" t="s">
        <v>120</v>
      </c>
      <c r="B173" s="205">
        <v>10071355</v>
      </c>
      <c r="C173" s="220" t="s">
        <v>87</v>
      </c>
      <c r="D173" s="206" t="s">
        <v>105</v>
      </c>
      <c r="E173" s="206" t="s">
        <v>106</v>
      </c>
      <c r="F173" s="206" t="s">
        <v>757</v>
      </c>
      <c r="G173" s="206">
        <v>2</v>
      </c>
      <c r="H173" s="207">
        <v>0.6</v>
      </c>
      <c r="I173" s="208"/>
      <c r="J173" s="70"/>
      <c r="L173" s="2"/>
      <c r="M173" s="2"/>
    </row>
    <row r="174" spans="1:13" ht="15" customHeight="1">
      <c r="A174" s="206" t="s">
        <v>121</v>
      </c>
      <c r="B174" s="205">
        <v>10072007</v>
      </c>
      <c r="C174" s="220" t="s">
        <v>87</v>
      </c>
      <c r="D174" s="206" t="s">
        <v>105</v>
      </c>
      <c r="E174" s="206" t="s">
        <v>106</v>
      </c>
      <c r="F174" s="206" t="s">
        <v>757</v>
      </c>
      <c r="G174" s="206">
        <v>2</v>
      </c>
      <c r="H174" s="207">
        <v>0.4</v>
      </c>
      <c r="I174" s="208"/>
      <c r="J174" s="70"/>
      <c r="L174" s="2"/>
      <c r="M174" s="2"/>
    </row>
    <row r="175" spans="1:13" ht="15" customHeight="1">
      <c r="A175" s="206" t="s">
        <v>421</v>
      </c>
      <c r="B175" s="205">
        <v>10072156</v>
      </c>
      <c r="C175" s="220" t="s">
        <v>123</v>
      </c>
      <c r="D175" s="206" t="s">
        <v>124</v>
      </c>
      <c r="E175" s="206" t="s">
        <v>106</v>
      </c>
      <c r="F175" s="206" t="s">
        <v>757</v>
      </c>
      <c r="G175" s="206">
        <v>2</v>
      </c>
      <c r="H175" s="207">
        <v>0.9</v>
      </c>
      <c r="I175" s="208"/>
      <c r="J175" s="70"/>
      <c r="L175" s="2"/>
      <c r="M175" s="2"/>
    </row>
    <row r="176" spans="1:13" ht="15" customHeight="1">
      <c r="A176" s="206" t="s">
        <v>424</v>
      </c>
      <c r="B176" s="205">
        <v>10072301</v>
      </c>
      <c r="C176" s="220" t="s">
        <v>123</v>
      </c>
      <c r="D176" s="206" t="s">
        <v>124</v>
      </c>
      <c r="E176" s="206" t="s">
        <v>106</v>
      </c>
      <c r="F176" s="206" t="s">
        <v>757</v>
      </c>
      <c r="G176" s="206">
        <v>2</v>
      </c>
      <c r="H176" s="207">
        <v>0.9</v>
      </c>
      <c r="I176" s="208"/>
      <c r="J176" s="70"/>
      <c r="L176" s="2"/>
      <c r="M176" s="2"/>
    </row>
    <row r="177" spans="1:13" ht="15" customHeight="1">
      <c r="A177" s="206" t="s">
        <v>227</v>
      </c>
      <c r="B177" s="205">
        <v>10071256</v>
      </c>
      <c r="C177" s="220" t="s">
        <v>265</v>
      </c>
      <c r="D177" s="206" t="s">
        <v>106</v>
      </c>
      <c r="E177" s="206" t="s">
        <v>106</v>
      </c>
      <c r="F177" s="206" t="s">
        <v>757</v>
      </c>
      <c r="G177" s="206">
        <v>2</v>
      </c>
      <c r="H177" s="207">
        <v>0.8</v>
      </c>
      <c r="I177" s="208"/>
      <c r="J177" s="70"/>
      <c r="L177" s="2"/>
      <c r="M177" s="2"/>
    </row>
    <row r="178" spans="1:13" ht="15" customHeight="1">
      <c r="A178" s="206" t="s">
        <v>438</v>
      </c>
      <c r="B178" s="205">
        <v>10071904</v>
      </c>
      <c r="C178" s="220" t="s">
        <v>123</v>
      </c>
      <c r="D178" s="206" t="s">
        <v>124</v>
      </c>
      <c r="E178" s="206" t="s">
        <v>106</v>
      </c>
      <c r="F178" s="206" t="s">
        <v>757</v>
      </c>
      <c r="G178" s="206">
        <v>2</v>
      </c>
      <c r="H178" s="207" t="s">
        <v>14</v>
      </c>
      <c r="I178" s="208"/>
      <c r="J178" s="70"/>
      <c r="L178" s="2"/>
      <c r="M178" s="2"/>
    </row>
    <row r="179" spans="1:13" ht="15" customHeight="1">
      <c r="A179" s="206" t="s">
        <v>440</v>
      </c>
      <c r="B179" s="205">
        <v>10072224</v>
      </c>
      <c r="C179" s="220" t="s">
        <v>123</v>
      </c>
      <c r="D179" s="208" t="s">
        <v>227</v>
      </c>
      <c r="E179" s="208" t="s">
        <v>106</v>
      </c>
      <c r="F179" s="206" t="s">
        <v>757</v>
      </c>
      <c r="G179" s="206">
        <v>2</v>
      </c>
      <c r="H179" s="207">
        <v>0.8</v>
      </c>
      <c r="I179" s="208"/>
      <c r="J179" s="70"/>
      <c r="L179" s="2"/>
      <c r="M179" s="2"/>
    </row>
    <row r="180" spans="1:13" ht="15" customHeight="1">
      <c r="A180" s="206" t="s">
        <v>451</v>
      </c>
      <c r="B180" s="205">
        <v>10071278</v>
      </c>
      <c r="C180" s="220" t="s">
        <v>123</v>
      </c>
      <c r="D180" s="206" t="s">
        <v>124</v>
      </c>
      <c r="E180" s="206" t="s">
        <v>106</v>
      </c>
      <c r="F180" s="206" t="s">
        <v>757</v>
      </c>
      <c r="G180" s="206">
        <v>2</v>
      </c>
      <c r="H180" s="207">
        <v>0.7</v>
      </c>
      <c r="I180" s="208"/>
      <c r="J180" s="70"/>
      <c r="L180" s="2"/>
      <c r="M180" s="2"/>
    </row>
    <row r="181" spans="1:13" ht="15" customHeight="1">
      <c r="A181" s="206" t="s">
        <v>454</v>
      </c>
      <c r="B181" s="206">
        <v>10071356</v>
      </c>
      <c r="C181" s="220" t="s">
        <v>123</v>
      </c>
      <c r="D181" s="206" t="s">
        <v>227</v>
      </c>
      <c r="E181" s="206" t="s">
        <v>106</v>
      </c>
      <c r="F181" s="206" t="s">
        <v>757</v>
      </c>
      <c r="G181" s="206">
        <v>2</v>
      </c>
      <c r="H181" s="207">
        <v>0.9</v>
      </c>
      <c r="I181" s="208"/>
      <c r="J181" s="70"/>
      <c r="L181" s="2"/>
      <c r="M181" s="2"/>
    </row>
    <row r="182" spans="1:13" ht="15" customHeight="1">
      <c r="A182" s="206" t="s">
        <v>456</v>
      </c>
      <c r="B182" s="206">
        <v>10072032</v>
      </c>
      <c r="C182" s="220" t="s">
        <v>123</v>
      </c>
      <c r="D182" s="206" t="s">
        <v>227</v>
      </c>
      <c r="E182" s="206" t="s">
        <v>106</v>
      </c>
      <c r="F182" s="206" t="s">
        <v>757</v>
      </c>
      <c r="G182" s="206">
        <v>2</v>
      </c>
      <c r="H182" s="207">
        <v>0.5</v>
      </c>
      <c r="I182" s="208"/>
      <c r="J182" s="70"/>
      <c r="L182" s="2"/>
      <c r="M182" s="2"/>
    </row>
    <row r="183" spans="1:13" ht="15" customHeight="1">
      <c r="A183" s="206" t="s">
        <v>461</v>
      </c>
      <c r="B183" s="206">
        <v>10072207</v>
      </c>
      <c r="C183" s="220" t="s">
        <v>123</v>
      </c>
      <c r="D183" s="206" t="s">
        <v>124</v>
      </c>
      <c r="E183" s="206" t="s">
        <v>106</v>
      </c>
      <c r="F183" s="206" t="s">
        <v>757</v>
      </c>
      <c r="G183" s="206">
        <v>2</v>
      </c>
      <c r="H183" s="207">
        <v>0.9</v>
      </c>
      <c r="I183" s="208"/>
      <c r="J183" s="70"/>
      <c r="L183" s="2"/>
      <c r="M183" s="2"/>
    </row>
    <row r="184" spans="1:13" ht="15" customHeight="1">
      <c r="A184" s="206" t="s">
        <v>463</v>
      </c>
      <c r="B184" s="206">
        <v>10071198</v>
      </c>
      <c r="C184" s="220" t="s">
        <v>123</v>
      </c>
      <c r="D184" s="206" t="s">
        <v>124</v>
      </c>
      <c r="E184" s="206" t="s">
        <v>106</v>
      </c>
      <c r="F184" s="206" t="s">
        <v>757</v>
      </c>
      <c r="G184" s="206">
        <v>2</v>
      </c>
      <c r="H184" s="207">
        <v>0.8</v>
      </c>
      <c r="I184" s="208"/>
      <c r="J184" s="70"/>
      <c r="L184" s="2"/>
      <c r="M184" s="2"/>
    </row>
    <row r="185" spans="1:13" ht="15" customHeight="1">
      <c r="A185" s="206" t="s">
        <v>465</v>
      </c>
      <c r="B185" s="206">
        <v>10071908</v>
      </c>
      <c r="C185" s="220" t="s">
        <v>123</v>
      </c>
      <c r="D185" s="206" t="s">
        <v>227</v>
      </c>
      <c r="E185" s="206" t="s">
        <v>106</v>
      </c>
      <c r="F185" s="206" t="s">
        <v>757</v>
      </c>
      <c r="G185" s="206">
        <v>2</v>
      </c>
      <c r="H185" s="207">
        <v>0.9</v>
      </c>
      <c r="I185" s="208"/>
      <c r="J185" s="70"/>
      <c r="L185" s="2"/>
      <c r="M185" s="2"/>
    </row>
    <row r="186" spans="1:13" ht="15" customHeight="1">
      <c r="A186" s="206" t="s">
        <v>425</v>
      </c>
      <c r="B186" s="206">
        <v>10072201</v>
      </c>
      <c r="C186" s="220" t="s">
        <v>83</v>
      </c>
      <c r="D186" s="206" t="s">
        <v>137</v>
      </c>
      <c r="E186" s="206" t="s">
        <v>85</v>
      </c>
      <c r="F186" s="206" t="s">
        <v>757</v>
      </c>
      <c r="G186" s="206">
        <v>2</v>
      </c>
      <c r="H186" s="207">
        <v>0.4</v>
      </c>
      <c r="I186" s="208"/>
      <c r="J186" s="70"/>
      <c r="L186" s="2"/>
      <c r="M186" s="2"/>
    </row>
    <row r="187" spans="1:13" ht="15" customHeight="1">
      <c r="A187" s="206" t="s">
        <v>426</v>
      </c>
      <c r="B187" s="206">
        <v>10071631</v>
      </c>
      <c r="C187" s="220" t="s">
        <v>83</v>
      </c>
      <c r="D187" s="206" t="s">
        <v>137</v>
      </c>
      <c r="E187" s="206" t="s">
        <v>85</v>
      </c>
      <c r="F187" s="206" t="s">
        <v>757</v>
      </c>
      <c r="G187" s="206">
        <v>2</v>
      </c>
      <c r="H187" s="207">
        <v>0.9</v>
      </c>
      <c r="I187" s="208"/>
      <c r="J187" s="70"/>
      <c r="L187" s="2"/>
      <c r="M187" s="2"/>
    </row>
    <row r="188" spans="1:13" ht="15" customHeight="1">
      <c r="A188" s="206" t="s">
        <v>437</v>
      </c>
      <c r="B188" s="206">
        <v>10072157</v>
      </c>
      <c r="C188" s="220" t="s">
        <v>83</v>
      </c>
      <c r="D188" s="206" t="s">
        <v>137</v>
      </c>
      <c r="E188" s="206" t="s">
        <v>85</v>
      </c>
      <c r="F188" s="206" t="s">
        <v>757</v>
      </c>
      <c r="G188" s="206">
        <v>2</v>
      </c>
      <c r="H188" s="207">
        <v>0.7</v>
      </c>
      <c r="I188" s="208"/>
      <c r="J188" s="70"/>
      <c r="L188" s="2"/>
      <c r="M188" s="2"/>
    </row>
    <row r="189" spans="1:13" ht="15" customHeight="1">
      <c r="A189" s="206" t="s">
        <v>442</v>
      </c>
      <c r="B189" s="206">
        <v>10071958</v>
      </c>
      <c r="C189" s="220" t="s">
        <v>83</v>
      </c>
      <c r="D189" s="206" t="s">
        <v>137</v>
      </c>
      <c r="E189" s="206" t="s">
        <v>85</v>
      </c>
      <c r="F189" s="206" t="s">
        <v>757</v>
      </c>
      <c r="G189" s="206">
        <v>2</v>
      </c>
      <c r="H189" s="207">
        <v>0.9</v>
      </c>
      <c r="I189" s="208"/>
      <c r="J189" s="70"/>
      <c r="L189" s="2"/>
      <c r="M189" s="2"/>
    </row>
    <row r="190" spans="1:13" ht="15" customHeight="1">
      <c r="A190" s="206" t="s">
        <v>470</v>
      </c>
      <c r="B190" s="206">
        <v>10071039</v>
      </c>
      <c r="C190" s="220" t="s">
        <v>142</v>
      </c>
      <c r="D190" s="206" t="s">
        <v>137</v>
      </c>
      <c r="E190" s="206" t="s">
        <v>85</v>
      </c>
      <c r="F190" s="206" t="s">
        <v>757</v>
      </c>
      <c r="G190" s="206">
        <v>2</v>
      </c>
      <c r="H190" s="207">
        <v>1</v>
      </c>
      <c r="I190" s="208"/>
      <c r="J190" s="70"/>
      <c r="L190" s="2"/>
      <c r="M190" s="2"/>
    </row>
    <row r="191" spans="1:13" ht="15" customHeight="1">
      <c r="A191" s="206" t="s">
        <v>476</v>
      </c>
      <c r="B191" s="206">
        <v>10071261</v>
      </c>
      <c r="C191" s="220" t="s">
        <v>83</v>
      </c>
      <c r="D191" s="206" t="s">
        <v>137</v>
      </c>
      <c r="E191" s="206" t="s">
        <v>85</v>
      </c>
      <c r="F191" s="206" t="s">
        <v>757</v>
      </c>
      <c r="G191" s="206">
        <v>2</v>
      </c>
      <c r="H191" s="207">
        <v>0.7</v>
      </c>
      <c r="I191" s="208"/>
      <c r="J191" s="70"/>
      <c r="L191" s="2"/>
      <c r="M191" s="2"/>
    </row>
    <row r="192" spans="1:13" ht="15" customHeight="1">
      <c r="A192" s="206" t="s">
        <v>477</v>
      </c>
      <c r="B192" s="206">
        <v>10071751</v>
      </c>
      <c r="C192" s="220" t="s">
        <v>83</v>
      </c>
      <c r="D192" s="206" t="s">
        <v>137</v>
      </c>
      <c r="E192" s="206" t="s">
        <v>85</v>
      </c>
      <c r="F192" s="206" t="s">
        <v>757</v>
      </c>
      <c r="G192" s="206">
        <v>2</v>
      </c>
      <c r="H192" s="207">
        <v>0.7</v>
      </c>
      <c r="I192" s="208"/>
      <c r="J192" s="70"/>
      <c r="L192" s="2"/>
      <c r="M192" s="2"/>
    </row>
    <row r="193" spans="1:13" ht="15" customHeight="1">
      <c r="A193" s="206" t="s">
        <v>487</v>
      </c>
      <c r="B193" s="206">
        <v>10072238</v>
      </c>
      <c r="C193" s="220" t="s">
        <v>83</v>
      </c>
      <c r="D193" s="206" t="s">
        <v>137</v>
      </c>
      <c r="E193" s="206" t="s">
        <v>85</v>
      </c>
      <c r="F193" s="206" t="s">
        <v>757</v>
      </c>
      <c r="G193" s="206">
        <v>2</v>
      </c>
      <c r="H193" s="207">
        <v>0.6</v>
      </c>
      <c r="I193" s="220"/>
      <c r="J193" s="70"/>
      <c r="L193" s="2"/>
      <c r="M193" s="2"/>
    </row>
    <row r="194" spans="1:13" ht="15" customHeight="1">
      <c r="A194" s="206" t="s">
        <v>495</v>
      </c>
      <c r="B194" s="206">
        <v>10071275</v>
      </c>
      <c r="C194" s="220" t="s">
        <v>83</v>
      </c>
      <c r="D194" s="206" t="s">
        <v>137</v>
      </c>
      <c r="E194" s="206" t="s">
        <v>85</v>
      </c>
      <c r="F194" s="206" t="s">
        <v>757</v>
      </c>
      <c r="G194" s="206">
        <v>2</v>
      </c>
      <c r="H194" s="207">
        <v>0.6</v>
      </c>
      <c r="I194" s="208"/>
      <c r="J194" s="70"/>
      <c r="L194" s="2"/>
      <c r="M194" s="2"/>
    </row>
    <row r="195" spans="1:13" ht="15" customHeight="1">
      <c r="A195" s="206" t="s">
        <v>523</v>
      </c>
      <c r="B195" s="209">
        <v>10072233</v>
      </c>
      <c r="C195" s="220" t="s">
        <v>83</v>
      </c>
      <c r="D195" s="208" t="s">
        <v>137</v>
      </c>
      <c r="E195" s="208" t="s">
        <v>85</v>
      </c>
      <c r="F195" s="206" t="s">
        <v>757</v>
      </c>
      <c r="G195" s="206">
        <v>2</v>
      </c>
      <c r="H195" s="207">
        <v>0.9</v>
      </c>
      <c r="I195" s="208"/>
      <c r="J195" s="70"/>
      <c r="L195" s="2"/>
      <c r="M195" s="2"/>
    </row>
    <row r="196" spans="1:13" ht="15" customHeight="1">
      <c r="A196" s="220" t="s">
        <v>491</v>
      </c>
      <c r="B196" s="209">
        <v>10072026</v>
      </c>
      <c r="C196" s="220" t="s">
        <v>83</v>
      </c>
      <c r="D196" s="208" t="s">
        <v>137</v>
      </c>
      <c r="E196" s="208" t="s">
        <v>85</v>
      </c>
      <c r="F196" s="206" t="s">
        <v>757</v>
      </c>
      <c r="G196" s="206">
        <v>2</v>
      </c>
      <c r="H196" s="207">
        <v>0.6</v>
      </c>
      <c r="I196" s="208"/>
      <c r="J196" s="70"/>
      <c r="L196" s="2"/>
      <c r="M196" s="2"/>
    </row>
    <row r="197" spans="1:13" ht="15" customHeight="1">
      <c r="A197" s="208" t="s">
        <v>435</v>
      </c>
      <c r="B197" s="208">
        <v>10072179</v>
      </c>
      <c r="C197" s="220" t="s">
        <v>83</v>
      </c>
      <c r="D197" s="208" t="s">
        <v>137</v>
      </c>
      <c r="E197" s="208" t="s">
        <v>85</v>
      </c>
      <c r="F197" s="206" t="s">
        <v>757</v>
      </c>
      <c r="G197" s="206">
        <v>2</v>
      </c>
      <c r="H197" s="207">
        <v>0.7</v>
      </c>
      <c r="I197" s="208"/>
      <c r="J197" s="70"/>
      <c r="L197" s="2"/>
      <c r="M197" s="2"/>
    </row>
    <row r="198" spans="1:13" ht="15" customHeight="1">
      <c r="A198" s="208" t="s">
        <v>150</v>
      </c>
      <c r="B198" s="208">
        <v>10072159</v>
      </c>
      <c r="C198" s="220" t="s">
        <v>83</v>
      </c>
      <c r="D198" s="208" t="s">
        <v>137</v>
      </c>
      <c r="E198" s="208" t="s">
        <v>85</v>
      </c>
      <c r="F198" s="206" t="s">
        <v>757</v>
      </c>
      <c r="G198" s="206">
        <v>2</v>
      </c>
      <c r="H198" s="207">
        <v>0.4</v>
      </c>
      <c r="I198" s="208"/>
      <c r="J198" s="70"/>
      <c r="L198" s="2"/>
      <c r="M198" s="2"/>
    </row>
    <row r="199" spans="1:13" ht="15" customHeight="1">
      <c r="A199" s="208" t="s">
        <v>432</v>
      </c>
      <c r="B199" s="208">
        <v>10072155</v>
      </c>
      <c r="C199" s="220" t="s">
        <v>83</v>
      </c>
      <c r="D199" s="208" t="s">
        <v>152</v>
      </c>
      <c r="E199" s="208" t="s">
        <v>85</v>
      </c>
      <c r="F199" s="206" t="s">
        <v>757</v>
      </c>
      <c r="G199" s="206">
        <v>2</v>
      </c>
      <c r="H199" s="207">
        <v>0.9</v>
      </c>
      <c r="I199" s="208"/>
      <c r="J199" s="70"/>
      <c r="L199" s="2"/>
      <c r="M199" s="2"/>
    </row>
    <row r="200" spans="1:13" ht="15" customHeight="1">
      <c r="A200" s="208" t="s">
        <v>460</v>
      </c>
      <c r="B200" s="208">
        <v>10072451</v>
      </c>
      <c r="C200" s="220" t="s">
        <v>83</v>
      </c>
      <c r="D200" s="208" t="s">
        <v>152</v>
      </c>
      <c r="E200" s="208" t="s">
        <v>85</v>
      </c>
      <c r="F200" s="206" t="s">
        <v>757</v>
      </c>
      <c r="G200" s="206">
        <v>2</v>
      </c>
      <c r="H200" s="207">
        <v>0.9</v>
      </c>
      <c r="I200" s="208"/>
      <c r="J200" s="70"/>
      <c r="L200" s="2"/>
      <c r="M200" s="2"/>
    </row>
    <row r="201" spans="1:13" ht="15" customHeight="1">
      <c r="A201" s="208" t="s">
        <v>431</v>
      </c>
      <c r="B201" s="208">
        <v>10071201</v>
      </c>
      <c r="C201" s="220" t="s">
        <v>83</v>
      </c>
      <c r="D201" s="208" t="s">
        <v>152</v>
      </c>
      <c r="E201" s="208" t="s">
        <v>85</v>
      </c>
      <c r="F201" s="206" t="s">
        <v>757</v>
      </c>
      <c r="G201" s="206">
        <v>2</v>
      </c>
      <c r="H201" s="207">
        <v>0.7</v>
      </c>
      <c r="I201" s="208"/>
      <c r="J201" s="70"/>
      <c r="L201" s="2"/>
      <c r="M201" s="2"/>
    </row>
    <row r="202" spans="1:13" ht="15" customHeight="1">
      <c r="A202" s="208" t="s">
        <v>467</v>
      </c>
      <c r="B202" s="208">
        <v>10072241</v>
      </c>
      <c r="C202" s="220" t="s">
        <v>83</v>
      </c>
      <c r="D202" s="208" t="s">
        <v>152</v>
      </c>
      <c r="E202" s="208" t="s">
        <v>85</v>
      </c>
      <c r="F202" s="206" t="s">
        <v>757</v>
      </c>
      <c r="G202" s="206">
        <v>2</v>
      </c>
      <c r="H202" s="207">
        <v>0.9</v>
      </c>
      <c r="I202" s="208"/>
      <c r="J202" s="70"/>
      <c r="L202" s="2"/>
      <c r="M202" s="2"/>
    </row>
    <row r="203" spans="1:13" ht="15" customHeight="1">
      <c r="A203" s="208" t="s">
        <v>492</v>
      </c>
      <c r="B203" s="208">
        <v>10072237</v>
      </c>
      <c r="C203" s="220" t="s">
        <v>83</v>
      </c>
      <c r="D203" s="208" t="s">
        <v>152</v>
      </c>
      <c r="E203" s="208" t="s">
        <v>85</v>
      </c>
      <c r="F203" s="206" t="s">
        <v>757</v>
      </c>
      <c r="G203" s="206">
        <v>2</v>
      </c>
      <c r="H203" s="207">
        <v>0.8</v>
      </c>
      <c r="I203" s="208"/>
      <c r="J203" s="70"/>
      <c r="L203" s="2"/>
      <c r="M203" s="2"/>
    </row>
    <row r="204" spans="1:13" ht="15" customHeight="1">
      <c r="A204" s="208" t="s">
        <v>500</v>
      </c>
      <c r="B204" s="208">
        <v>10072249</v>
      </c>
      <c r="C204" s="220" t="s">
        <v>158</v>
      </c>
      <c r="D204" s="208" t="s">
        <v>152</v>
      </c>
      <c r="E204" s="208" t="s">
        <v>85</v>
      </c>
      <c r="F204" s="206" t="s">
        <v>757</v>
      </c>
      <c r="G204" s="206">
        <v>2</v>
      </c>
      <c r="H204" s="207">
        <v>1</v>
      </c>
      <c r="I204" s="208"/>
      <c r="J204" s="70"/>
      <c r="L204" s="2"/>
      <c r="M204" s="2"/>
    </row>
    <row r="205" spans="1:13" ht="15" customHeight="1">
      <c r="A205" s="208" t="s">
        <v>514</v>
      </c>
      <c r="B205" s="208">
        <v>10071067</v>
      </c>
      <c r="C205" s="220" t="s">
        <v>83</v>
      </c>
      <c r="D205" s="208" t="s">
        <v>152</v>
      </c>
      <c r="E205" s="208" t="s">
        <v>85</v>
      </c>
      <c r="F205" s="206" t="s">
        <v>757</v>
      </c>
      <c r="G205" s="206">
        <v>2</v>
      </c>
      <c r="H205" s="207">
        <v>0.7</v>
      </c>
      <c r="I205" s="208"/>
      <c r="J205" s="70"/>
      <c r="L205" s="2"/>
      <c r="M205" s="2"/>
    </row>
    <row r="206" spans="1:13" ht="15" customHeight="1">
      <c r="A206" s="208" t="s">
        <v>518</v>
      </c>
      <c r="B206" s="208">
        <v>10071420</v>
      </c>
      <c r="C206" s="220" t="s">
        <v>83</v>
      </c>
      <c r="D206" s="208" t="s">
        <v>152</v>
      </c>
      <c r="E206" s="208" t="s">
        <v>85</v>
      </c>
      <c r="F206" s="206" t="s">
        <v>757</v>
      </c>
      <c r="G206" s="206">
        <v>2</v>
      </c>
      <c r="H206" s="207">
        <v>0.8</v>
      </c>
      <c r="I206" s="208"/>
      <c r="J206" s="70"/>
      <c r="L206" s="2"/>
      <c r="M206" s="2"/>
    </row>
    <row r="207" spans="1:13" ht="15" customHeight="1">
      <c r="A207" s="208" t="s">
        <v>529</v>
      </c>
      <c r="B207" s="208">
        <v>10071677</v>
      </c>
      <c r="C207" s="220" t="s">
        <v>83</v>
      </c>
      <c r="D207" s="208" t="s">
        <v>152</v>
      </c>
      <c r="E207" s="208" t="s">
        <v>85</v>
      </c>
      <c r="F207" s="206" t="s">
        <v>757</v>
      </c>
      <c r="G207" s="206">
        <v>2</v>
      </c>
      <c r="H207" s="207">
        <v>0.9</v>
      </c>
      <c r="I207" s="208"/>
      <c r="J207" s="70"/>
      <c r="L207" s="2"/>
      <c r="M207" s="2"/>
    </row>
    <row r="208" spans="1:13" ht="15" customHeight="1">
      <c r="A208" s="208" t="s">
        <v>534</v>
      </c>
      <c r="B208" s="208">
        <v>10071253</v>
      </c>
      <c r="C208" s="220" t="s">
        <v>142</v>
      </c>
      <c r="D208" s="208" t="s">
        <v>152</v>
      </c>
      <c r="E208" s="208" t="s">
        <v>85</v>
      </c>
      <c r="F208" s="206" t="s">
        <v>757</v>
      </c>
      <c r="G208" s="206">
        <v>2</v>
      </c>
      <c r="H208" s="207">
        <v>1</v>
      </c>
      <c r="I208" s="208"/>
      <c r="J208" s="70"/>
      <c r="L208" s="2"/>
      <c r="M208" s="2"/>
    </row>
    <row r="209" spans="1:13" ht="15" customHeight="1">
      <c r="A209" s="208" t="s">
        <v>546</v>
      </c>
      <c r="B209" s="208">
        <v>10072450</v>
      </c>
      <c r="C209" s="220" t="s">
        <v>83</v>
      </c>
      <c r="D209" s="208" t="s">
        <v>152</v>
      </c>
      <c r="E209" s="208" t="s">
        <v>85</v>
      </c>
      <c r="F209" s="206" t="s">
        <v>757</v>
      </c>
      <c r="G209" s="206">
        <v>2</v>
      </c>
      <c r="H209" s="207">
        <v>0.7</v>
      </c>
      <c r="I209" s="208"/>
      <c r="J209" s="70"/>
      <c r="L209" s="2"/>
      <c r="M209" s="2"/>
    </row>
    <row r="210" spans="1:13" ht="15" customHeight="1">
      <c r="A210" s="208" t="s">
        <v>554</v>
      </c>
      <c r="B210" s="208">
        <v>10072440</v>
      </c>
      <c r="C210" s="220" t="s">
        <v>165</v>
      </c>
      <c r="D210" s="208" t="s">
        <v>152</v>
      </c>
      <c r="E210" s="208" t="s">
        <v>85</v>
      </c>
      <c r="F210" s="206" t="s">
        <v>757</v>
      </c>
      <c r="G210" s="206">
        <v>2</v>
      </c>
      <c r="H210" s="207">
        <v>0.88329999999999997</v>
      </c>
      <c r="I210" s="208"/>
      <c r="J210" s="70"/>
      <c r="L210" s="2"/>
      <c r="M210" s="2"/>
    </row>
    <row r="211" spans="1:13" ht="15" customHeight="1">
      <c r="A211" s="208" t="s">
        <v>166</v>
      </c>
      <c r="B211" s="208">
        <v>10072255</v>
      </c>
      <c r="C211" s="220" t="s">
        <v>83</v>
      </c>
      <c r="D211" s="208" t="s">
        <v>152</v>
      </c>
      <c r="E211" s="208" t="s">
        <v>85</v>
      </c>
      <c r="F211" s="206" t="s">
        <v>757</v>
      </c>
      <c r="G211" s="206">
        <v>2</v>
      </c>
      <c r="H211" s="207">
        <v>0.8</v>
      </c>
      <c r="I211" s="208"/>
      <c r="J211" s="70"/>
      <c r="L211" s="2"/>
      <c r="M211" s="2"/>
    </row>
    <row r="212" spans="1:13" ht="15" customHeight="1">
      <c r="A212" s="208" t="s">
        <v>544</v>
      </c>
      <c r="B212" s="208">
        <v>10070729</v>
      </c>
      <c r="C212" s="220" t="s">
        <v>142</v>
      </c>
      <c r="D212" s="208" t="s">
        <v>152</v>
      </c>
      <c r="E212" s="208" t="s">
        <v>85</v>
      </c>
      <c r="F212" s="206" t="s">
        <v>757</v>
      </c>
      <c r="G212" s="206">
        <v>2</v>
      </c>
      <c r="H212" s="207">
        <v>1</v>
      </c>
      <c r="I212" s="208"/>
      <c r="J212" s="70"/>
      <c r="L212" s="2"/>
      <c r="M212" s="2"/>
    </row>
    <row r="213" spans="1:13" ht="15" customHeight="1">
      <c r="A213" s="208" t="s">
        <v>458</v>
      </c>
      <c r="B213" s="208">
        <v>10072177</v>
      </c>
      <c r="C213" s="220" t="s">
        <v>83</v>
      </c>
      <c r="D213" s="208" t="s">
        <v>169</v>
      </c>
      <c r="E213" s="208" t="s">
        <v>170</v>
      </c>
      <c r="F213" s="206" t="s">
        <v>757</v>
      </c>
      <c r="G213" s="206">
        <v>2</v>
      </c>
      <c r="H213" s="207">
        <v>0.6</v>
      </c>
      <c r="I213" s="208"/>
      <c r="J213" s="70"/>
      <c r="L213" s="2"/>
      <c r="M213" s="2"/>
    </row>
    <row r="214" spans="1:13" ht="15" customHeight="1">
      <c r="A214" s="208" t="s">
        <v>433</v>
      </c>
      <c r="B214" s="208">
        <v>10071358</v>
      </c>
      <c r="C214" s="220" t="s">
        <v>83</v>
      </c>
      <c r="D214" s="208" t="s">
        <v>169</v>
      </c>
      <c r="E214" s="208" t="s">
        <v>170</v>
      </c>
      <c r="F214" s="206" t="s">
        <v>757</v>
      </c>
      <c r="G214" s="206">
        <v>2</v>
      </c>
      <c r="H214" s="207">
        <v>0.8</v>
      </c>
      <c r="I214" s="208" t="s">
        <v>767</v>
      </c>
      <c r="J214" s="70"/>
      <c r="L214" s="2"/>
      <c r="M214" s="2"/>
    </row>
    <row r="215" spans="1:13" ht="15" customHeight="1">
      <c r="A215" s="208" t="s">
        <v>436</v>
      </c>
      <c r="B215" s="208">
        <v>10071910</v>
      </c>
      <c r="C215" s="220" t="s">
        <v>83</v>
      </c>
      <c r="D215" s="208" t="s">
        <v>169</v>
      </c>
      <c r="E215" s="208" t="s">
        <v>170</v>
      </c>
      <c r="F215" s="206" t="s">
        <v>757</v>
      </c>
      <c r="G215" s="206">
        <v>2</v>
      </c>
      <c r="H215" s="207">
        <v>1</v>
      </c>
      <c r="I215" s="208" t="s">
        <v>767</v>
      </c>
      <c r="J215" s="70"/>
      <c r="L215" s="2"/>
      <c r="M215" s="2"/>
    </row>
    <row r="216" spans="1:13" ht="15" customHeight="1">
      <c r="A216" s="208" t="s">
        <v>444</v>
      </c>
      <c r="B216" s="208">
        <v>10071433</v>
      </c>
      <c r="C216" s="220" t="s">
        <v>83</v>
      </c>
      <c r="D216" s="208" t="s">
        <v>169</v>
      </c>
      <c r="E216" s="208" t="s">
        <v>170</v>
      </c>
      <c r="F216" s="206" t="s">
        <v>757</v>
      </c>
      <c r="G216" s="206">
        <v>2</v>
      </c>
      <c r="H216" s="207">
        <v>0.5</v>
      </c>
      <c r="I216" s="208"/>
      <c r="J216" s="70"/>
      <c r="L216" s="2"/>
      <c r="M216" s="2"/>
    </row>
    <row r="217" spans="1:13" ht="15" customHeight="1">
      <c r="A217" s="208" t="s">
        <v>448</v>
      </c>
      <c r="B217" s="208">
        <v>10072437</v>
      </c>
      <c r="C217" s="220" t="s">
        <v>83</v>
      </c>
      <c r="D217" s="208" t="s">
        <v>169</v>
      </c>
      <c r="E217" s="208" t="s">
        <v>170</v>
      </c>
      <c r="F217" s="206" t="s">
        <v>757</v>
      </c>
      <c r="G217" s="206">
        <v>2</v>
      </c>
      <c r="H217" s="207">
        <v>0.8</v>
      </c>
      <c r="I217" s="208"/>
      <c r="J217" s="70"/>
      <c r="L217" s="2"/>
      <c r="M217" s="2"/>
    </row>
    <row r="218" spans="1:13" ht="15" customHeight="1">
      <c r="A218" s="208" t="s">
        <v>486</v>
      </c>
      <c r="B218" s="208">
        <v>10072453</v>
      </c>
      <c r="C218" s="220" t="s">
        <v>83</v>
      </c>
      <c r="D218" s="208" t="s">
        <v>169</v>
      </c>
      <c r="E218" s="208" t="s">
        <v>170</v>
      </c>
      <c r="F218" s="206" t="s">
        <v>757</v>
      </c>
      <c r="G218" s="206">
        <v>2</v>
      </c>
      <c r="H218" s="207" t="s">
        <v>14</v>
      </c>
      <c r="I218" s="208" t="s">
        <v>766</v>
      </c>
      <c r="J218" s="70"/>
      <c r="L218" s="2"/>
      <c r="M218" s="2"/>
    </row>
    <row r="219" spans="1:13" ht="15" customHeight="1">
      <c r="A219" s="208" t="s">
        <v>508</v>
      </c>
      <c r="B219" s="208">
        <v>10071603</v>
      </c>
      <c r="C219" s="220" t="s">
        <v>87</v>
      </c>
      <c r="D219" s="208" t="s">
        <v>169</v>
      </c>
      <c r="E219" s="208" t="s">
        <v>170</v>
      </c>
      <c r="F219" s="206" t="s">
        <v>757</v>
      </c>
      <c r="G219" s="206">
        <v>2</v>
      </c>
      <c r="H219" s="207">
        <v>1</v>
      </c>
      <c r="I219" s="208"/>
      <c r="J219" s="70"/>
      <c r="L219" s="2"/>
      <c r="M219" s="2"/>
    </row>
    <row r="220" spans="1:13" ht="15" customHeight="1">
      <c r="A220" s="208" t="s">
        <v>520</v>
      </c>
      <c r="B220" s="208">
        <v>10071268</v>
      </c>
      <c r="C220" s="220" t="s">
        <v>83</v>
      </c>
      <c r="D220" s="208" t="s">
        <v>169</v>
      </c>
      <c r="E220" s="208" t="s">
        <v>170</v>
      </c>
      <c r="F220" s="206" t="s">
        <v>757</v>
      </c>
      <c r="G220" s="206">
        <v>2</v>
      </c>
      <c r="H220" s="207">
        <v>0.5</v>
      </c>
      <c r="I220" s="208"/>
      <c r="J220" s="70"/>
      <c r="L220" s="2"/>
      <c r="M220" s="2"/>
    </row>
    <row r="221" spans="1:13" ht="15" customHeight="1">
      <c r="A221" s="208" t="s">
        <v>540</v>
      </c>
      <c r="B221" s="208">
        <v>10071296</v>
      </c>
      <c r="C221" s="220" t="s">
        <v>83</v>
      </c>
      <c r="D221" s="208" t="s">
        <v>169</v>
      </c>
      <c r="E221" s="208" t="s">
        <v>170</v>
      </c>
      <c r="F221" s="206" t="s">
        <v>757</v>
      </c>
      <c r="G221" s="206">
        <v>2</v>
      </c>
      <c r="H221" s="207">
        <v>1</v>
      </c>
      <c r="I221" s="208"/>
      <c r="J221" s="70"/>
      <c r="L221" s="2"/>
      <c r="M221" s="2"/>
    </row>
    <row r="222" spans="1:13" ht="15" customHeight="1">
      <c r="A222" s="208" t="s">
        <v>543</v>
      </c>
      <c r="B222" s="208">
        <v>10071972</v>
      </c>
      <c r="C222" s="220" t="s">
        <v>87</v>
      </c>
      <c r="D222" s="208" t="s">
        <v>169</v>
      </c>
      <c r="E222" s="208" t="s">
        <v>170</v>
      </c>
      <c r="F222" s="206" t="s">
        <v>757</v>
      </c>
      <c r="G222" s="206">
        <v>2</v>
      </c>
      <c r="H222" s="207">
        <v>0.9</v>
      </c>
      <c r="I222" s="208"/>
      <c r="J222" s="70"/>
      <c r="L222" s="2"/>
      <c r="M222" s="2"/>
    </row>
    <row r="223" spans="1:13" ht="15" customHeight="1">
      <c r="A223" s="208" t="s">
        <v>549</v>
      </c>
      <c r="B223" s="208">
        <v>10071283</v>
      </c>
      <c r="C223" s="220" t="s">
        <v>83</v>
      </c>
      <c r="D223" s="208" t="s">
        <v>169</v>
      </c>
      <c r="E223" s="208" t="s">
        <v>170</v>
      </c>
      <c r="F223" s="206" t="s">
        <v>757</v>
      </c>
      <c r="G223" s="206">
        <v>2</v>
      </c>
      <c r="H223" s="207">
        <v>1</v>
      </c>
      <c r="I223" s="208"/>
      <c r="J223" s="70"/>
      <c r="L223" s="2"/>
      <c r="M223" s="2"/>
    </row>
    <row r="224" spans="1:13" ht="15" customHeight="1">
      <c r="A224" s="208" t="s">
        <v>182</v>
      </c>
      <c r="B224" s="208">
        <v>10071753</v>
      </c>
      <c r="C224" s="220" t="s">
        <v>83</v>
      </c>
      <c r="D224" s="208" t="s">
        <v>169</v>
      </c>
      <c r="E224" s="208" t="s">
        <v>170</v>
      </c>
      <c r="F224" s="206" t="s">
        <v>757</v>
      </c>
      <c r="G224" s="206">
        <v>2</v>
      </c>
      <c r="H224" s="207">
        <v>0.6</v>
      </c>
      <c r="I224" s="208"/>
      <c r="J224" s="70"/>
      <c r="L224" s="2"/>
      <c r="M224" s="2"/>
    </row>
    <row r="225" spans="1:13" ht="15" customHeight="1">
      <c r="A225" s="208" t="s">
        <v>439</v>
      </c>
      <c r="B225" s="208">
        <v>10071803</v>
      </c>
      <c r="C225" s="220" t="s">
        <v>83</v>
      </c>
      <c r="D225" s="208" t="s">
        <v>169</v>
      </c>
      <c r="E225" s="208" t="s">
        <v>170</v>
      </c>
      <c r="F225" s="206" t="s">
        <v>757</v>
      </c>
      <c r="G225" s="206">
        <v>2</v>
      </c>
      <c r="H225" s="207">
        <v>0.3</v>
      </c>
      <c r="I225" s="208"/>
      <c r="J225" s="70"/>
      <c r="L225" s="2"/>
      <c r="M225" s="2"/>
    </row>
    <row r="226" spans="1:13" ht="15" customHeight="1">
      <c r="A226" s="208" t="s">
        <v>473</v>
      </c>
      <c r="B226" s="208">
        <v>10072076</v>
      </c>
      <c r="C226" s="220" t="s">
        <v>83</v>
      </c>
      <c r="D226" s="208" t="s">
        <v>169</v>
      </c>
      <c r="E226" s="208" t="s">
        <v>170</v>
      </c>
      <c r="F226" s="206" t="s">
        <v>757</v>
      </c>
      <c r="G226" s="206">
        <v>2</v>
      </c>
      <c r="H226" s="207">
        <v>0.7</v>
      </c>
      <c r="I226" s="208"/>
      <c r="J226" s="70"/>
      <c r="L226" s="2"/>
      <c r="M226" s="2"/>
    </row>
    <row r="227" spans="1:13" ht="15" customHeight="1">
      <c r="A227" s="208" t="s">
        <v>430</v>
      </c>
      <c r="B227" s="208">
        <v>10072458</v>
      </c>
      <c r="C227" s="220" t="s">
        <v>83</v>
      </c>
      <c r="D227" s="208" t="s">
        <v>186</v>
      </c>
      <c r="E227" s="208" t="s">
        <v>170</v>
      </c>
      <c r="F227" s="206" t="s">
        <v>757</v>
      </c>
      <c r="G227" s="206">
        <v>2</v>
      </c>
      <c r="H227" s="207">
        <v>0.5</v>
      </c>
      <c r="I227" s="208"/>
      <c r="J227" s="70"/>
      <c r="L227" s="2"/>
      <c r="M227" s="2"/>
    </row>
    <row r="228" spans="1:13" ht="15" customHeight="1">
      <c r="A228" s="208" t="s">
        <v>449</v>
      </c>
      <c r="B228" s="208">
        <v>10071322</v>
      </c>
      <c r="C228" s="220" t="s">
        <v>165</v>
      </c>
      <c r="D228" s="208" t="s">
        <v>186</v>
      </c>
      <c r="E228" s="208" t="s">
        <v>170</v>
      </c>
      <c r="F228" s="206" t="s">
        <v>757</v>
      </c>
      <c r="G228" s="206">
        <v>2</v>
      </c>
      <c r="H228" s="207">
        <v>0.91669999999999996</v>
      </c>
      <c r="I228" s="208"/>
      <c r="J228" s="70"/>
      <c r="L228" s="2"/>
      <c r="M228" s="2"/>
    </row>
    <row r="229" spans="1:13" ht="15" customHeight="1">
      <c r="A229" s="208" t="s">
        <v>453</v>
      </c>
      <c r="B229" s="208">
        <v>10071429</v>
      </c>
      <c r="C229" s="220" t="s">
        <v>158</v>
      </c>
      <c r="D229" s="208" t="s">
        <v>186</v>
      </c>
      <c r="E229" s="208" t="s">
        <v>170</v>
      </c>
      <c r="F229" s="206" t="s">
        <v>757</v>
      </c>
      <c r="G229" s="206">
        <v>2</v>
      </c>
      <c r="H229" s="207">
        <v>1</v>
      </c>
      <c r="I229" s="208"/>
      <c r="J229" s="70"/>
      <c r="L229" s="2"/>
      <c r="M229" s="2"/>
    </row>
    <row r="230" spans="1:13" ht="15" customHeight="1">
      <c r="A230" s="208" t="s">
        <v>468</v>
      </c>
      <c r="B230" s="208">
        <v>10071430</v>
      </c>
      <c r="C230" s="220" t="s">
        <v>83</v>
      </c>
      <c r="D230" s="208" t="s">
        <v>186</v>
      </c>
      <c r="E230" s="208" t="s">
        <v>170</v>
      </c>
      <c r="F230" s="206" t="s">
        <v>757</v>
      </c>
      <c r="G230" s="206">
        <v>2</v>
      </c>
      <c r="H230" s="207">
        <v>0.8</v>
      </c>
      <c r="I230" s="208"/>
      <c r="J230" s="70"/>
      <c r="L230" s="2"/>
      <c r="M230" s="2"/>
    </row>
    <row r="231" spans="1:13" ht="15" customHeight="1">
      <c r="A231" s="208" t="s">
        <v>478</v>
      </c>
      <c r="B231" s="208">
        <v>10072202</v>
      </c>
      <c r="C231" s="220" t="s">
        <v>142</v>
      </c>
      <c r="D231" s="208" t="s">
        <v>186</v>
      </c>
      <c r="E231" s="208" t="s">
        <v>170</v>
      </c>
      <c r="F231" s="206" t="s">
        <v>757</v>
      </c>
      <c r="G231" s="206">
        <v>2</v>
      </c>
      <c r="H231" s="207">
        <v>1</v>
      </c>
      <c r="I231" s="208"/>
      <c r="J231" s="70"/>
      <c r="L231" s="2"/>
      <c r="M231" s="2"/>
    </row>
    <row r="232" spans="1:13" ht="15" customHeight="1">
      <c r="A232" s="208" t="s">
        <v>485</v>
      </c>
      <c r="B232" s="208">
        <v>10072205</v>
      </c>
      <c r="C232" s="220" t="s">
        <v>83</v>
      </c>
      <c r="D232" s="208" t="s">
        <v>186</v>
      </c>
      <c r="E232" s="208" t="s">
        <v>170</v>
      </c>
      <c r="F232" s="206" t="s">
        <v>757</v>
      </c>
      <c r="G232" s="206">
        <v>2</v>
      </c>
      <c r="H232" s="207">
        <v>0.6</v>
      </c>
      <c r="I232" s="208"/>
      <c r="J232" s="70"/>
      <c r="L232" s="2"/>
      <c r="M232" s="2"/>
    </row>
    <row r="233" spans="1:13" ht="15" customHeight="1">
      <c r="A233" s="208" t="s">
        <v>489</v>
      </c>
      <c r="B233" s="208">
        <v>10072256</v>
      </c>
      <c r="C233" s="220" t="s">
        <v>83</v>
      </c>
      <c r="D233" s="208" t="s">
        <v>186</v>
      </c>
      <c r="E233" s="208" t="s">
        <v>170</v>
      </c>
      <c r="F233" s="206" t="s">
        <v>757</v>
      </c>
      <c r="G233" s="206">
        <v>2</v>
      </c>
      <c r="H233" s="207">
        <v>0.6</v>
      </c>
      <c r="I233" s="208"/>
      <c r="J233" s="70"/>
      <c r="L233" s="2"/>
      <c r="M233" s="2"/>
    </row>
    <row r="234" spans="1:13" ht="15" customHeight="1">
      <c r="A234" s="208" t="s">
        <v>494</v>
      </c>
      <c r="B234" s="208">
        <v>10071811</v>
      </c>
      <c r="C234" s="220" t="s">
        <v>83</v>
      </c>
      <c r="D234" s="208" t="s">
        <v>186</v>
      </c>
      <c r="E234" s="208" t="s">
        <v>170</v>
      </c>
      <c r="F234" s="206" t="s">
        <v>757</v>
      </c>
      <c r="G234" s="206">
        <v>2</v>
      </c>
      <c r="H234" s="207">
        <v>0.7</v>
      </c>
      <c r="I234" s="208"/>
      <c r="J234" s="70"/>
      <c r="L234" s="2"/>
      <c r="M234" s="2"/>
    </row>
    <row r="235" spans="1:13" ht="15" customHeight="1">
      <c r="A235" s="208" t="s">
        <v>503</v>
      </c>
      <c r="B235" s="208">
        <v>10072516</v>
      </c>
      <c r="C235" s="220" t="s">
        <v>83</v>
      </c>
      <c r="D235" s="208" t="s">
        <v>186</v>
      </c>
      <c r="E235" s="208" t="s">
        <v>170</v>
      </c>
      <c r="F235" s="206" t="s">
        <v>757</v>
      </c>
      <c r="G235" s="206">
        <v>2</v>
      </c>
      <c r="H235" s="207">
        <v>0.7</v>
      </c>
      <c r="I235" s="208"/>
      <c r="J235" s="70"/>
      <c r="L235" s="2"/>
      <c r="M235" s="2"/>
    </row>
    <row r="236" spans="1:13" ht="15" customHeight="1">
      <c r="A236" s="208" t="s">
        <v>548</v>
      </c>
      <c r="B236" s="208">
        <v>10072243</v>
      </c>
      <c r="C236" s="220" t="s">
        <v>142</v>
      </c>
      <c r="D236" s="208" t="s">
        <v>186</v>
      </c>
      <c r="E236" s="208" t="s">
        <v>170</v>
      </c>
      <c r="F236" s="206" t="s">
        <v>757</v>
      </c>
      <c r="G236" s="206">
        <v>2</v>
      </c>
      <c r="H236" s="207">
        <v>1</v>
      </c>
      <c r="I236" s="208"/>
      <c r="J236" s="70"/>
      <c r="L236" s="2"/>
      <c r="M236" s="2"/>
    </row>
    <row r="237" spans="1:13" ht="15" customHeight="1">
      <c r="A237" s="208" t="s">
        <v>553</v>
      </c>
      <c r="B237" s="208">
        <v>10072096</v>
      </c>
      <c r="C237" s="220" t="s">
        <v>83</v>
      </c>
      <c r="D237" s="208" t="s">
        <v>186</v>
      </c>
      <c r="E237" s="208" t="s">
        <v>170</v>
      </c>
      <c r="F237" s="206" t="s">
        <v>757</v>
      </c>
      <c r="G237" s="206">
        <v>2</v>
      </c>
      <c r="H237" s="207">
        <v>0.5</v>
      </c>
      <c r="I237" s="208"/>
      <c r="J237" s="70"/>
      <c r="L237" s="2"/>
      <c r="M237" s="2"/>
    </row>
    <row r="238" spans="1:13" ht="15" customHeight="1">
      <c r="A238" s="208" t="s">
        <v>490</v>
      </c>
      <c r="B238" s="208">
        <v>10071432</v>
      </c>
      <c r="C238" s="220" t="s">
        <v>142</v>
      </c>
      <c r="D238" s="208" t="s">
        <v>186</v>
      </c>
      <c r="E238" s="208" t="s">
        <v>170</v>
      </c>
      <c r="F238" s="206" t="s">
        <v>757</v>
      </c>
      <c r="G238" s="206">
        <v>2</v>
      </c>
      <c r="H238" s="207">
        <v>1</v>
      </c>
      <c r="I238" s="208"/>
      <c r="J238" s="70"/>
      <c r="L238" s="2"/>
      <c r="M238" s="2"/>
    </row>
    <row r="239" spans="1:13" ht="15" customHeight="1">
      <c r="A239" s="208" t="s">
        <v>198</v>
      </c>
      <c r="B239" s="208">
        <v>10071188</v>
      </c>
      <c r="C239" s="220" t="s">
        <v>83</v>
      </c>
      <c r="D239" s="208" t="s">
        <v>186</v>
      </c>
      <c r="E239" s="208" t="s">
        <v>170</v>
      </c>
      <c r="F239" s="206" t="s">
        <v>757</v>
      </c>
      <c r="G239" s="206">
        <v>2</v>
      </c>
      <c r="H239" s="207">
        <v>0.4</v>
      </c>
      <c r="I239" s="208"/>
      <c r="J239" s="70"/>
      <c r="L239" s="2"/>
      <c r="M239" s="2"/>
    </row>
    <row r="240" spans="1:13" ht="15" customHeight="1">
      <c r="A240" s="208" t="s">
        <v>443</v>
      </c>
      <c r="B240" s="208">
        <v>10072244</v>
      </c>
      <c r="C240" s="220" t="s">
        <v>83</v>
      </c>
      <c r="D240" s="208" t="s">
        <v>200</v>
      </c>
      <c r="E240" s="208" t="s">
        <v>170</v>
      </c>
      <c r="F240" s="206" t="s">
        <v>757</v>
      </c>
      <c r="G240" s="206">
        <v>2</v>
      </c>
      <c r="H240" s="207">
        <v>1</v>
      </c>
      <c r="I240" s="208"/>
      <c r="J240" s="70"/>
      <c r="L240" s="2"/>
      <c r="M240" s="2"/>
    </row>
    <row r="241" spans="1:13" ht="15" customHeight="1">
      <c r="A241" s="208" t="s">
        <v>483</v>
      </c>
      <c r="B241" s="208">
        <v>10072449</v>
      </c>
      <c r="C241" s="220" t="s">
        <v>83</v>
      </c>
      <c r="D241" s="208" t="s">
        <v>200</v>
      </c>
      <c r="E241" s="208" t="s">
        <v>170</v>
      </c>
      <c r="F241" s="206" t="s">
        <v>757</v>
      </c>
      <c r="G241" s="206">
        <v>2</v>
      </c>
      <c r="H241" s="207">
        <v>0.9</v>
      </c>
      <c r="I241" s="208"/>
      <c r="J241" s="70"/>
      <c r="L241" s="2"/>
      <c r="M241" s="2"/>
    </row>
    <row r="242" spans="1:13" ht="15" customHeight="1">
      <c r="A242" s="208" t="s">
        <v>501</v>
      </c>
      <c r="B242" s="208">
        <v>10071692</v>
      </c>
      <c r="C242" s="220" t="s">
        <v>83</v>
      </c>
      <c r="D242" s="208" t="s">
        <v>200</v>
      </c>
      <c r="E242" s="208" t="s">
        <v>170</v>
      </c>
      <c r="F242" s="206" t="s">
        <v>757</v>
      </c>
      <c r="G242" s="206">
        <v>2</v>
      </c>
      <c r="H242" s="207">
        <v>0.6</v>
      </c>
      <c r="I242" s="208"/>
      <c r="J242" s="70"/>
      <c r="L242" s="2"/>
      <c r="M242" s="2"/>
    </row>
    <row r="243" spans="1:13" ht="15" customHeight="1">
      <c r="A243" s="208" t="s">
        <v>541</v>
      </c>
      <c r="B243" s="208">
        <v>10072180</v>
      </c>
      <c r="C243" s="220" t="s">
        <v>83</v>
      </c>
      <c r="D243" s="208" t="s">
        <v>200</v>
      </c>
      <c r="E243" s="208" t="s">
        <v>170</v>
      </c>
      <c r="F243" s="206" t="s">
        <v>757</v>
      </c>
      <c r="G243" s="206">
        <v>2</v>
      </c>
      <c r="H243" s="207">
        <v>1</v>
      </c>
      <c r="I243" s="208"/>
      <c r="J243" s="70"/>
      <c r="L243" s="2"/>
      <c r="M243" s="2"/>
    </row>
    <row r="244" spans="1:13" ht="15" customHeight="1">
      <c r="A244" s="208" t="s">
        <v>419</v>
      </c>
      <c r="B244" s="208">
        <v>10072198</v>
      </c>
      <c r="C244" s="220" t="s">
        <v>83</v>
      </c>
      <c r="D244" s="208" t="s">
        <v>200</v>
      </c>
      <c r="E244" s="208" t="s">
        <v>170</v>
      </c>
      <c r="F244" s="206" t="s">
        <v>757</v>
      </c>
      <c r="G244" s="206">
        <v>2</v>
      </c>
      <c r="H244" s="207">
        <v>0.5</v>
      </c>
      <c r="I244" s="208"/>
      <c r="J244" s="70"/>
      <c r="L244" s="2"/>
      <c r="M244" s="2"/>
    </row>
    <row r="245" spans="1:13" ht="15" customHeight="1">
      <c r="A245" s="208" t="s">
        <v>464</v>
      </c>
      <c r="B245" s="208">
        <v>10072444</v>
      </c>
      <c r="C245" s="220" t="s">
        <v>83</v>
      </c>
      <c r="D245" s="208" t="s">
        <v>200</v>
      </c>
      <c r="E245" s="208" t="s">
        <v>170</v>
      </c>
      <c r="F245" s="206" t="s">
        <v>757</v>
      </c>
      <c r="G245" s="206">
        <v>2</v>
      </c>
      <c r="H245" s="207">
        <v>0.9</v>
      </c>
      <c r="I245" s="208"/>
      <c r="J245" s="70"/>
      <c r="L245" s="2"/>
      <c r="M245" s="2"/>
    </row>
    <row r="246" spans="1:13" ht="15" customHeight="1">
      <c r="A246" s="208" t="s">
        <v>497</v>
      </c>
      <c r="B246" s="208">
        <v>10071306</v>
      </c>
      <c r="C246" s="220" t="s">
        <v>83</v>
      </c>
      <c r="D246" s="208" t="s">
        <v>200</v>
      </c>
      <c r="E246" s="208" t="s">
        <v>170</v>
      </c>
      <c r="F246" s="206" t="s">
        <v>757</v>
      </c>
      <c r="G246" s="206">
        <v>2</v>
      </c>
      <c r="H246" s="207">
        <v>0.8</v>
      </c>
      <c r="I246" s="208"/>
      <c r="J246" s="70"/>
      <c r="L246" s="2"/>
      <c r="M246" s="2"/>
    </row>
    <row r="247" spans="1:13" ht="15" customHeight="1">
      <c r="A247" s="208" t="s">
        <v>502</v>
      </c>
      <c r="B247" s="208">
        <v>10072517</v>
      </c>
      <c r="C247" s="220" t="s">
        <v>83</v>
      </c>
      <c r="D247" s="208" t="s">
        <v>200</v>
      </c>
      <c r="E247" s="208" t="s">
        <v>170</v>
      </c>
      <c r="F247" s="206" t="s">
        <v>757</v>
      </c>
      <c r="G247" s="206">
        <v>2</v>
      </c>
      <c r="H247" s="207">
        <v>1</v>
      </c>
      <c r="I247" s="208"/>
      <c r="J247" s="70"/>
      <c r="L247" s="2"/>
      <c r="M247" s="2"/>
    </row>
    <row r="248" spans="1:13" ht="15" customHeight="1">
      <c r="A248" s="208" t="s">
        <v>511</v>
      </c>
      <c r="B248" s="208">
        <v>10072204</v>
      </c>
      <c r="C248" s="220" t="s">
        <v>83</v>
      </c>
      <c r="D248" s="208" t="s">
        <v>200</v>
      </c>
      <c r="E248" s="208" t="s">
        <v>170</v>
      </c>
      <c r="F248" s="206" t="s">
        <v>757</v>
      </c>
      <c r="G248" s="206">
        <v>2</v>
      </c>
      <c r="H248" s="207">
        <v>0.9</v>
      </c>
      <c r="I248" s="208"/>
      <c r="J248" s="70"/>
      <c r="L248" s="2"/>
      <c r="M248" s="2"/>
    </row>
    <row r="249" spans="1:13" ht="15" customHeight="1">
      <c r="A249" s="208" t="s">
        <v>560</v>
      </c>
      <c r="B249" s="208">
        <v>10072445</v>
      </c>
      <c r="C249" s="220" t="s">
        <v>83</v>
      </c>
      <c r="D249" s="208" t="s">
        <v>200</v>
      </c>
      <c r="E249" s="208" t="s">
        <v>170</v>
      </c>
      <c r="F249" s="206" t="s">
        <v>757</v>
      </c>
      <c r="G249" s="206">
        <v>2</v>
      </c>
      <c r="H249" s="207">
        <v>0.8</v>
      </c>
      <c r="I249" s="208"/>
      <c r="J249" s="70"/>
      <c r="L249" s="2"/>
      <c r="M249" s="2"/>
    </row>
    <row r="250" spans="1:13" ht="15" customHeight="1">
      <c r="A250" s="208" t="s">
        <v>210</v>
      </c>
      <c r="B250" s="208">
        <v>10071728</v>
      </c>
      <c r="C250" s="220" t="s">
        <v>83</v>
      </c>
      <c r="D250" s="208" t="s">
        <v>200</v>
      </c>
      <c r="E250" s="208" t="s">
        <v>170</v>
      </c>
      <c r="F250" s="206" t="s">
        <v>757</v>
      </c>
      <c r="G250" s="206">
        <v>2</v>
      </c>
      <c r="H250" s="207">
        <v>0.7</v>
      </c>
      <c r="I250" s="208"/>
      <c r="J250" s="70"/>
      <c r="L250" s="2"/>
      <c r="M250" s="2"/>
    </row>
    <row r="251" spans="1:13" ht="15" customHeight="1">
      <c r="A251" s="208" t="s">
        <v>423</v>
      </c>
      <c r="B251" s="208">
        <v>10072438</v>
      </c>
      <c r="C251" s="220" t="s">
        <v>83</v>
      </c>
      <c r="D251" s="208" t="s">
        <v>200</v>
      </c>
      <c r="E251" s="208" t="s">
        <v>170</v>
      </c>
      <c r="F251" s="206" t="s">
        <v>757</v>
      </c>
      <c r="G251" s="206">
        <v>2</v>
      </c>
      <c r="H251" s="207">
        <v>0.8</v>
      </c>
      <c r="I251" s="208"/>
      <c r="J251" s="70"/>
      <c r="L251" s="2"/>
      <c r="M251" s="2"/>
    </row>
    <row r="252" spans="1:13" ht="15" customHeight="1">
      <c r="A252" s="208" t="s">
        <v>542</v>
      </c>
      <c r="B252" s="208">
        <v>10072073</v>
      </c>
      <c r="C252" s="220" t="s">
        <v>83</v>
      </c>
      <c r="D252" s="208" t="s">
        <v>200</v>
      </c>
      <c r="E252" s="208" t="s">
        <v>170</v>
      </c>
      <c r="F252" s="206" t="s">
        <v>757</v>
      </c>
      <c r="G252" s="206">
        <v>2</v>
      </c>
      <c r="H252" s="207">
        <v>1</v>
      </c>
      <c r="I252" s="208"/>
      <c r="J252" s="70"/>
      <c r="L252" s="2"/>
      <c r="M252" s="2"/>
    </row>
    <row r="253" spans="1:13" ht="15" customHeight="1">
      <c r="A253" s="208" t="s">
        <v>457</v>
      </c>
      <c r="B253" s="208">
        <v>10071423</v>
      </c>
      <c r="C253" s="220" t="s">
        <v>83</v>
      </c>
      <c r="D253" s="208" t="s">
        <v>214</v>
      </c>
      <c r="E253" s="208" t="s">
        <v>170</v>
      </c>
      <c r="F253" s="206" t="s">
        <v>757</v>
      </c>
      <c r="G253" s="206">
        <v>2</v>
      </c>
      <c r="H253" s="207">
        <v>0.7</v>
      </c>
      <c r="I253" s="208"/>
      <c r="J253" s="70"/>
      <c r="L253" s="2"/>
      <c r="M253" s="2"/>
    </row>
    <row r="254" spans="1:13" ht="15" customHeight="1">
      <c r="A254" s="208" t="s">
        <v>469</v>
      </c>
      <c r="B254" s="208">
        <v>10071301</v>
      </c>
      <c r="C254" s="220" t="s">
        <v>83</v>
      </c>
      <c r="D254" s="208" t="s">
        <v>214</v>
      </c>
      <c r="E254" s="208" t="s">
        <v>170</v>
      </c>
      <c r="F254" s="206" t="s">
        <v>757</v>
      </c>
      <c r="G254" s="206">
        <v>2</v>
      </c>
      <c r="H254" s="207">
        <v>0.5</v>
      </c>
      <c r="I254" s="208"/>
      <c r="J254" s="70"/>
      <c r="L254" s="2"/>
      <c r="M254" s="2"/>
    </row>
    <row r="255" spans="1:13" ht="15" customHeight="1">
      <c r="A255" s="208" t="s">
        <v>482</v>
      </c>
      <c r="B255" s="208">
        <v>10072245</v>
      </c>
      <c r="C255" s="220" t="s">
        <v>83</v>
      </c>
      <c r="D255" s="208" t="s">
        <v>214</v>
      </c>
      <c r="E255" s="208" t="s">
        <v>170</v>
      </c>
      <c r="F255" s="206" t="s">
        <v>757</v>
      </c>
      <c r="G255" s="206">
        <v>2</v>
      </c>
      <c r="H255" s="207">
        <v>1</v>
      </c>
      <c r="I255" s="208"/>
      <c r="J255" s="70"/>
      <c r="L255" s="2"/>
      <c r="M255" s="2"/>
    </row>
    <row r="256" spans="1:13" ht="15" customHeight="1">
      <c r="A256" s="208" t="s">
        <v>488</v>
      </c>
      <c r="B256" s="208">
        <v>10072160</v>
      </c>
      <c r="C256" s="220" t="s">
        <v>83</v>
      </c>
      <c r="D256" s="208" t="s">
        <v>214</v>
      </c>
      <c r="E256" s="208" t="s">
        <v>170</v>
      </c>
      <c r="F256" s="206" t="s">
        <v>757</v>
      </c>
      <c r="G256" s="206">
        <v>2</v>
      </c>
      <c r="H256" s="207">
        <v>0.7</v>
      </c>
      <c r="I256" s="208"/>
      <c r="J256" s="70"/>
      <c r="L256" s="2"/>
      <c r="M256" s="2"/>
    </row>
    <row r="257" spans="1:13" ht="15" customHeight="1">
      <c r="A257" s="208" t="s">
        <v>507</v>
      </c>
      <c r="B257" s="208">
        <v>10071252</v>
      </c>
      <c r="C257" s="220" t="s">
        <v>83</v>
      </c>
      <c r="D257" s="208" t="s">
        <v>214</v>
      </c>
      <c r="E257" s="208" t="s">
        <v>170</v>
      </c>
      <c r="F257" s="206" t="s">
        <v>757</v>
      </c>
      <c r="G257" s="206">
        <v>2</v>
      </c>
      <c r="H257" s="207">
        <v>0.9</v>
      </c>
      <c r="I257" s="208"/>
      <c r="J257" s="70"/>
      <c r="L257" s="2"/>
      <c r="M257" s="2"/>
    </row>
    <row r="258" spans="1:13" ht="15" customHeight="1">
      <c r="A258" s="208" t="s">
        <v>515</v>
      </c>
      <c r="B258" s="208">
        <v>10072457</v>
      </c>
      <c r="C258" s="220" t="s">
        <v>83</v>
      </c>
      <c r="D258" s="208" t="s">
        <v>214</v>
      </c>
      <c r="E258" s="208" t="s">
        <v>170</v>
      </c>
      <c r="F258" s="206" t="s">
        <v>757</v>
      </c>
      <c r="G258" s="206">
        <v>2</v>
      </c>
      <c r="H258" s="207">
        <v>0.7</v>
      </c>
      <c r="I258" s="208"/>
      <c r="J258" s="70"/>
      <c r="L258" s="2"/>
      <c r="M258" s="2"/>
    </row>
    <row r="259" spans="1:13" ht="15" customHeight="1">
      <c r="A259" s="208" t="s">
        <v>519</v>
      </c>
      <c r="B259" s="208">
        <v>10070728</v>
      </c>
      <c r="C259" s="220" t="s">
        <v>83</v>
      </c>
      <c r="D259" s="208" t="s">
        <v>214</v>
      </c>
      <c r="E259" s="208" t="s">
        <v>170</v>
      </c>
      <c r="F259" s="206" t="s">
        <v>757</v>
      </c>
      <c r="G259" s="206">
        <v>2</v>
      </c>
      <c r="H259" s="207">
        <v>0.6</v>
      </c>
      <c r="I259" s="208"/>
      <c r="J259" s="70"/>
      <c r="L259" s="2"/>
      <c r="M259" s="2"/>
    </row>
    <row r="260" spans="1:13" ht="15" customHeight="1">
      <c r="A260" s="208" t="s">
        <v>525</v>
      </c>
      <c r="B260" s="208">
        <v>10071310</v>
      </c>
      <c r="C260" s="220" t="s">
        <v>83</v>
      </c>
      <c r="D260" s="208" t="s">
        <v>214</v>
      </c>
      <c r="E260" s="208" t="s">
        <v>170</v>
      </c>
      <c r="F260" s="206" t="s">
        <v>757</v>
      </c>
      <c r="G260" s="206">
        <v>2</v>
      </c>
      <c r="H260" s="207">
        <v>1</v>
      </c>
      <c r="I260" s="208"/>
      <c r="J260" s="70"/>
      <c r="L260" s="2"/>
      <c r="M260" s="2"/>
    </row>
    <row r="261" spans="1:13" ht="15" customHeight="1">
      <c r="A261" s="208" t="s">
        <v>532</v>
      </c>
      <c r="B261" s="208">
        <v>10072515</v>
      </c>
      <c r="C261" s="220" t="s">
        <v>83</v>
      </c>
      <c r="D261" s="208" t="s">
        <v>214</v>
      </c>
      <c r="E261" s="208" t="s">
        <v>170</v>
      </c>
      <c r="F261" s="206" t="s">
        <v>757</v>
      </c>
      <c r="G261" s="206">
        <v>2</v>
      </c>
      <c r="H261" s="207">
        <v>0.5</v>
      </c>
      <c r="I261" s="208"/>
      <c r="J261" s="70"/>
      <c r="L261" s="2"/>
      <c r="M261" s="2"/>
    </row>
    <row r="262" spans="1:13" ht="15" customHeight="1">
      <c r="A262" s="208" t="s">
        <v>537</v>
      </c>
      <c r="B262" s="208">
        <v>10072211</v>
      </c>
      <c r="C262" s="220" t="s">
        <v>83</v>
      </c>
      <c r="D262" s="208" t="s">
        <v>214</v>
      </c>
      <c r="E262" s="208" t="s">
        <v>170</v>
      </c>
      <c r="F262" s="206" t="s">
        <v>757</v>
      </c>
      <c r="G262" s="206">
        <v>2</v>
      </c>
      <c r="H262" s="207">
        <v>0.7</v>
      </c>
      <c r="I262" s="208"/>
      <c r="J262" s="70"/>
      <c r="L262" s="2"/>
      <c r="M262" s="2"/>
    </row>
    <row r="263" spans="1:13" ht="15" customHeight="1">
      <c r="A263" s="208" t="s">
        <v>455</v>
      </c>
      <c r="B263" s="208">
        <v>10072460</v>
      </c>
      <c r="C263" s="220" t="s">
        <v>83</v>
      </c>
      <c r="D263" s="208" t="s">
        <v>214</v>
      </c>
      <c r="E263" s="208" t="s">
        <v>170</v>
      </c>
      <c r="F263" s="206" t="s">
        <v>757</v>
      </c>
      <c r="G263" s="206">
        <v>2</v>
      </c>
      <c r="H263" s="207">
        <v>0.7</v>
      </c>
      <c r="I263" s="208"/>
      <c r="J263" s="70"/>
      <c r="L263" s="2"/>
      <c r="M263" s="2"/>
    </row>
    <row r="264" spans="1:13" ht="15" customHeight="1">
      <c r="A264" s="208" t="s">
        <v>551</v>
      </c>
      <c r="B264" s="208">
        <v>10071903</v>
      </c>
      <c r="C264" s="220" t="s">
        <v>83</v>
      </c>
      <c r="D264" s="208" t="s">
        <v>214</v>
      </c>
      <c r="E264" s="208" t="s">
        <v>170</v>
      </c>
      <c r="F264" s="206" t="s">
        <v>757</v>
      </c>
      <c r="G264" s="206">
        <v>2</v>
      </c>
      <c r="H264" s="207">
        <v>0.6</v>
      </c>
      <c r="I264" s="208"/>
      <c r="J264" s="70"/>
      <c r="L264" s="2"/>
      <c r="M264" s="2"/>
    </row>
    <row r="265" spans="1:13" ht="15" customHeight="1">
      <c r="A265" s="208" t="s">
        <v>466</v>
      </c>
      <c r="B265" s="208">
        <v>10071411</v>
      </c>
      <c r="C265" s="220" t="s">
        <v>123</v>
      </c>
      <c r="D265" s="208" t="s">
        <v>227</v>
      </c>
      <c r="E265" s="208" t="s">
        <v>106</v>
      </c>
      <c r="F265" s="206" t="s">
        <v>757</v>
      </c>
      <c r="G265" s="206">
        <v>2</v>
      </c>
      <c r="H265" s="207">
        <v>0.7</v>
      </c>
      <c r="I265" s="208"/>
      <c r="J265" s="70"/>
      <c r="L265" s="2"/>
      <c r="M265" s="2"/>
    </row>
    <row r="266" spans="1:13" ht="15" customHeight="1">
      <c r="A266" s="208" t="s">
        <v>474</v>
      </c>
      <c r="B266" s="208">
        <v>10072040</v>
      </c>
      <c r="C266" s="220" t="s">
        <v>123</v>
      </c>
      <c r="D266" s="208" t="s">
        <v>124</v>
      </c>
      <c r="E266" s="208" t="s">
        <v>106</v>
      </c>
      <c r="F266" s="206" t="s">
        <v>757</v>
      </c>
      <c r="G266" s="206">
        <v>2</v>
      </c>
      <c r="H266" s="207">
        <v>0.7</v>
      </c>
      <c r="I266" s="208"/>
      <c r="J266" s="70"/>
      <c r="L266" s="2"/>
      <c r="M266" s="2"/>
    </row>
    <row r="267" spans="1:13" ht="15" customHeight="1">
      <c r="A267" s="208" t="s">
        <v>481</v>
      </c>
      <c r="B267" s="208">
        <v>10071199</v>
      </c>
      <c r="C267" s="220" t="s">
        <v>123</v>
      </c>
      <c r="D267" s="208" t="s">
        <v>124</v>
      </c>
      <c r="E267" s="208" t="s">
        <v>106</v>
      </c>
      <c r="F267" s="206" t="s">
        <v>757</v>
      </c>
      <c r="G267" s="206">
        <v>2</v>
      </c>
      <c r="H267" s="207">
        <v>0.8</v>
      </c>
      <c r="I267" s="208"/>
      <c r="J267" s="70"/>
      <c r="L267" s="2"/>
      <c r="M267" s="2"/>
    </row>
    <row r="268" spans="1:13" ht="15" customHeight="1">
      <c r="A268" s="208" t="s">
        <v>765</v>
      </c>
      <c r="B268" s="208">
        <v>10072608</v>
      </c>
      <c r="C268" s="220" t="s">
        <v>761</v>
      </c>
      <c r="D268" s="208" t="s">
        <v>106</v>
      </c>
      <c r="E268" s="208" t="s">
        <v>106</v>
      </c>
      <c r="F268" s="206" t="s">
        <v>757</v>
      </c>
      <c r="G268" s="206">
        <v>2</v>
      </c>
      <c r="H268" s="207">
        <v>0.7</v>
      </c>
      <c r="I268" s="208"/>
      <c r="J268" s="70"/>
      <c r="L268" s="2"/>
      <c r="M268" s="2"/>
    </row>
    <row r="269" spans="1:13" ht="15" customHeight="1">
      <c r="A269" s="208" t="s">
        <v>498</v>
      </c>
      <c r="B269" s="208">
        <v>10072220</v>
      </c>
      <c r="C269" s="220" t="s">
        <v>123</v>
      </c>
      <c r="D269" s="208" t="s">
        <v>227</v>
      </c>
      <c r="E269" s="208" t="s">
        <v>106</v>
      </c>
      <c r="F269" s="206" t="s">
        <v>757</v>
      </c>
      <c r="G269" s="206">
        <v>2</v>
      </c>
      <c r="H269" s="207">
        <v>1</v>
      </c>
      <c r="I269" s="208"/>
      <c r="J269" s="70"/>
      <c r="L269" s="2"/>
      <c r="M269" s="2"/>
    </row>
    <row r="270" spans="1:13" ht="15" customHeight="1">
      <c r="A270" s="208" t="s">
        <v>510</v>
      </c>
      <c r="B270" s="208">
        <v>10071342</v>
      </c>
      <c r="C270" s="220" t="s">
        <v>123</v>
      </c>
      <c r="D270" s="208" t="s">
        <v>227</v>
      </c>
      <c r="E270" s="208" t="s">
        <v>106</v>
      </c>
      <c r="F270" s="206" t="s">
        <v>757</v>
      </c>
      <c r="G270" s="206">
        <v>2</v>
      </c>
      <c r="H270" s="207">
        <v>0.8</v>
      </c>
      <c r="I270" s="208"/>
      <c r="J270" s="70"/>
      <c r="L270" s="2"/>
      <c r="M270" s="2"/>
    </row>
    <row r="271" spans="1:13" ht="15" customHeight="1">
      <c r="A271" s="208" t="s">
        <v>516</v>
      </c>
      <c r="B271" s="208">
        <v>10071946</v>
      </c>
      <c r="C271" s="220" t="s">
        <v>123</v>
      </c>
      <c r="D271" s="208" t="s">
        <v>227</v>
      </c>
      <c r="E271" s="208" t="s">
        <v>106</v>
      </c>
      <c r="F271" s="206" t="s">
        <v>757</v>
      </c>
      <c r="G271" s="206">
        <v>2</v>
      </c>
      <c r="H271" s="207">
        <v>0.8</v>
      </c>
      <c r="I271" s="208"/>
      <c r="J271" s="70"/>
      <c r="L271" s="2"/>
      <c r="M271" s="2"/>
    </row>
    <row r="272" spans="1:13" ht="15" customHeight="1">
      <c r="A272" s="208" t="s">
        <v>522</v>
      </c>
      <c r="B272" s="208">
        <v>10071600</v>
      </c>
      <c r="C272" s="220" t="s">
        <v>123</v>
      </c>
      <c r="D272" s="208" t="s">
        <v>227</v>
      </c>
      <c r="E272" s="208" t="s">
        <v>106</v>
      </c>
      <c r="F272" s="206" t="s">
        <v>757</v>
      </c>
      <c r="G272" s="206">
        <v>2</v>
      </c>
      <c r="H272" s="207">
        <v>1</v>
      </c>
      <c r="I272" s="208"/>
      <c r="J272" s="70"/>
      <c r="L272" s="2"/>
      <c r="M272" s="2"/>
    </row>
    <row r="273" spans="1:13" ht="15" customHeight="1">
      <c r="A273" s="208" t="s">
        <v>524</v>
      </c>
      <c r="B273" s="208">
        <v>10071729</v>
      </c>
      <c r="C273" s="220" t="s">
        <v>123</v>
      </c>
      <c r="D273" s="208" t="s">
        <v>227</v>
      </c>
      <c r="E273" s="208" t="s">
        <v>106</v>
      </c>
      <c r="F273" s="206" t="s">
        <v>757</v>
      </c>
      <c r="G273" s="206">
        <v>2</v>
      </c>
      <c r="H273" s="207">
        <v>1</v>
      </c>
      <c r="I273" s="208"/>
      <c r="J273" s="70"/>
      <c r="L273" s="2"/>
      <c r="M273" s="2"/>
    </row>
    <row r="274" spans="1:13" ht="15" customHeight="1">
      <c r="A274" s="208" t="s">
        <v>530</v>
      </c>
      <c r="B274" s="208">
        <v>10072452</v>
      </c>
      <c r="C274" s="220" t="s">
        <v>123</v>
      </c>
      <c r="D274" s="208" t="s">
        <v>124</v>
      </c>
      <c r="E274" s="208" t="s">
        <v>106</v>
      </c>
      <c r="F274" s="206" t="s">
        <v>757</v>
      </c>
      <c r="G274" s="206">
        <v>2</v>
      </c>
      <c r="H274" s="207">
        <v>0.6</v>
      </c>
      <c r="I274" s="208"/>
      <c r="J274" s="70"/>
      <c r="L274" s="2"/>
      <c r="M274" s="2"/>
    </row>
    <row r="275" spans="1:13" ht="15" customHeight="1">
      <c r="A275" s="208" t="s">
        <v>531</v>
      </c>
      <c r="B275" s="208">
        <v>10071178</v>
      </c>
      <c r="C275" s="220" t="s">
        <v>123</v>
      </c>
      <c r="D275" s="208" t="s">
        <v>124</v>
      </c>
      <c r="E275" s="208" t="s">
        <v>106</v>
      </c>
      <c r="F275" s="206" t="s">
        <v>757</v>
      </c>
      <c r="G275" s="206">
        <v>2</v>
      </c>
      <c r="H275" s="207">
        <v>1</v>
      </c>
      <c r="I275" s="208"/>
      <c r="J275" s="70"/>
      <c r="L275" s="2"/>
      <c r="M275" s="2"/>
    </row>
    <row r="276" spans="1:13" ht="15" customHeight="1">
      <c r="A276" s="208" t="s">
        <v>533</v>
      </c>
      <c r="B276" s="208">
        <v>10071439</v>
      </c>
      <c r="C276" s="220" t="s">
        <v>123</v>
      </c>
      <c r="D276" s="208" t="s">
        <v>124</v>
      </c>
      <c r="E276" s="208" t="s">
        <v>106</v>
      </c>
      <c r="F276" s="206" t="s">
        <v>757</v>
      </c>
      <c r="G276" s="206">
        <v>2</v>
      </c>
      <c r="H276" s="207">
        <v>0.7</v>
      </c>
      <c r="I276" s="208"/>
      <c r="J276" s="70"/>
      <c r="L276" s="2"/>
      <c r="M276" s="2"/>
    </row>
    <row r="277" spans="1:13" ht="15" customHeight="1">
      <c r="A277" s="208" t="s">
        <v>535</v>
      </c>
      <c r="B277" s="208">
        <v>10071151</v>
      </c>
      <c r="C277" s="220" t="s">
        <v>123</v>
      </c>
      <c r="D277" s="208" t="s">
        <v>227</v>
      </c>
      <c r="E277" s="208" t="s">
        <v>106</v>
      </c>
      <c r="F277" s="206" t="s">
        <v>757</v>
      </c>
      <c r="G277" s="206">
        <v>2</v>
      </c>
      <c r="H277" s="207">
        <v>0.7</v>
      </c>
      <c r="I277" s="208"/>
      <c r="J277" s="70"/>
      <c r="L277" s="2"/>
      <c r="M277" s="2"/>
    </row>
    <row r="278" spans="1:13" ht="15" customHeight="1">
      <c r="A278" s="208" t="s">
        <v>152</v>
      </c>
      <c r="B278" s="208">
        <v>10070715</v>
      </c>
      <c r="C278" s="220" t="s">
        <v>262</v>
      </c>
      <c r="D278" s="208" t="s">
        <v>85</v>
      </c>
      <c r="E278" s="208" t="s">
        <v>85</v>
      </c>
      <c r="F278" s="206" t="s">
        <v>757</v>
      </c>
      <c r="G278" s="206">
        <v>2</v>
      </c>
      <c r="H278" s="207">
        <v>0.7</v>
      </c>
      <c r="I278" s="208"/>
      <c r="J278" s="70"/>
      <c r="L278" s="2"/>
      <c r="M278" s="2"/>
    </row>
    <row r="279" spans="1:13" ht="15" customHeight="1">
      <c r="A279" s="208" t="s">
        <v>137</v>
      </c>
      <c r="B279" s="208">
        <v>10072502</v>
      </c>
      <c r="C279" s="220" t="s">
        <v>262</v>
      </c>
      <c r="D279" s="208" t="s">
        <v>85</v>
      </c>
      <c r="E279" s="208" t="s">
        <v>85</v>
      </c>
      <c r="F279" s="206" t="s">
        <v>757</v>
      </c>
      <c r="G279" s="206">
        <v>2</v>
      </c>
      <c r="H279" s="207">
        <v>0.3</v>
      </c>
      <c r="I279" s="208"/>
      <c r="J279" s="70"/>
      <c r="L279" s="2"/>
      <c r="M279" s="2"/>
    </row>
    <row r="280" spans="1:13" ht="15" customHeight="1">
      <c r="A280" s="208" t="s">
        <v>84</v>
      </c>
      <c r="B280" s="208">
        <v>10070655</v>
      </c>
      <c r="C280" s="220" t="s">
        <v>262</v>
      </c>
      <c r="D280" s="208" t="s">
        <v>85</v>
      </c>
      <c r="E280" s="208" t="s">
        <v>85</v>
      </c>
      <c r="F280" s="206" t="s">
        <v>757</v>
      </c>
      <c r="G280" s="206">
        <v>2</v>
      </c>
      <c r="H280" s="207" t="s">
        <v>14</v>
      </c>
      <c r="I280" s="208" t="s">
        <v>768</v>
      </c>
      <c r="J280" s="70"/>
      <c r="L280" s="2"/>
      <c r="M280" s="2"/>
    </row>
    <row r="281" spans="1:13" ht="15" customHeight="1">
      <c r="A281" s="208" t="s">
        <v>169</v>
      </c>
      <c r="B281" s="208">
        <v>10072072</v>
      </c>
      <c r="C281" s="220" t="s">
        <v>262</v>
      </c>
      <c r="D281" s="208" t="s">
        <v>170</v>
      </c>
      <c r="E281" s="208" t="s">
        <v>170</v>
      </c>
      <c r="F281" s="206" t="s">
        <v>757</v>
      </c>
      <c r="G281" s="206">
        <v>2</v>
      </c>
      <c r="H281" s="207">
        <v>0.8</v>
      </c>
      <c r="I281" s="208"/>
      <c r="J281" s="70"/>
      <c r="L281" s="2"/>
      <c r="M281" s="2"/>
    </row>
    <row r="282" spans="1:13" ht="15" customHeight="1">
      <c r="A282" s="208" t="s">
        <v>214</v>
      </c>
      <c r="B282" s="208">
        <v>10071099</v>
      </c>
      <c r="C282" s="220" t="s">
        <v>262</v>
      </c>
      <c r="D282" s="208" t="s">
        <v>170</v>
      </c>
      <c r="E282" s="208" t="s">
        <v>170</v>
      </c>
      <c r="F282" s="206" t="s">
        <v>757</v>
      </c>
      <c r="G282" s="206">
        <v>2</v>
      </c>
      <c r="H282" s="207">
        <v>0.9</v>
      </c>
      <c r="I282" s="208"/>
      <c r="J282" s="70"/>
      <c r="L282" s="2"/>
      <c r="M282" s="2"/>
    </row>
    <row r="283" spans="1:13" ht="15" customHeight="1">
      <c r="A283" s="208" t="s">
        <v>186</v>
      </c>
      <c r="B283" s="208">
        <v>10072501</v>
      </c>
      <c r="C283" s="220" t="s">
        <v>262</v>
      </c>
      <c r="D283" s="208" t="s">
        <v>170</v>
      </c>
      <c r="E283" s="208" t="s">
        <v>170</v>
      </c>
      <c r="F283" s="206" t="s">
        <v>757</v>
      </c>
      <c r="G283" s="206">
        <v>2</v>
      </c>
      <c r="H283" s="207">
        <v>0.9</v>
      </c>
      <c r="I283" s="208"/>
      <c r="J283" s="70"/>
      <c r="L283" s="2"/>
      <c r="M283" s="2"/>
    </row>
    <row r="284" spans="1:13" ht="15" customHeight="1">
      <c r="A284" s="208" t="s">
        <v>124</v>
      </c>
      <c r="B284" s="208">
        <v>10071245</v>
      </c>
      <c r="C284" s="220" t="s">
        <v>265</v>
      </c>
      <c r="D284" s="208" t="s">
        <v>106</v>
      </c>
      <c r="E284" s="208" t="s">
        <v>106</v>
      </c>
      <c r="F284" s="206" t="s">
        <v>757</v>
      </c>
      <c r="G284" s="206">
        <v>2</v>
      </c>
      <c r="H284" s="207" t="s">
        <v>14</v>
      </c>
      <c r="I284" s="208" t="s">
        <v>764</v>
      </c>
      <c r="J284" s="70"/>
      <c r="L284" s="2"/>
      <c r="M284" s="2"/>
    </row>
    <row r="285" spans="1:13" ht="15" customHeight="1">
      <c r="A285" s="208" t="s">
        <v>545</v>
      </c>
      <c r="B285" s="208">
        <v>10072439</v>
      </c>
      <c r="C285" s="220" t="s">
        <v>123</v>
      </c>
      <c r="D285" s="208" t="s">
        <v>227</v>
      </c>
      <c r="E285" s="208" t="s">
        <v>106</v>
      </c>
      <c r="F285" s="206" t="s">
        <v>757</v>
      </c>
      <c r="G285" s="206">
        <v>2</v>
      </c>
      <c r="H285" s="207">
        <v>0.7</v>
      </c>
      <c r="I285" s="208"/>
      <c r="J285" s="70"/>
      <c r="L285" s="2"/>
      <c r="M285" s="2"/>
    </row>
    <row r="286" spans="1:13" ht="15" customHeight="1">
      <c r="A286" s="208" t="s">
        <v>556</v>
      </c>
      <c r="B286" s="208">
        <v>10071314</v>
      </c>
      <c r="C286" s="220" t="s">
        <v>123</v>
      </c>
      <c r="D286" s="208" t="s">
        <v>124</v>
      </c>
      <c r="E286" s="208" t="s">
        <v>106</v>
      </c>
      <c r="F286" s="206" t="s">
        <v>757</v>
      </c>
      <c r="G286" s="206">
        <v>2</v>
      </c>
      <c r="H286" s="207">
        <v>1</v>
      </c>
      <c r="I286" s="208"/>
      <c r="J286" s="70"/>
      <c r="L286" s="2"/>
      <c r="M286" s="2"/>
    </row>
    <row r="287" spans="1:13" ht="15" customHeight="1">
      <c r="A287" s="208"/>
      <c r="B287" s="208"/>
      <c r="C287" s="220"/>
      <c r="D287" s="208"/>
      <c r="E287" s="208"/>
      <c r="F287" s="206"/>
      <c r="G287" s="206"/>
      <c r="H287" s="207"/>
      <c r="I287" s="208"/>
      <c r="J287" s="70"/>
      <c r="L287" s="2"/>
      <c r="M287" s="2"/>
    </row>
    <row r="288" spans="1:13" ht="15" customHeight="1">
      <c r="A288" s="208"/>
      <c r="B288" s="208"/>
      <c r="C288" s="220"/>
      <c r="D288" s="208"/>
      <c r="E288" s="208"/>
      <c r="F288" s="206"/>
      <c r="G288" s="206"/>
      <c r="H288" s="207"/>
      <c r="I288" s="208"/>
      <c r="J288" s="70"/>
      <c r="L288" s="2"/>
      <c r="M288" s="2"/>
    </row>
    <row r="289" spans="1:13" ht="15" customHeight="1">
      <c r="A289" s="208"/>
      <c r="B289" s="208"/>
      <c r="C289" s="220"/>
      <c r="D289" s="208"/>
      <c r="E289" s="208"/>
      <c r="F289" s="206"/>
      <c r="G289" s="206"/>
      <c r="H289" s="207"/>
      <c r="I289" s="208"/>
      <c r="J289" s="70"/>
      <c r="L289" s="2"/>
      <c r="M289" s="2"/>
    </row>
    <row r="290" spans="1:13" ht="15" customHeight="1">
      <c r="A290" s="208"/>
      <c r="B290" s="208"/>
      <c r="C290" s="220"/>
      <c r="D290" s="208"/>
      <c r="E290" s="208"/>
      <c r="F290" s="206"/>
      <c r="G290" s="206"/>
      <c r="H290" s="207"/>
      <c r="I290" s="208"/>
      <c r="J290" s="70"/>
      <c r="L290" s="2"/>
      <c r="M290" s="2"/>
    </row>
    <row r="291" spans="1:13" ht="15" customHeight="1">
      <c r="A291" s="208"/>
      <c r="B291" s="208"/>
      <c r="C291" s="220"/>
      <c r="D291" s="208"/>
      <c r="E291" s="208"/>
      <c r="F291" s="206"/>
      <c r="G291" s="206"/>
      <c r="H291" s="207"/>
      <c r="I291" s="208"/>
      <c r="J291" s="70"/>
      <c r="L291" s="2"/>
      <c r="M291" s="2"/>
    </row>
    <row r="292" spans="1:13" ht="15" customHeight="1">
      <c r="A292" s="208"/>
      <c r="B292" s="208"/>
      <c r="C292" s="220"/>
      <c r="D292" s="208"/>
      <c r="E292" s="208"/>
      <c r="F292" s="206"/>
      <c r="G292" s="206"/>
      <c r="H292" s="207"/>
      <c r="I292" s="208"/>
      <c r="J292" s="70"/>
      <c r="L292" s="2"/>
      <c r="M292" s="2"/>
    </row>
    <row r="293" spans="1:13" ht="15" customHeight="1">
      <c r="A293" s="208"/>
      <c r="B293" s="208"/>
      <c r="C293" s="220"/>
      <c r="D293" s="208"/>
      <c r="E293" s="208"/>
      <c r="F293" s="206"/>
      <c r="G293" s="206"/>
      <c r="H293" s="207"/>
      <c r="I293" s="208"/>
      <c r="J293" s="70"/>
      <c r="L293" s="2"/>
      <c r="M293" s="2"/>
    </row>
    <row r="294" spans="1:13" ht="15" customHeight="1">
      <c r="A294" s="208"/>
      <c r="B294" s="208"/>
      <c r="C294" s="220"/>
      <c r="D294" s="208"/>
      <c r="E294" s="208"/>
      <c r="F294" s="206"/>
      <c r="G294" s="206"/>
      <c r="H294" s="207"/>
      <c r="I294" s="208"/>
      <c r="J294" s="70"/>
      <c r="L294" s="2"/>
      <c r="M294" s="2"/>
    </row>
    <row r="295" spans="1:13" ht="15" customHeight="1">
      <c r="A295" s="208"/>
      <c r="B295" s="208"/>
      <c r="C295" s="220"/>
      <c r="D295" s="208"/>
      <c r="E295" s="208"/>
      <c r="F295" s="206"/>
      <c r="G295" s="206"/>
      <c r="H295" s="207"/>
      <c r="I295" s="208"/>
      <c r="J295" s="70"/>
      <c r="L295" s="2"/>
      <c r="M295" s="2"/>
    </row>
    <row r="296" spans="1:13" ht="15" customHeight="1">
      <c r="A296" s="208"/>
      <c r="B296" s="208"/>
      <c r="C296" s="220"/>
      <c r="D296" s="208"/>
      <c r="E296" s="208"/>
      <c r="F296" s="206"/>
      <c r="G296" s="206"/>
      <c r="H296" s="207"/>
      <c r="I296" s="208"/>
      <c r="J296" s="70"/>
      <c r="L296" s="2"/>
      <c r="M296" s="2"/>
    </row>
    <row r="297" spans="1:13" ht="15" customHeight="1">
      <c r="A297" s="208"/>
      <c r="B297" s="208"/>
      <c r="C297" s="220"/>
      <c r="D297" s="208"/>
      <c r="E297" s="208"/>
      <c r="F297" s="206"/>
      <c r="G297" s="206"/>
      <c r="H297" s="207"/>
      <c r="I297" s="208"/>
      <c r="J297" s="70"/>
      <c r="L297" s="2"/>
      <c r="M297" s="2"/>
    </row>
    <row r="298" spans="1:13" ht="15" customHeight="1">
      <c r="A298" s="208"/>
      <c r="B298" s="208"/>
      <c r="C298" s="220"/>
      <c r="D298" s="208"/>
      <c r="E298" s="208"/>
      <c r="F298" s="206"/>
      <c r="G298" s="206"/>
      <c r="H298" s="207"/>
      <c r="I298" s="208"/>
      <c r="J298" s="70"/>
      <c r="L298" s="2"/>
      <c r="M298" s="2"/>
    </row>
    <row r="299" spans="1:13" ht="15" customHeight="1">
      <c r="A299" s="208"/>
      <c r="B299" s="205"/>
      <c r="C299" s="220"/>
      <c r="D299" s="208"/>
      <c r="E299" s="208"/>
      <c r="F299" s="206"/>
      <c r="G299" s="206"/>
      <c r="H299" s="207"/>
      <c r="I299" s="208"/>
      <c r="J299" s="70"/>
      <c r="L299" s="2"/>
      <c r="M299" s="2"/>
    </row>
    <row r="300" spans="1:13" ht="15" customHeight="1">
      <c r="A300" s="208"/>
      <c r="B300" s="208"/>
      <c r="C300" s="220"/>
      <c r="D300" s="208"/>
      <c r="E300" s="208"/>
      <c r="F300" s="206"/>
      <c r="G300" s="206"/>
      <c r="H300" s="207"/>
      <c r="I300" s="208"/>
      <c r="J300" s="70"/>
      <c r="L300" s="2"/>
      <c r="M300" s="2"/>
    </row>
    <row r="301" spans="1:13" ht="15" customHeight="1">
      <c r="A301" s="208"/>
      <c r="B301" s="208"/>
      <c r="C301" s="220"/>
      <c r="D301" s="208"/>
      <c r="E301" s="208"/>
      <c r="F301" s="206"/>
      <c r="G301" s="206"/>
      <c r="H301" s="207"/>
      <c r="I301" s="208"/>
      <c r="J301" s="70"/>
      <c r="L301" s="2"/>
      <c r="M301" s="2"/>
    </row>
    <row r="302" spans="1:13" ht="15" customHeight="1">
      <c r="A302" s="208"/>
      <c r="B302" s="208"/>
      <c r="C302" s="220"/>
      <c r="D302" s="208"/>
      <c r="E302" s="208"/>
      <c r="F302" s="206"/>
      <c r="G302" s="206"/>
      <c r="H302" s="207"/>
      <c r="I302" s="208"/>
      <c r="J302" s="70"/>
      <c r="L302" s="2"/>
      <c r="M302" s="2"/>
    </row>
    <row r="303" spans="1:13" ht="15" customHeight="1">
      <c r="A303" s="208"/>
      <c r="B303" s="208"/>
      <c r="C303" s="220"/>
      <c r="D303" s="208"/>
      <c r="E303" s="208"/>
      <c r="F303" s="206"/>
      <c r="G303" s="206"/>
      <c r="H303" s="207"/>
      <c r="I303" s="208"/>
      <c r="J303" s="70"/>
      <c r="L303" s="2"/>
      <c r="M303" s="2"/>
    </row>
    <row r="304" spans="1:13" ht="15" customHeight="1">
      <c r="A304" s="208"/>
      <c r="B304" s="208"/>
      <c r="C304" s="220"/>
      <c r="D304" s="208"/>
      <c r="E304" s="208"/>
      <c r="F304" s="206"/>
      <c r="G304" s="206"/>
      <c r="H304" s="207"/>
      <c r="I304" s="208"/>
      <c r="J304" s="70"/>
      <c r="L304" s="2"/>
      <c r="M304" s="2"/>
    </row>
    <row r="305" spans="1:13" ht="15" customHeight="1">
      <c r="A305" s="208"/>
      <c r="B305" s="208"/>
      <c r="C305" s="220"/>
      <c r="D305" s="208"/>
      <c r="E305" s="208"/>
      <c r="F305" s="206"/>
      <c r="G305" s="206"/>
      <c r="H305" s="207"/>
      <c r="I305" s="208"/>
      <c r="J305" s="70"/>
      <c r="L305" s="2"/>
      <c r="M305" s="2"/>
    </row>
    <row r="306" spans="1:13" ht="15" customHeight="1">
      <c r="A306" s="208"/>
      <c r="B306" s="208"/>
      <c r="C306" s="220"/>
      <c r="D306" s="208"/>
      <c r="E306" s="208"/>
      <c r="F306" s="206"/>
      <c r="G306" s="206"/>
      <c r="H306" s="207"/>
      <c r="I306" s="208"/>
      <c r="J306" s="70"/>
      <c r="L306" s="2"/>
      <c r="M306" s="2"/>
    </row>
    <row r="307" spans="1:13" ht="15" customHeight="1">
      <c r="A307" s="208"/>
      <c r="B307" s="208"/>
      <c r="C307" s="220"/>
      <c r="D307" s="208"/>
      <c r="E307" s="208"/>
      <c r="F307" s="206"/>
      <c r="G307" s="206"/>
      <c r="H307" s="207"/>
      <c r="I307" s="208"/>
      <c r="J307" s="70"/>
      <c r="L307" s="2"/>
      <c r="M307" s="2"/>
    </row>
    <row r="308" spans="1:13" ht="15" customHeight="1">
      <c r="A308" s="208"/>
      <c r="B308" s="208"/>
      <c r="C308" s="220"/>
      <c r="D308" s="208"/>
      <c r="E308" s="208"/>
      <c r="F308" s="206"/>
      <c r="G308" s="206"/>
      <c r="H308" s="207"/>
      <c r="I308" s="208"/>
      <c r="J308" s="70"/>
      <c r="L308" s="2"/>
      <c r="M308" s="2"/>
    </row>
    <row r="309" spans="1:13" ht="15" customHeight="1">
      <c r="A309" s="208"/>
      <c r="B309" s="208"/>
      <c r="C309" s="220"/>
      <c r="D309" s="208"/>
      <c r="E309" s="208"/>
      <c r="F309" s="206"/>
      <c r="G309" s="206"/>
      <c r="H309" s="207"/>
      <c r="I309" s="208"/>
      <c r="J309" s="70"/>
      <c r="L309" s="2"/>
      <c r="M309" s="2"/>
    </row>
    <row r="310" spans="1:13" ht="15" customHeight="1">
      <c r="A310" s="208"/>
      <c r="B310" s="208"/>
      <c r="C310" s="220"/>
      <c r="D310" s="208"/>
      <c r="E310" s="208"/>
      <c r="F310" s="206"/>
      <c r="G310" s="206"/>
      <c r="H310" s="207"/>
      <c r="I310" s="208"/>
      <c r="J310" s="70"/>
      <c r="L310" s="2"/>
      <c r="M310" s="2"/>
    </row>
    <row r="311" spans="1:13" ht="15" customHeight="1">
      <c r="A311" s="208"/>
      <c r="B311" s="208"/>
      <c r="C311" s="220"/>
      <c r="D311" s="208"/>
      <c r="E311" s="208"/>
      <c r="F311" s="206"/>
      <c r="G311" s="206"/>
      <c r="H311" s="207"/>
      <c r="I311" s="208"/>
      <c r="J311" s="70"/>
      <c r="L311" s="2"/>
      <c r="M311" s="2"/>
    </row>
    <row r="312" spans="1:13" ht="15" customHeight="1">
      <c r="A312" s="208"/>
      <c r="B312" s="208"/>
      <c r="C312" s="220"/>
      <c r="D312" s="208"/>
      <c r="E312" s="208"/>
      <c r="F312" s="206"/>
      <c r="G312" s="206"/>
      <c r="H312" s="207"/>
      <c r="I312" s="208"/>
      <c r="J312" s="70"/>
      <c r="L312" s="2"/>
      <c r="M312" s="2"/>
    </row>
    <row r="313" spans="1:13" ht="15" customHeight="1">
      <c r="A313" s="208"/>
      <c r="B313" s="208"/>
      <c r="C313" s="220"/>
      <c r="D313" s="208"/>
      <c r="E313" s="208"/>
      <c r="F313" s="206"/>
      <c r="G313" s="206"/>
      <c r="H313" s="207"/>
      <c r="I313" s="208"/>
      <c r="J313" s="70"/>
      <c r="L313" s="2"/>
      <c r="M313" s="2"/>
    </row>
    <row r="314" spans="1:13" ht="15" customHeight="1">
      <c r="A314" s="208"/>
      <c r="B314" s="208"/>
      <c r="C314" s="220"/>
      <c r="D314" s="208"/>
      <c r="E314" s="208"/>
      <c r="F314" s="206"/>
      <c r="G314" s="206"/>
      <c r="H314" s="207"/>
      <c r="I314" s="208"/>
      <c r="J314" s="70"/>
      <c r="L314" s="2"/>
      <c r="M314" s="2"/>
    </row>
    <row r="315" spans="1:13" ht="15" customHeight="1">
      <c r="A315" s="208"/>
      <c r="B315" s="208"/>
      <c r="C315" s="220"/>
      <c r="D315" s="208"/>
      <c r="E315" s="208"/>
      <c r="F315" s="206"/>
      <c r="G315" s="206"/>
      <c r="H315" s="207"/>
      <c r="I315" s="208"/>
      <c r="J315" s="70"/>
      <c r="L315" s="2"/>
      <c r="M315" s="2"/>
    </row>
    <row r="316" spans="1:13" ht="15" customHeight="1">
      <c r="A316" s="208"/>
      <c r="B316" s="208"/>
      <c r="C316" s="220"/>
      <c r="D316" s="208"/>
      <c r="E316" s="208"/>
      <c r="F316" s="206"/>
      <c r="G316" s="206"/>
      <c r="H316" s="207"/>
      <c r="I316" s="208"/>
      <c r="J316" s="70"/>
      <c r="L316" s="2"/>
      <c r="M316" s="2"/>
    </row>
    <row r="317" spans="1:13" ht="15" customHeight="1">
      <c r="A317" s="208"/>
      <c r="B317" s="208"/>
      <c r="C317" s="220"/>
      <c r="D317" s="208"/>
      <c r="E317" s="208"/>
      <c r="F317" s="206"/>
      <c r="G317" s="206"/>
      <c r="H317" s="207"/>
      <c r="I317" s="208"/>
      <c r="J317" s="70"/>
      <c r="L317" s="2"/>
      <c r="M317" s="2"/>
    </row>
    <row r="318" spans="1:13" ht="15" customHeight="1">
      <c r="A318" s="208"/>
      <c r="B318" s="208"/>
      <c r="C318" s="220"/>
      <c r="D318" s="208"/>
      <c r="E318" s="208"/>
      <c r="F318" s="206"/>
      <c r="G318" s="206"/>
      <c r="H318" s="207"/>
      <c r="I318" s="208"/>
      <c r="J318" s="70"/>
      <c r="L318" s="2"/>
      <c r="M318" s="2"/>
    </row>
    <row r="319" spans="1:13" ht="15" customHeight="1">
      <c r="A319" s="208"/>
      <c r="B319" s="208"/>
      <c r="C319" s="220"/>
      <c r="D319" s="208"/>
      <c r="E319" s="208"/>
      <c r="F319" s="206"/>
      <c r="G319" s="206"/>
      <c r="H319" s="207"/>
      <c r="I319" s="208"/>
      <c r="J319" s="70"/>
      <c r="L319" s="2"/>
      <c r="M319" s="2"/>
    </row>
    <row r="320" spans="1:13" ht="15" customHeight="1">
      <c r="A320" s="208"/>
      <c r="B320" s="208"/>
      <c r="C320" s="220"/>
      <c r="D320" s="208"/>
      <c r="E320" s="208"/>
      <c r="F320" s="206"/>
      <c r="G320" s="206"/>
      <c r="H320" s="207"/>
      <c r="I320" s="208"/>
      <c r="J320" s="70"/>
      <c r="L320" s="2"/>
      <c r="M320" s="2"/>
    </row>
    <row r="321" spans="1:13" ht="15" customHeight="1">
      <c r="A321" s="208"/>
      <c r="B321" s="208"/>
      <c r="C321" s="220"/>
      <c r="D321" s="208"/>
      <c r="E321" s="208"/>
      <c r="F321" s="206"/>
      <c r="G321" s="206"/>
      <c r="H321" s="207"/>
      <c r="I321" s="208"/>
      <c r="J321" s="70"/>
      <c r="L321" s="2"/>
      <c r="M321" s="2"/>
    </row>
    <row r="322" spans="1:13" ht="15" customHeight="1">
      <c r="A322" s="208"/>
      <c r="B322" s="208"/>
      <c r="C322" s="220"/>
      <c r="D322" s="208"/>
      <c r="E322" s="208"/>
      <c r="F322" s="206"/>
      <c r="G322" s="206"/>
      <c r="H322" s="207"/>
      <c r="I322" s="208"/>
      <c r="J322" s="70"/>
      <c r="L322" s="2"/>
      <c r="M322" s="2"/>
    </row>
    <row r="323" spans="1:13" ht="15" customHeight="1">
      <c r="A323" s="208"/>
      <c r="B323" s="208"/>
      <c r="C323" s="220"/>
      <c r="D323" s="208"/>
      <c r="E323" s="208"/>
      <c r="F323" s="206"/>
      <c r="G323" s="206"/>
      <c r="H323" s="207"/>
      <c r="I323" s="208"/>
      <c r="J323" s="70"/>
      <c r="L323" s="2"/>
      <c r="M323" s="2"/>
    </row>
    <row r="324" spans="1:13" ht="15" customHeight="1">
      <c r="A324" s="208"/>
      <c r="B324" s="208"/>
      <c r="C324" s="220"/>
      <c r="D324" s="208"/>
      <c r="E324" s="208"/>
      <c r="F324" s="206"/>
      <c r="G324" s="206"/>
      <c r="H324" s="207"/>
      <c r="I324" s="208"/>
      <c r="J324" s="70"/>
      <c r="L324" s="2"/>
      <c r="M324" s="2"/>
    </row>
    <row r="325" spans="1:13" ht="15" customHeight="1">
      <c r="A325" s="208"/>
      <c r="B325" s="208"/>
      <c r="C325" s="220"/>
      <c r="D325" s="208"/>
      <c r="E325" s="208"/>
      <c r="F325" s="206"/>
      <c r="G325" s="206"/>
      <c r="H325" s="207"/>
      <c r="I325" s="208"/>
      <c r="J325" s="70"/>
      <c r="L325" s="2"/>
      <c r="M325" s="2"/>
    </row>
    <row r="326" spans="1:13" ht="15" customHeight="1">
      <c r="A326" s="208"/>
      <c r="B326" s="208"/>
      <c r="C326" s="220"/>
      <c r="D326" s="208"/>
      <c r="E326" s="208"/>
      <c r="F326" s="206"/>
      <c r="G326" s="206"/>
      <c r="H326" s="207"/>
      <c r="I326" s="208"/>
      <c r="J326" s="70"/>
      <c r="L326" s="2"/>
      <c r="M326" s="2"/>
    </row>
    <row r="327" spans="1:13" ht="15" customHeight="1">
      <c r="A327" s="208"/>
      <c r="B327" s="208"/>
      <c r="C327" s="220"/>
      <c r="D327" s="208"/>
      <c r="E327" s="208"/>
      <c r="F327" s="206"/>
      <c r="G327" s="206"/>
      <c r="H327" s="207"/>
      <c r="I327" s="208"/>
      <c r="J327" s="70"/>
      <c r="L327" s="2"/>
      <c r="M327" s="2"/>
    </row>
    <row r="328" spans="1:13" ht="15" customHeight="1">
      <c r="A328" s="208"/>
      <c r="B328" s="208"/>
      <c r="C328" s="220"/>
      <c r="D328" s="208"/>
      <c r="E328" s="208"/>
      <c r="F328" s="206"/>
      <c r="G328" s="206"/>
      <c r="H328" s="207"/>
      <c r="I328" s="208"/>
      <c r="J328" s="70"/>
      <c r="L328" s="2"/>
      <c r="M328" s="2"/>
    </row>
    <row r="329" spans="1:13" ht="15" customHeight="1">
      <c r="A329" s="208"/>
      <c r="B329" s="208"/>
      <c r="C329" s="220"/>
      <c r="D329" s="208"/>
      <c r="E329" s="208"/>
      <c r="F329" s="206"/>
      <c r="G329" s="206"/>
      <c r="H329" s="207"/>
      <c r="I329" s="208"/>
      <c r="J329" s="70"/>
      <c r="L329" s="2"/>
      <c r="M329" s="2"/>
    </row>
    <row r="330" spans="1:13" ht="15" customHeight="1">
      <c r="A330" s="208"/>
      <c r="B330" s="208"/>
      <c r="C330" s="220"/>
      <c r="D330" s="208"/>
      <c r="E330" s="208"/>
      <c r="F330" s="206"/>
      <c r="G330" s="206"/>
      <c r="H330" s="207"/>
      <c r="I330" s="208"/>
      <c r="J330" s="70"/>
      <c r="L330" s="2"/>
      <c r="M330" s="2"/>
    </row>
    <row r="331" spans="1:13" ht="15" customHeight="1">
      <c r="A331" s="208"/>
      <c r="B331" s="208"/>
      <c r="C331" s="220"/>
      <c r="D331" s="208"/>
      <c r="E331" s="208"/>
      <c r="F331" s="206"/>
      <c r="G331" s="206"/>
      <c r="H331" s="207"/>
      <c r="I331" s="208"/>
      <c r="J331" s="70"/>
      <c r="L331" s="2"/>
      <c r="M331" s="2"/>
    </row>
    <row r="332" spans="1:13" ht="15" customHeight="1">
      <c r="A332" s="208"/>
      <c r="B332" s="208"/>
      <c r="C332" s="220"/>
      <c r="D332" s="208"/>
      <c r="E332" s="208"/>
      <c r="F332" s="206"/>
      <c r="G332" s="206"/>
      <c r="H332" s="207"/>
      <c r="I332" s="208"/>
      <c r="J332" s="70"/>
      <c r="L332" s="2"/>
      <c r="M332" s="2"/>
    </row>
    <row r="333" spans="1:13" ht="15" customHeight="1">
      <c r="A333" s="208"/>
      <c r="B333" s="208"/>
      <c r="C333" s="220"/>
      <c r="D333" s="208"/>
      <c r="E333" s="208"/>
      <c r="F333" s="206"/>
      <c r="G333" s="206"/>
      <c r="H333" s="207"/>
      <c r="I333" s="208"/>
      <c r="J333" s="70"/>
      <c r="L333" s="2"/>
      <c r="M333" s="2"/>
    </row>
    <row r="334" spans="1:13" ht="15" customHeight="1">
      <c r="A334" s="208"/>
      <c r="B334" s="208"/>
      <c r="C334" s="220"/>
      <c r="D334" s="208"/>
      <c r="E334" s="208"/>
      <c r="F334" s="206"/>
      <c r="G334" s="206"/>
      <c r="H334" s="207"/>
      <c r="I334" s="208"/>
      <c r="J334" s="70"/>
      <c r="L334" s="2"/>
      <c r="M334" s="2"/>
    </row>
    <row r="335" spans="1:13" ht="15" customHeight="1">
      <c r="A335" s="208"/>
      <c r="B335" s="208"/>
      <c r="C335" s="220"/>
      <c r="D335" s="208"/>
      <c r="E335" s="208"/>
      <c r="F335" s="206"/>
      <c r="G335" s="206"/>
      <c r="H335" s="207"/>
      <c r="I335" s="208"/>
      <c r="J335" s="70"/>
      <c r="L335" s="2"/>
      <c r="M335" s="2"/>
    </row>
    <row r="336" spans="1:13" ht="15" customHeight="1">
      <c r="A336" s="208"/>
      <c r="B336" s="208"/>
      <c r="C336" s="220"/>
      <c r="D336" s="208"/>
      <c r="E336" s="208"/>
      <c r="F336" s="206"/>
      <c r="G336" s="206"/>
      <c r="H336" s="207"/>
      <c r="I336" s="208"/>
      <c r="J336" s="70"/>
      <c r="L336" s="2"/>
      <c r="M336" s="2"/>
    </row>
    <row r="337" spans="1:13" ht="15" customHeight="1">
      <c r="A337" s="208"/>
      <c r="B337" s="208"/>
      <c r="C337" s="220"/>
      <c r="D337" s="208"/>
      <c r="E337" s="208"/>
      <c r="F337" s="206"/>
      <c r="G337" s="206"/>
      <c r="H337" s="207"/>
      <c r="I337" s="208"/>
      <c r="J337" s="70"/>
      <c r="L337" s="2"/>
      <c r="M337" s="2"/>
    </row>
    <row r="338" spans="1:13" ht="15" customHeight="1">
      <c r="A338" s="208"/>
      <c r="B338" s="208"/>
      <c r="C338" s="220"/>
      <c r="D338" s="208"/>
      <c r="E338" s="208"/>
      <c r="F338" s="206"/>
      <c r="G338" s="206"/>
      <c r="H338" s="207"/>
      <c r="I338" s="208"/>
      <c r="J338" s="70"/>
      <c r="L338" s="2"/>
      <c r="M338" s="2"/>
    </row>
    <row r="339" spans="1:13" ht="15" customHeight="1">
      <c r="A339" s="208"/>
      <c r="B339" s="208"/>
      <c r="C339" s="220"/>
      <c r="D339" s="208"/>
      <c r="E339" s="208"/>
      <c r="F339" s="206"/>
      <c r="G339" s="206"/>
      <c r="H339" s="207"/>
      <c r="I339" s="208"/>
      <c r="J339" s="70"/>
      <c r="L339" s="2"/>
      <c r="M339" s="2"/>
    </row>
    <row r="340" spans="1:13" ht="15" customHeight="1">
      <c r="A340" s="208"/>
      <c r="B340" s="208"/>
      <c r="C340" s="220"/>
      <c r="D340" s="208"/>
      <c r="E340" s="208"/>
      <c r="F340" s="206"/>
      <c r="G340" s="206"/>
      <c r="H340" s="207"/>
      <c r="I340" s="208"/>
      <c r="J340" s="70"/>
      <c r="L340" s="2"/>
      <c r="M340" s="2"/>
    </row>
    <row r="341" spans="1:13" ht="15" customHeight="1">
      <c r="A341" s="208"/>
      <c r="B341" s="208"/>
      <c r="C341" s="220"/>
      <c r="D341" s="208"/>
      <c r="E341" s="208"/>
      <c r="F341" s="206"/>
      <c r="G341" s="206"/>
      <c r="H341" s="207"/>
      <c r="I341" s="208"/>
      <c r="J341" s="70"/>
      <c r="L341" s="2"/>
      <c r="M341" s="2"/>
    </row>
    <row r="342" spans="1:13" ht="15" customHeight="1">
      <c r="A342" s="208"/>
      <c r="B342" s="208"/>
      <c r="C342" s="220"/>
      <c r="D342" s="208"/>
      <c r="E342" s="208"/>
      <c r="F342" s="206"/>
      <c r="G342" s="206"/>
      <c r="H342" s="207"/>
      <c r="I342" s="208"/>
      <c r="J342" s="70"/>
      <c r="L342" s="2"/>
      <c r="M342" s="2"/>
    </row>
    <row r="343" spans="1:13" ht="15" customHeight="1">
      <c r="A343" s="208"/>
      <c r="B343" s="208"/>
      <c r="C343" s="220"/>
      <c r="D343" s="208"/>
      <c r="E343" s="208"/>
      <c r="F343" s="206"/>
      <c r="G343" s="206"/>
      <c r="H343" s="207"/>
      <c r="I343" s="208"/>
      <c r="J343" s="70"/>
      <c r="L343" s="2"/>
      <c r="M343" s="2"/>
    </row>
    <row r="344" spans="1:13" ht="15" customHeight="1">
      <c r="A344" s="208"/>
      <c r="B344" s="208"/>
      <c r="C344" s="220"/>
      <c r="D344" s="208"/>
      <c r="E344" s="208"/>
      <c r="F344" s="206"/>
      <c r="G344" s="206"/>
      <c r="H344" s="207"/>
      <c r="I344" s="208"/>
      <c r="J344" s="70"/>
      <c r="L344" s="2"/>
      <c r="M344" s="2"/>
    </row>
    <row r="345" spans="1:13" ht="15" customHeight="1">
      <c r="A345" s="208"/>
      <c r="B345" s="208"/>
      <c r="C345" s="220"/>
      <c r="D345" s="208"/>
      <c r="E345" s="208"/>
      <c r="F345" s="206"/>
      <c r="G345" s="206"/>
      <c r="H345" s="207"/>
      <c r="I345" s="208"/>
      <c r="J345" s="70"/>
      <c r="L345" s="2"/>
      <c r="M345" s="2"/>
    </row>
    <row r="346" spans="1:13" ht="15" customHeight="1">
      <c r="A346" s="208"/>
      <c r="B346" s="208"/>
      <c r="C346" s="220"/>
      <c r="D346" s="208"/>
      <c r="E346" s="208"/>
      <c r="F346" s="206"/>
      <c r="G346" s="206"/>
      <c r="H346" s="207"/>
      <c r="I346" s="208"/>
      <c r="J346" s="70"/>
      <c r="L346" s="2"/>
      <c r="M346" s="2"/>
    </row>
    <row r="347" spans="1:13" ht="15" customHeight="1">
      <c r="A347" s="208"/>
      <c r="B347" s="208"/>
      <c r="C347" s="220"/>
      <c r="D347" s="208"/>
      <c r="E347" s="208"/>
      <c r="F347" s="206"/>
      <c r="G347" s="206"/>
      <c r="H347" s="207"/>
      <c r="I347" s="208"/>
      <c r="J347" s="70"/>
      <c r="L347" s="2"/>
      <c r="M347" s="2"/>
    </row>
    <row r="348" spans="1:13" ht="15" customHeight="1">
      <c r="A348" s="208"/>
      <c r="B348" s="208"/>
      <c r="C348" s="220"/>
      <c r="D348" s="208"/>
      <c r="E348" s="208"/>
      <c r="F348" s="206"/>
      <c r="G348" s="206"/>
      <c r="H348" s="207"/>
      <c r="I348" s="208"/>
      <c r="J348" s="70"/>
      <c r="L348" s="2"/>
      <c r="M348" s="2"/>
    </row>
    <row r="349" spans="1:13" ht="15" customHeight="1">
      <c r="A349" s="208"/>
      <c r="B349" s="208"/>
      <c r="C349" s="220"/>
      <c r="D349" s="208"/>
      <c r="E349" s="208"/>
      <c r="F349" s="206"/>
      <c r="G349" s="206"/>
      <c r="H349" s="207"/>
      <c r="I349" s="208"/>
      <c r="J349" s="70"/>
      <c r="L349" s="2"/>
      <c r="M349" s="2"/>
    </row>
    <row r="350" spans="1:13" ht="15" customHeight="1">
      <c r="A350" s="208"/>
      <c r="B350" s="208"/>
      <c r="C350" s="220"/>
      <c r="D350" s="208"/>
      <c r="E350" s="208"/>
      <c r="F350" s="206"/>
      <c r="G350" s="206"/>
      <c r="H350" s="207"/>
      <c r="I350" s="208"/>
      <c r="J350" s="70"/>
      <c r="L350" s="2"/>
      <c r="M350" s="2"/>
    </row>
    <row r="351" spans="1:13" ht="15" customHeight="1">
      <c r="A351" s="208"/>
      <c r="B351" s="208"/>
      <c r="C351" s="220"/>
      <c r="D351" s="208"/>
      <c r="E351" s="208"/>
      <c r="F351" s="206"/>
      <c r="G351" s="206"/>
      <c r="H351" s="207"/>
      <c r="I351" s="208"/>
      <c r="J351" s="70"/>
      <c r="L351" s="2"/>
      <c r="M351" s="2"/>
    </row>
    <row r="352" spans="1:13" ht="15" customHeight="1">
      <c r="A352" s="208"/>
      <c r="B352" s="208"/>
      <c r="C352" s="220"/>
      <c r="D352" s="208"/>
      <c r="E352" s="208"/>
      <c r="F352" s="206"/>
      <c r="G352" s="206"/>
      <c r="H352" s="207"/>
      <c r="I352" s="208"/>
      <c r="J352" s="70"/>
      <c r="L352" s="2"/>
      <c r="M352" s="2"/>
    </row>
    <row r="353" spans="1:13" ht="15" customHeight="1">
      <c r="A353" s="208"/>
      <c r="B353" s="208"/>
      <c r="C353" s="220"/>
      <c r="D353" s="208"/>
      <c r="E353" s="208"/>
      <c r="F353" s="206"/>
      <c r="G353" s="206"/>
      <c r="H353" s="207"/>
      <c r="I353" s="208"/>
      <c r="J353" s="70"/>
      <c r="L353" s="2"/>
      <c r="M353" s="2"/>
    </row>
    <row r="354" spans="1:13" ht="15" customHeight="1">
      <c r="A354" s="208"/>
      <c r="B354" s="208"/>
      <c r="C354" s="220"/>
      <c r="D354" s="208"/>
      <c r="E354" s="208"/>
      <c r="F354" s="206"/>
      <c r="G354" s="206"/>
      <c r="H354" s="207"/>
      <c r="I354" s="208"/>
      <c r="J354" s="70"/>
      <c r="L354" s="2"/>
      <c r="M354" s="2"/>
    </row>
    <row r="355" spans="1:13" ht="15" customHeight="1">
      <c r="A355" s="208"/>
      <c r="B355" s="208"/>
      <c r="C355" s="220"/>
      <c r="D355" s="208"/>
      <c r="E355" s="208"/>
      <c r="F355" s="206"/>
      <c r="G355" s="206"/>
      <c r="H355" s="207"/>
      <c r="I355" s="208"/>
      <c r="J355" s="70"/>
      <c r="L355" s="2"/>
      <c r="M355" s="2"/>
    </row>
    <row r="356" spans="1:13" ht="15" customHeight="1">
      <c r="A356" s="208"/>
      <c r="B356" s="208"/>
      <c r="C356" s="220"/>
      <c r="D356" s="208"/>
      <c r="E356" s="208"/>
      <c r="F356" s="206"/>
      <c r="G356" s="206"/>
      <c r="H356" s="207"/>
      <c r="I356" s="208"/>
      <c r="J356" s="70"/>
      <c r="L356" s="2"/>
      <c r="M356" s="2"/>
    </row>
    <row r="357" spans="1:13" ht="15" customHeight="1">
      <c r="A357" s="208"/>
      <c r="B357" s="208"/>
      <c r="C357" s="220"/>
      <c r="D357" s="208"/>
      <c r="E357" s="208"/>
      <c r="F357" s="206"/>
      <c r="G357" s="206"/>
      <c r="H357" s="207"/>
      <c r="I357" s="208"/>
      <c r="J357" s="70"/>
      <c r="L357" s="2"/>
      <c r="M357" s="2"/>
    </row>
    <row r="358" spans="1:13" ht="15" customHeight="1">
      <c r="A358" s="208"/>
      <c r="B358" s="208"/>
      <c r="C358" s="220"/>
      <c r="D358" s="208"/>
      <c r="E358" s="208"/>
      <c r="F358" s="206"/>
      <c r="G358" s="206"/>
      <c r="H358" s="207"/>
      <c r="I358" s="208"/>
      <c r="J358" s="70"/>
      <c r="L358" s="2"/>
      <c r="M358" s="2"/>
    </row>
    <row r="359" spans="1:13" ht="15" customHeight="1">
      <c r="A359" s="208"/>
      <c r="B359" s="208"/>
      <c r="C359" s="220"/>
      <c r="D359" s="208"/>
      <c r="E359" s="208"/>
      <c r="F359" s="206"/>
      <c r="G359" s="206"/>
      <c r="H359" s="207"/>
      <c r="I359" s="208"/>
      <c r="J359" s="70"/>
      <c r="L359" s="2"/>
      <c r="M359" s="2"/>
    </row>
    <row r="360" spans="1:13" ht="15" customHeight="1">
      <c r="A360" s="208"/>
      <c r="B360" s="208"/>
      <c r="C360" s="220"/>
      <c r="D360" s="208"/>
      <c r="E360" s="208"/>
      <c r="F360" s="206"/>
      <c r="G360" s="206"/>
      <c r="H360" s="207"/>
      <c r="I360" s="208"/>
      <c r="J360" s="70"/>
      <c r="L360" s="2"/>
      <c r="M360" s="2"/>
    </row>
    <row r="361" spans="1:13" ht="15" customHeight="1">
      <c r="A361" s="208"/>
      <c r="B361" s="208"/>
      <c r="C361" s="220"/>
      <c r="D361" s="208"/>
      <c r="E361" s="208"/>
      <c r="F361" s="206"/>
      <c r="G361" s="206"/>
      <c r="H361" s="207"/>
      <c r="I361" s="208"/>
      <c r="J361" s="70"/>
      <c r="L361" s="2"/>
      <c r="M361" s="2"/>
    </row>
    <row r="362" spans="1:13" ht="15" customHeight="1">
      <c r="A362" s="208"/>
      <c r="B362" s="208"/>
      <c r="C362" s="220"/>
      <c r="D362" s="208"/>
      <c r="E362" s="208"/>
      <c r="F362" s="206"/>
      <c r="G362" s="206"/>
      <c r="H362" s="207"/>
      <c r="I362" s="208"/>
      <c r="J362" s="70"/>
      <c r="L362" s="2"/>
      <c r="M362" s="2"/>
    </row>
    <row r="363" spans="1:13" ht="15" customHeight="1">
      <c r="A363" s="208"/>
      <c r="B363" s="208"/>
      <c r="C363" s="220"/>
      <c r="D363" s="208"/>
      <c r="E363" s="208"/>
      <c r="F363" s="206"/>
      <c r="G363" s="206"/>
      <c r="H363" s="207"/>
      <c r="I363" s="208"/>
      <c r="J363" s="70"/>
      <c r="L363" s="2"/>
      <c r="M363" s="2"/>
    </row>
    <row r="364" spans="1:13" ht="15" customHeight="1">
      <c r="A364" s="208"/>
      <c r="B364" s="208"/>
      <c r="C364" s="220"/>
      <c r="D364" s="208"/>
      <c r="E364" s="208"/>
      <c r="F364" s="206"/>
      <c r="G364" s="206"/>
      <c r="H364" s="207"/>
      <c r="I364" s="208"/>
      <c r="J364" s="70"/>
      <c r="L364" s="2"/>
      <c r="M364" s="2"/>
    </row>
    <row r="365" spans="1:13" ht="15" customHeight="1">
      <c r="A365" s="208"/>
      <c r="B365" s="208"/>
      <c r="C365" s="220"/>
      <c r="D365" s="208"/>
      <c r="E365" s="208"/>
      <c r="F365" s="206"/>
      <c r="G365" s="206"/>
      <c r="H365" s="207"/>
      <c r="I365" s="208"/>
      <c r="J365" s="70"/>
      <c r="L365" s="2"/>
      <c r="M365" s="2"/>
    </row>
    <row r="366" spans="1:13" ht="15" customHeight="1">
      <c r="A366" s="208"/>
      <c r="B366" s="208"/>
      <c r="C366" s="220"/>
      <c r="D366" s="208"/>
      <c r="E366" s="208"/>
      <c r="F366" s="206"/>
      <c r="G366" s="206"/>
      <c r="H366" s="207"/>
      <c r="I366" s="208"/>
      <c r="J366" s="70"/>
      <c r="L366" s="2"/>
      <c r="M366" s="2"/>
    </row>
    <row r="367" spans="1:13" ht="15" customHeight="1">
      <c r="A367" s="208"/>
      <c r="B367" s="208"/>
      <c r="C367" s="220"/>
      <c r="D367" s="208"/>
      <c r="E367" s="208"/>
      <c r="F367" s="206"/>
      <c r="G367" s="206"/>
      <c r="H367" s="207"/>
      <c r="I367" s="208"/>
      <c r="J367" s="70"/>
      <c r="L367" s="2"/>
      <c r="M367" s="2"/>
    </row>
    <row r="368" spans="1:13" ht="15" customHeight="1">
      <c r="A368" s="208"/>
      <c r="B368" s="208"/>
      <c r="C368" s="220"/>
      <c r="D368" s="208"/>
      <c r="E368" s="208"/>
      <c r="F368" s="206"/>
      <c r="G368" s="206"/>
      <c r="H368" s="207"/>
      <c r="I368" s="208"/>
      <c r="J368" s="70"/>
      <c r="L368" s="2"/>
      <c r="M368" s="2"/>
    </row>
    <row r="369" spans="1:13" ht="15" customHeight="1">
      <c r="A369" s="208"/>
      <c r="B369" s="208"/>
      <c r="C369" s="220"/>
      <c r="D369" s="208"/>
      <c r="E369" s="208"/>
      <c r="F369" s="206"/>
      <c r="G369" s="206"/>
      <c r="H369" s="207"/>
      <c r="I369" s="208"/>
      <c r="J369" s="70"/>
      <c r="L369" s="2"/>
      <c r="M369" s="2"/>
    </row>
    <row r="370" spans="1:13" ht="15" customHeight="1">
      <c r="A370" s="208"/>
      <c r="B370" s="208"/>
      <c r="C370" s="220"/>
      <c r="D370" s="208"/>
      <c r="E370" s="208"/>
      <c r="F370" s="206"/>
      <c r="G370" s="206"/>
      <c r="H370" s="207"/>
      <c r="I370" s="208"/>
      <c r="J370" s="70"/>
      <c r="L370" s="2"/>
      <c r="M370" s="2"/>
    </row>
    <row r="371" spans="1:13" ht="15" customHeight="1">
      <c r="A371" s="208"/>
      <c r="B371" s="208"/>
      <c r="C371" s="220"/>
      <c r="D371" s="208"/>
      <c r="E371" s="208"/>
      <c r="F371" s="206"/>
      <c r="G371" s="206"/>
      <c r="H371" s="207"/>
      <c r="I371" s="208"/>
      <c r="J371" s="70"/>
      <c r="L371" s="2"/>
      <c r="M371" s="2"/>
    </row>
    <row r="372" spans="1:13" ht="15" customHeight="1">
      <c r="A372" s="208"/>
      <c r="B372" s="208"/>
      <c r="C372" s="220"/>
      <c r="D372" s="208"/>
      <c r="E372" s="208"/>
      <c r="F372" s="206"/>
      <c r="G372" s="206"/>
      <c r="H372" s="207"/>
      <c r="I372" s="208"/>
      <c r="J372" s="70"/>
      <c r="L372" s="2"/>
      <c r="M372" s="2"/>
    </row>
    <row r="373" spans="1:13" ht="15" customHeight="1">
      <c r="A373" s="208"/>
      <c r="B373" s="208"/>
      <c r="C373" s="220"/>
      <c r="D373" s="208"/>
      <c r="E373" s="208"/>
      <c r="F373" s="206"/>
      <c r="G373" s="206"/>
      <c r="H373" s="207"/>
      <c r="I373" s="208"/>
      <c r="J373" s="70"/>
      <c r="L373" s="2"/>
      <c r="M373" s="2"/>
    </row>
    <row r="374" spans="1:13" ht="15" customHeight="1">
      <c r="A374" s="208"/>
      <c r="B374" s="208"/>
      <c r="C374" s="220"/>
      <c r="D374" s="208"/>
      <c r="E374" s="208"/>
      <c r="F374" s="206"/>
      <c r="G374" s="206"/>
      <c r="H374" s="207"/>
      <c r="I374" s="208"/>
      <c r="J374" s="70"/>
      <c r="L374" s="2"/>
      <c r="M374" s="2"/>
    </row>
    <row r="375" spans="1:13" ht="15" customHeight="1">
      <c r="A375" s="208"/>
      <c r="B375" s="208"/>
      <c r="C375" s="220"/>
      <c r="D375" s="208"/>
      <c r="E375" s="208"/>
      <c r="F375" s="206"/>
      <c r="G375" s="206"/>
      <c r="H375" s="207"/>
      <c r="I375" s="208"/>
      <c r="J375" s="70"/>
      <c r="L375" s="2"/>
      <c r="M375" s="2"/>
    </row>
    <row r="376" spans="1:13" ht="15" customHeight="1">
      <c r="A376" s="208"/>
      <c r="B376" s="208"/>
      <c r="C376" s="208"/>
      <c r="D376" s="208"/>
      <c r="E376" s="208"/>
      <c r="F376" s="206"/>
      <c r="G376" s="206"/>
      <c r="H376" s="207"/>
      <c r="I376" s="208"/>
      <c r="J376" s="70"/>
      <c r="L376" s="2"/>
      <c r="M376" s="2"/>
    </row>
    <row r="377" spans="1:13" ht="15" customHeight="1">
      <c r="A377" s="208"/>
      <c r="B377" s="208"/>
      <c r="C377" s="208"/>
      <c r="D377" s="208"/>
      <c r="E377" s="208"/>
      <c r="F377" s="206"/>
      <c r="G377" s="206"/>
      <c r="H377" s="207"/>
      <c r="I377" s="208"/>
      <c r="J377" s="70"/>
      <c r="L377" s="2"/>
      <c r="M377" s="2"/>
    </row>
    <row r="378" spans="1:13" ht="15" customHeight="1">
      <c r="A378" s="208"/>
      <c r="B378" s="208"/>
      <c r="C378" s="208"/>
      <c r="D378" s="208"/>
      <c r="E378" s="208"/>
      <c r="F378" s="206"/>
      <c r="G378" s="206"/>
      <c r="H378" s="207"/>
      <c r="I378" s="208"/>
      <c r="J378" s="70"/>
      <c r="L378" s="2"/>
      <c r="M378" s="2"/>
    </row>
    <row r="379" spans="1:13" ht="15" customHeight="1">
      <c r="A379" s="208"/>
      <c r="B379" s="208"/>
      <c r="C379" s="208"/>
      <c r="D379" s="208"/>
      <c r="E379" s="208"/>
      <c r="F379" s="206"/>
      <c r="G379" s="206"/>
      <c r="H379" s="207"/>
      <c r="I379" s="208"/>
      <c r="J379" s="70"/>
      <c r="L379" s="2"/>
      <c r="M379" s="2"/>
    </row>
    <row r="380" spans="1:13" ht="15" customHeight="1">
      <c r="A380" s="208"/>
      <c r="B380" s="208"/>
      <c r="C380" s="208"/>
      <c r="D380" s="208"/>
      <c r="E380" s="208"/>
      <c r="F380" s="206"/>
      <c r="G380" s="206"/>
      <c r="H380" s="207"/>
      <c r="I380" s="208"/>
      <c r="J380" s="70"/>
      <c r="L380" s="2"/>
      <c r="M380" s="2"/>
    </row>
    <row r="381" spans="1:13" ht="15" customHeight="1">
      <c r="A381" s="208"/>
      <c r="B381" s="208"/>
      <c r="C381" s="208"/>
      <c r="D381" s="208"/>
      <c r="E381" s="208"/>
      <c r="F381" s="206"/>
      <c r="G381" s="206"/>
      <c r="H381" s="207"/>
      <c r="I381" s="208"/>
      <c r="J381" s="70"/>
      <c r="L381" s="2"/>
      <c r="M381" s="2"/>
    </row>
    <row r="382" spans="1:13" ht="15" customHeight="1">
      <c r="A382" s="208"/>
      <c r="B382" s="208"/>
      <c r="C382" s="208"/>
      <c r="D382" s="208"/>
      <c r="E382" s="208"/>
      <c r="F382" s="206"/>
      <c r="G382" s="206"/>
      <c r="H382" s="207"/>
      <c r="I382" s="208"/>
      <c r="J382" s="70"/>
      <c r="L382" s="2"/>
      <c r="M382" s="2"/>
    </row>
    <row r="383" spans="1:13" ht="15" customHeight="1">
      <c r="A383" s="208"/>
      <c r="B383" s="208"/>
      <c r="C383" s="208"/>
      <c r="D383" s="208"/>
      <c r="E383" s="208"/>
      <c r="F383" s="206"/>
      <c r="G383" s="206"/>
      <c r="H383" s="207"/>
      <c r="I383" s="208"/>
      <c r="J383" s="70"/>
      <c r="L383" s="2"/>
      <c r="M383" s="2"/>
    </row>
    <row r="384" spans="1:13" ht="15" customHeight="1">
      <c r="A384" s="208"/>
      <c r="B384" s="208"/>
      <c r="C384" s="208"/>
      <c r="D384" s="208"/>
      <c r="E384" s="208"/>
      <c r="F384" s="206"/>
      <c r="G384" s="206"/>
      <c r="H384" s="207"/>
      <c r="I384" s="208"/>
      <c r="J384" s="70"/>
      <c r="L384" s="2"/>
      <c r="M384" s="2"/>
    </row>
    <row r="385" spans="1:13" ht="15" customHeight="1">
      <c r="A385" s="208"/>
      <c r="B385" s="208"/>
      <c r="C385" s="208"/>
      <c r="D385" s="208"/>
      <c r="E385" s="208"/>
      <c r="F385" s="206"/>
      <c r="G385" s="206"/>
      <c r="H385" s="207"/>
      <c r="I385" s="208"/>
      <c r="J385" s="70"/>
      <c r="L385" s="2"/>
      <c r="M385" s="2"/>
    </row>
    <row r="386" spans="1:13" ht="15" customHeight="1">
      <c r="A386" s="208"/>
      <c r="B386" s="208"/>
      <c r="C386" s="208"/>
      <c r="D386" s="208"/>
      <c r="E386" s="208"/>
      <c r="F386" s="206"/>
      <c r="G386" s="206"/>
      <c r="H386" s="207"/>
      <c r="I386" s="208"/>
      <c r="J386" s="70"/>
      <c r="L386" s="2"/>
      <c r="M386" s="2"/>
    </row>
    <row r="387" spans="1:13" ht="15" customHeight="1">
      <c r="A387" s="208"/>
      <c r="B387" s="208"/>
      <c r="C387" s="208"/>
      <c r="D387" s="208"/>
      <c r="E387" s="208"/>
      <c r="F387" s="206"/>
      <c r="G387" s="206"/>
      <c r="H387" s="207"/>
      <c r="I387" s="208"/>
      <c r="J387" s="70"/>
      <c r="L387" s="2"/>
      <c r="M387" s="2"/>
    </row>
    <row r="388" spans="1:13" ht="15" customHeight="1">
      <c r="A388" s="208"/>
      <c r="B388" s="208"/>
      <c r="C388" s="208"/>
      <c r="D388" s="208"/>
      <c r="E388" s="208"/>
      <c r="F388" s="206"/>
      <c r="G388" s="206"/>
      <c r="H388" s="207"/>
      <c r="I388" s="208"/>
      <c r="J388" s="70"/>
      <c r="L388" s="2"/>
      <c r="M388" s="2"/>
    </row>
    <row r="389" spans="1:13" ht="15" customHeight="1">
      <c r="A389" s="208"/>
      <c r="B389" s="208"/>
      <c r="C389" s="208"/>
      <c r="D389" s="208"/>
      <c r="E389" s="208"/>
      <c r="F389" s="206"/>
      <c r="G389" s="206"/>
      <c r="H389" s="207"/>
      <c r="I389" s="208"/>
      <c r="J389" s="70"/>
      <c r="L389" s="2"/>
      <c r="M389" s="2"/>
    </row>
    <row r="390" spans="1:13" ht="15" customHeight="1">
      <c r="A390" s="208"/>
      <c r="B390" s="208"/>
      <c r="C390" s="208"/>
      <c r="D390" s="208"/>
      <c r="E390" s="208"/>
      <c r="F390" s="206"/>
      <c r="G390" s="206"/>
      <c r="H390" s="207"/>
      <c r="I390" s="208"/>
      <c r="J390" s="70"/>
      <c r="L390" s="2"/>
      <c r="M390" s="2"/>
    </row>
    <row r="391" spans="1:13" ht="15" customHeight="1">
      <c r="A391" s="208"/>
      <c r="B391" s="208"/>
      <c r="C391" s="208"/>
      <c r="D391" s="208"/>
      <c r="E391" s="208"/>
      <c r="F391" s="206"/>
      <c r="G391" s="206"/>
      <c r="H391" s="207"/>
      <c r="I391" s="208"/>
      <c r="J391" s="70"/>
      <c r="L391" s="2"/>
      <c r="M391" s="2"/>
    </row>
    <row r="392" spans="1:13" ht="15" customHeight="1">
      <c r="A392" s="208"/>
      <c r="B392" s="208"/>
      <c r="C392" s="208"/>
      <c r="D392" s="208"/>
      <c r="E392" s="208"/>
      <c r="F392" s="206"/>
      <c r="G392" s="206"/>
      <c r="H392" s="207"/>
      <c r="I392" s="208"/>
      <c r="J392" s="70"/>
      <c r="L392" s="2"/>
      <c r="M392" s="2"/>
    </row>
    <row r="393" spans="1:13" ht="15" customHeight="1">
      <c r="A393" s="208"/>
      <c r="B393" s="208"/>
      <c r="C393" s="208"/>
      <c r="D393" s="208"/>
      <c r="E393" s="208"/>
      <c r="F393" s="206"/>
      <c r="G393" s="206"/>
      <c r="H393" s="207"/>
      <c r="I393" s="208"/>
      <c r="J393" s="70"/>
      <c r="L393" s="2"/>
      <c r="M393" s="2"/>
    </row>
    <row r="394" spans="1:13" ht="15" customHeight="1">
      <c r="A394" s="208"/>
      <c r="B394" s="208"/>
      <c r="C394" s="208"/>
      <c r="D394" s="208"/>
      <c r="E394" s="208"/>
      <c r="F394" s="206"/>
      <c r="G394" s="206"/>
      <c r="H394" s="207"/>
      <c r="I394" s="208"/>
      <c r="J394" s="70"/>
      <c r="L394" s="2"/>
      <c r="M394" s="2"/>
    </row>
    <row r="395" spans="1:13" ht="15" customHeight="1">
      <c r="A395" s="208"/>
      <c r="B395" s="208"/>
      <c r="C395" s="208"/>
      <c r="D395" s="208"/>
      <c r="E395" s="208"/>
      <c r="F395" s="206"/>
      <c r="G395" s="206"/>
      <c r="H395" s="207"/>
      <c r="I395" s="208"/>
      <c r="J395" s="70"/>
      <c r="L395" s="2"/>
      <c r="M395" s="2"/>
    </row>
    <row r="396" spans="1:13" ht="15" customHeight="1">
      <c r="A396" s="208"/>
      <c r="B396" s="208"/>
      <c r="C396" s="208"/>
      <c r="D396" s="208"/>
      <c r="E396" s="208"/>
      <c r="F396" s="206"/>
      <c r="G396" s="206"/>
      <c r="H396" s="207"/>
      <c r="I396" s="208"/>
      <c r="J396" s="70"/>
      <c r="L396" s="2"/>
      <c r="M396" s="2"/>
    </row>
    <row r="397" spans="1:13" ht="15" customHeight="1">
      <c r="A397" s="208"/>
      <c r="B397" s="208"/>
      <c r="C397" s="208"/>
      <c r="D397" s="208"/>
      <c r="E397" s="208"/>
      <c r="F397" s="206"/>
      <c r="G397" s="206"/>
      <c r="H397" s="207"/>
      <c r="I397" s="208"/>
      <c r="J397" s="70"/>
      <c r="L397" s="2"/>
      <c r="M397" s="2"/>
    </row>
    <row r="398" spans="1:13">
      <c r="A398" s="208"/>
      <c r="B398" s="208"/>
      <c r="C398" s="208"/>
      <c r="D398" s="208"/>
      <c r="E398" s="208"/>
      <c r="F398" s="206"/>
      <c r="G398" s="206"/>
      <c r="H398" s="207"/>
      <c r="I398" s="208"/>
      <c r="J398" s="70"/>
      <c r="L398" s="2"/>
      <c r="M398" s="2"/>
    </row>
    <row r="399" spans="1:13">
      <c r="A399" s="287" t="s">
        <v>635</v>
      </c>
      <c r="G399" s="45"/>
      <c r="H399" s="210"/>
      <c r="L399" s="291"/>
      <c r="M399" s="291"/>
    </row>
    <row r="400" spans="1:13">
      <c r="A400" s="227" t="s">
        <v>42</v>
      </c>
      <c r="B400" s="227" t="s">
        <v>749</v>
      </c>
      <c r="C400" s="227" t="s">
        <v>43</v>
      </c>
      <c r="D400" s="228" t="s">
        <v>750</v>
      </c>
      <c r="E400" s="228" t="s">
        <v>608</v>
      </c>
      <c r="F400" s="228" t="s">
        <v>1</v>
      </c>
      <c r="G400" s="228" t="s">
        <v>594</v>
      </c>
      <c r="H400" s="229" t="s">
        <v>751</v>
      </c>
      <c r="I400" s="227" t="s">
        <v>596</v>
      </c>
      <c r="J400" s="227" t="s">
        <v>66</v>
      </c>
      <c r="K400" s="227"/>
      <c r="L400" s="227" t="s">
        <v>769</v>
      </c>
      <c r="M400" s="227" t="s">
        <v>770</v>
      </c>
    </row>
    <row r="401" spans="1:13">
      <c r="A401" s="221" t="str">
        <f>VLOOKUP($B401,RESOURCES!$C:$G,2,FALSE)</f>
        <v>Anova, Michelle</v>
      </c>
      <c r="B401" s="222">
        <v>10071047</v>
      </c>
      <c r="C401" s="221" t="s">
        <v>771</v>
      </c>
      <c r="D401" s="221" t="str">
        <f>VLOOKUP($B401,RESOURCES!$C:$G,4,FALSE)</f>
        <v>ARPON, Katherine</v>
      </c>
      <c r="E401" s="221" t="str">
        <f>VLOOKUP($B401,RESOURCES!$C:$G,5,FALSE)</f>
        <v>PASQUIN, Ryan</v>
      </c>
      <c r="F401" s="221" t="str">
        <f>F2</f>
        <v>December</v>
      </c>
      <c r="G401" s="409">
        <v>1</v>
      </c>
      <c r="H401" s="389">
        <v>0.94444444444444442</v>
      </c>
      <c r="J401" s="70">
        <f t="shared" ref="J401:J424" si="3">IFERROR(1-(SUMIFS($L:$L,$B:$B,$B401)/SUMIFS($M:$M,$B:$B,$B401)),"-")</f>
        <v>0.92500000000000004</v>
      </c>
      <c r="L401" s="391">
        <v>1</v>
      </c>
      <c r="M401" s="391">
        <v>18</v>
      </c>
    </row>
    <row r="402" spans="1:13">
      <c r="A402" s="221" t="str">
        <f>VLOOKUP($B402,RESOURCES!$C:$G,2,FALSE)</f>
        <v>De Jesus, Bryan Michael</v>
      </c>
      <c r="B402" s="222">
        <v>10072023</v>
      </c>
      <c r="C402" s="221" t="s">
        <v>771</v>
      </c>
      <c r="D402" s="221" t="str">
        <f>VLOOKUP($B402,RESOURCES!$C:$G,4,FALSE)</f>
        <v>ARPON, Katherine</v>
      </c>
      <c r="E402" s="221" t="str">
        <f>VLOOKUP($B402,RESOURCES!$C:$G,5,FALSE)</f>
        <v>PASQUIN, Ryan</v>
      </c>
      <c r="F402" s="221" t="str">
        <f>F401</f>
        <v>December</v>
      </c>
      <c r="G402" s="409">
        <v>1</v>
      </c>
      <c r="H402" s="389">
        <v>0.94444444444444442</v>
      </c>
      <c r="J402" s="70">
        <f t="shared" si="3"/>
        <v>0.97499999999999998</v>
      </c>
      <c r="L402" s="391">
        <v>1</v>
      </c>
      <c r="M402" s="391">
        <v>18</v>
      </c>
    </row>
    <row r="403" spans="1:13">
      <c r="A403" s="221" t="str">
        <f>VLOOKUP($B403,RESOURCES!$C:$G,2,FALSE)</f>
        <v>De Luna, Annalyn</v>
      </c>
      <c r="B403" s="222">
        <v>10072592</v>
      </c>
      <c r="C403" s="221" t="s">
        <v>771</v>
      </c>
      <c r="D403" s="221" t="str">
        <f>VLOOKUP($B403,RESOURCES!$C:$G,4,FALSE)</f>
        <v>ARPON, Katherine</v>
      </c>
      <c r="E403" s="221" t="str">
        <f>VLOOKUP($B403,RESOURCES!$C:$G,5,FALSE)</f>
        <v>PASQUIN, Ryan</v>
      </c>
      <c r="F403" s="221" t="str">
        <f t="shared" ref="F403:F424" si="4">F402</f>
        <v>December</v>
      </c>
      <c r="G403" s="409">
        <v>1</v>
      </c>
      <c r="H403" s="389">
        <v>0.88888888888888884</v>
      </c>
      <c r="J403" s="70">
        <f t="shared" si="3"/>
        <v>0.95</v>
      </c>
      <c r="L403" s="391">
        <v>2</v>
      </c>
      <c r="M403" s="391">
        <v>18</v>
      </c>
    </row>
    <row r="404" spans="1:13">
      <c r="A404" s="221" t="str">
        <f>VLOOKUP($B404,RESOURCES!$C:$G,2,FALSE)</f>
        <v>Diaz, Jordan</v>
      </c>
      <c r="B404" s="222">
        <v>10071902</v>
      </c>
      <c r="C404" s="221" t="s">
        <v>771</v>
      </c>
      <c r="D404" s="221" t="str">
        <f>VLOOKUP($B404,RESOURCES!$C:$G,4,FALSE)</f>
        <v>ARPON, Katherine</v>
      </c>
      <c r="E404" s="221" t="str">
        <f>VLOOKUP($B404,RESOURCES!$C:$G,5,FALSE)</f>
        <v>PASQUIN, Ryan</v>
      </c>
      <c r="F404" s="221" t="str">
        <f t="shared" si="4"/>
        <v>December</v>
      </c>
      <c r="G404" s="409">
        <v>1</v>
      </c>
      <c r="H404" s="389">
        <v>0.94444444444444442</v>
      </c>
      <c r="J404" s="70">
        <f t="shared" si="3"/>
        <v>0.92500000000000004</v>
      </c>
      <c r="L404" s="391">
        <v>1</v>
      </c>
      <c r="M404" s="391">
        <v>18</v>
      </c>
    </row>
    <row r="405" spans="1:13">
      <c r="A405" s="221" t="str">
        <f>VLOOKUP($B405,RESOURCES!$C:$G,2,FALSE)</f>
        <v>Glory, Mary Jane</v>
      </c>
      <c r="B405" s="222">
        <v>10071190</v>
      </c>
      <c r="C405" s="221" t="s">
        <v>771</v>
      </c>
      <c r="D405" s="221" t="str">
        <f>VLOOKUP($B405,RESOURCES!$C:$G,4,FALSE)</f>
        <v>ARPON, Katherine</v>
      </c>
      <c r="E405" s="221" t="str">
        <f>VLOOKUP($B405,RESOURCES!$C:$G,5,FALSE)</f>
        <v>PASQUIN, Ryan</v>
      </c>
      <c r="F405" s="221" t="str">
        <f t="shared" si="4"/>
        <v>December</v>
      </c>
      <c r="G405" s="409">
        <v>1</v>
      </c>
      <c r="H405" s="389">
        <v>0.94444444444444442</v>
      </c>
      <c r="J405" s="70">
        <f t="shared" si="3"/>
        <v>0.9</v>
      </c>
      <c r="L405" s="391">
        <v>1</v>
      </c>
      <c r="M405" s="391">
        <v>18</v>
      </c>
    </row>
    <row r="406" spans="1:13">
      <c r="A406" s="221" t="str">
        <f>VLOOKUP($B406,RESOURCES!$C:$G,2,FALSE)</f>
        <v>Mendoza, Ken Andrei</v>
      </c>
      <c r="B406" s="222">
        <v>10072441</v>
      </c>
      <c r="C406" s="221" t="s">
        <v>771</v>
      </c>
      <c r="D406" s="221" t="str">
        <f>VLOOKUP($B406,RESOURCES!$C:$G,4,FALSE)</f>
        <v>ARPON, Katherine</v>
      </c>
      <c r="E406" s="221" t="str">
        <f>VLOOKUP($B406,RESOURCES!$C:$G,5,FALSE)</f>
        <v>PASQUIN, Ryan</v>
      </c>
      <c r="F406" s="221" t="str">
        <f t="shared" si="4"/>
        <v>December</v>
      </c>
      <c r="G406" s="409">
        <v>1</v>
      </c>
      <c r="H406" s="389">
        <v>0.94444444444444442</v>
      </c>
      <c r="J406" s="70">
        <f t="shared" si="3"/>
        <v>0.95</v>
      </c>
      <c r="L406" s="391">
        <v>1</v>
      </c>
      <c r="M406" s="391">
        <v>18</v>
      </c>
    </row>
    <row r="407" spans="1:13">
      <c r="A407" s="221" t="str">
        <f>VLOOKUP($B407,RESOURCES!$C:$G,2,FALSE)</f>
        <v>Moldes, Rainier Allan</v>
      </c>
      <c r="B407" s="222">
        <v>10072604</v>
      </c>
      <c r="C407" s="221" t="s">
        <v>771</v>
      </c>
      <c r="D407" s="221" t="str">
        <f>VLOOKUP($B407,RESOURCES!$C:$G,4,FALSE)</f>
        <v>ARPON, Katherine</v>
      </c>
      <c r="E407" s="221" t="str">
        <f>VLOOKUP($B407,RESOURCES!$C:$G,5,FALSE)</f>
        <v>PASQUIN, Ryan</v>
      </c>
      <c r="F407" s="221" t="str">
        <f t="shared" si="4"/>
        <v>December</v>
      </c>
      <c r="G407" s="409">
        <v>1</v>
      </c>
      <c r="H407" s="389">
        <v>0.94444444444444442</v>
      </c>
      <c r="J407" s="70">
        <f t="shared" si="3"/>
        <v>0.97499999999999998</v>
      </c>
      <c r="L407" s="391">
        <v>1</v>
      </c>
      <c r="M407" s="391">
        <v>18</v>
      </c>
    </row>
    <row r="408" spans="1:13">
      <c r="A408" s="221" t="str">
        <f>VLOOKUP($B408,RESOURCES!$C:$G,2,FALSE)</f>
        <v>Pariñas, Joeseph Deinniel</v>
      </c>
      <c r="B408" s="222">
        <v>10072203</v>
      </c>
      <c r="C408" s="221" t="s">
        <v>771</v>
      </c>
      <c r="D408" s="221" t="str">
        <f>VLOOKUP($B408,RESOURCES!$C:$G,4,FALSE)</f>
        <v>ARPON, Katherine</v>
      </c>
      <c r="E408" s="221" t="str">
        <f>VLOOKUP($B408,RESOURCES!$C:$G,5,FALSE)</f>
        <v>PASQUIN, Ryan</v>
      </c>
      <c r="F408" s="221" t="str">
        <f t="shared" si="4"/>
        <v>December</v>
      </c>
      <c r="G408" s="409">
        <v>1</v>
      </c>
      <c r="H408" s="389">
        <v>1</v>
      </c>
      <c r="J408" s="70">
        <f t="shared" si="3"/>
        <v>0.95</v>
      </c>
      <c r="L408" s="391">
        <v>0</v>
      </c>
      <c r="M408" s="391">
        <v>18</v>
      </c>
    </row>
    <row r="409" spans="1:13">
      <c r="A409" s="221" t="str">
        <f>VLOOKUP($B409,RESOURCES!$C:$G,2,FALSE)</f>
        <v>Rempillo, Francis</v>
      </c>
      <c r="B409" s="222">
        <v>10072613</v>
      </c>
      <c r="C409" s="221" t="s">
        <v>771</v>
      </c>
      <c r="D409" s="221" t="str">
        <f>VLOOKUP($B409,RESOURCES!$C:$G,4,FALSE)</f>
        <v>ARPON, Katherine</v>
      </c>
      <c r="E409" s="221" t="str">
        <f>VLOOKUP($B409,RESOURCES!$C:$G,5,FALSE)</f>
        <v>PASQUIN, Ryan</v>
      </c>
      <c r="F409" s="221" t="str">
        <f t="shared" si="4"/>
        <v>December</v>
      </c>
      <c r="G409" s="409">
        <v>1</v>
      </c>
      <c r="H409" s="389">
        <v>0.94444444444444442</v>
      </c>
      <c r="J409" s="70">
        <f t="shared" si="3"/>
        <v>0.97499999999999998</v>
      </c>
      <c r="L409" s="391">
        <v>1</v>
      </c>
      <c r="M409" s="391">
        <v>18</v>
      </c>
    </row>
    <row r="410" spans="1:13">
      <c r="A410" s="221" t="str">
        <f>VLOOKUP($B410,RESOURCES!$C:$G,2,FALSE)</f>
        <v>Rico, Cler</v>
      </c>
      <c r="B410" s="222">
        <v>10071428</v>
      </c>
      <c r="C410" s="221" t="s">
        <v>771</v>
      </c>
      <c r="D410" s="221" t="str">
        <f>VLOOKUP($B410,RESOURCES!$C:$G,4,FALSE)</f>
        <v>ARPON, Katherine</v>
      </c>
      <c r="E410" s="221" t="str">
        <f>VLOOKUP($B410,RESOURCES!$C:$G,5,FALSE)</f>
        <v>PASQUIN, Ryan</v>
      </c>
      <c r="F410" s="221" t="str">
        <f t="shared" si="4"/>
        <v>December</v>
      </c>
      <c r="G410" s="409">
        <v>1</v>
      </c>
      <c r="H410" s="389">
        <v>1</v>
      </c>
      <c r="J410" s="70">
        <f t="shared" si="3"/>
        <v>1</v>
      </c>
      <c r="L410" s="391">
        <v>0</v>
      </c>
      <c r="M410" s="391">
        <v>18</v>
      </c>
    </row>
    <row r="411" spans="1:13">
      <c r="A411" s="221" t="str">
        <f>VLOOKUP($B411,RESOURCES!$C:$G,2,FALSE)</f>
        <v>Santos, Hannah Elkanah</v>
      </c>
      <c r="B411" s="222">
        <v>10072011</v>
      </c>
      <c r="C411" s="221" t="s">
        <v>771</v>
      </c>
      <c r="D411" s="221" t="str">
        <f>VLOOKUP($B411,RESOURCES!$C:$G,4,FALSE)</f>
        <v>ARPON, Katherine</v>
      </c>
      <c r="E411" s="221" t="str">
        <f>VLOOKUP($B411,RESOURCES!$C:$G,5,FALSE)</f>
        <v>PASQUIN, Ryan</v>
      </c>
      <c r="F411" s="221" t="str">
        <f t="shared" si="4"/>
        <v>December</v>
      </c>
      <c r="G411" s="409">
        <v>1</v>
      </c>
      <c r="H411" s="389">
        <v>1</v>
      </c>
      <c r="J411" s="70">
        <f t="shared" si="3"/>
        <v>1</v>
      </c>
      <c r="L411" s="391">
        <v>0</v>
      </c>
      <c r="M411" s="391">
        <v>18</v>
      </c>
    </row>
    <row r="412" spans="1:13">
      <c r="A412" s="221" t="str">
        <f>VLOOKUP($B412,RESOURCES!$C:$G,2,FALSE)</f>
        <v>Torres, Julie Ann</v>
      </c>
      <c r="B412" s="222">
        <v>10072010</v>
      </c>
      <c r="C412" s="221" t="s">
        <v>771</v>
      </c>
      <c r="D412" s="221" t="str">
        <f>VLOOKUP($B412,RESOURCES!$C:$G,4,FALSE)</f>
        <v>ARPON, Katherine</v>
      </c>
      <c r="E412" s="221" t="str">
        <f>VLOOKUP($B412,RESOURCES!$C:$G,5,FALSE)</f>
        <v>PASQUIN, Ryan</v>
      </c>
      <c r="F412" s="221" t="str">
        <f t="shared" si="4"/>
        <v>December</v>
      </c>
      <c r="G412" s="409">
        <v>1</v>
      </c>
      <c r="H412" s="389">
        <v>1</v>
      </c>
      <c r="J412" s="70">
        <f t="shared" si="3"/>
        <v>1</v>
      </c>
      <c r="L412" s="391">
        <v>0</v>
      </c>
      <c r="M412" s="391">
        <v>18</v>
      </c>
    </row>
    <row r="413" spans="1:13">
      <c r="A413" s="221" t="str">
        <f>VLOOKUP($B413,RESOURCES!$C:$G,2,FALSE)</f>
        <v>Anova, Michelle</v>
      </c>
      <c r="B413" s="222">
        <v>10071047</v>
      </c>
      <c r="C413" s="221" t="s">
        <v>771</v>
      </c>
      <c r="D413" s="221" t="str">
        <f>VLOOKUP($B413,RESOURCES!$C:$G,4,FALSE)</f>
        <v>ARPON, Katherine</v>
      </c>
      <c r="E413" s="221" t="str">
        <f>VLOOKUP($B413,RESOURCES!$C:$G,5,FALSE)</f>
        <v>PASQUIN, Ryan</v>
      </c>
      <c r="F413" s="221" t="str">
        <f t="shared" si="4"/>
        <v>December</v>
      </c>
      <c r="G413" s="409">
        <v>2</v>
      </c>
      <c r="H413" s="389">
        <v>0.90909090909090906</v>
      </c>
      <c r="J413" s="70">
        <f t="shared" si="3"/>
        <v>0.92500000000000004</v>
      </c>
      <c r="L413" s="391">
        <v>2</v>
      </c>
      <c r="M413" s="391">
        <v>22</v>
      </c>
    </row>
    <row r="414" spans="1:13">
      <c r="A414" s="221" t="str">
        <f>VLOOKUP($B414,RESOURCES!$C:$G,2,FALSE)</f>
        <v>De Jesus, Bryan Michael</v>
      </c>
      <c r="B414" s="222">
        <v>10072023</v>
      </c>
      <c r="C414" s="221" t="s">
        <v>771</v>
      </c>
      <c r="D414" s="221" t="str">
        <f>VLOOKUP($B414,RESOURCES!$C:$G,4,FALSE)</f>
        <v>ARPON, Katherine</v>
      </c>
      <c r="E414" s="221" t="str">
        <f>VLOOKUP($B414,RESOURCES!$C:$G,5,FALSE)</f>
        <v>PASQUIN, Ryan</v>
      </c>
      <c r="F414" s="221" t="str">
        <f t="shared" si="4"/>
        <v>December</v>
      </c>
      <c r="G414" s="409">
        <v>2</v>
      </c>
      <c r="H414" s="389">
        <v>1</v>
      </c>
      <c r="J414" s="70">
        <f t="shared" si="3"/>
        <v>0.97499999999999998</v>
      </c>
      <c r="L414" s="391">
        <v>0</v>
      </c>
      <c r="M414" s="391">
        <v>22</v>
      </c>
    </row>
    <row r="415" spans="1:13">
      <c r="A415" s="221" t="str">
        <f>VLOOKUP($B415,RESOURCES!$C:$G,2,FALSE)</f>
        <v>De Luna, Annalyn</v>
      </c>
      <c r="B415" s="222">
        <v>10072592</v>
      </c>
      <c r="C415" s="221" t="s">
        <v>771</v>
      </c>
      <c r="D415" s="221" t="str">
        <f>VLOOKUP($B415,RESOURCES!$C:$G,4,FALSE)</f>
        <v>ARPON, Katherine</v>
      </c>
      <c r="E415" s="221" t="str">
        <f>VLOOKUP($B415,RESOURCES!$C:$G,5,FALSE)</f>
        <v>PASQUIN, Ryan</v>
      </c>
      <c r="F415" s="221" t="str">
        <f t="shared" si="4"/>
        <v>December</v>
      </c>
      <c r="G415" s="409">
        <v>2</v>
      </c>
      <c r="H415" s="389">
        <v>1</v>
      </c>
      <c r="J415" s="70">
        <f t="shared" si="3"/>
        <v>0.95</v>
      </c>
      <c r="L415" s="391">
        <v>0</v>
      </c>
      <c r="M415" s="391">
        <v>22</v>
      </c>
    </row>
    <row r="416" spans="1:13">
      <c r="A416" s="221" t="str">
        <f>VLOOKUP($B416,RESOURCES!$C:$G,2,FALSE)</f>
        <v>Diaz, Jordan</v>
      </c>
      <c r="B416" s="222">
        <v>10071902</v>
      </c>
      <c r="C416" s="221" t="s">
        <v>771</v>
      </c>
      <c r="D416" s="221" t="str">
        <f>VLOOKUP($B416,RESOURCES!$C:$G,4,FALSE)</f>
        <v>ARPON, Katherine</v>
      </c>
      <c r="E416" s="221" t="str">
        <f>VLOOKUP($B416,RESOURCES!$C:$G,5,FALSE)</f>
        <v>PASQUIN, Ryan</v>
      </c>
      <c r="F416" s="221" t="str">
        <f t="shared" si="4"/>
        <v>December</v>
      </c>
      <c r="G416" s="409">
        <v>2</v>
      </c>
      <c r="H416" s="389">
        <v>0.90909090909090906</v>
      </c>
      <c r="J416" s="70">
        <f t="shared" si="3"/>
        <v>0.92500000000000004</v>
      </c>
      <c r="L416" s="391">
        <v>2</v>
      </c>
      <c r="M416" s="391">
        <v>22</v>
      </c>
    </row>
    <row r="417" spans="1:13">
      <c r="A417" s="221" t="str">
        <f>VLOOKUP($B417,RESOURCES!$C:$G,2,FALSE)</f>
        <v>Glory, Mary Jane</v>
      </c>
      <c r="B417" s="222">
        <v>10071190</v>
      </c>
      <c r="C417" s="221" t="s">
        <v>771</v>
      </c>
      <c r="D417" s="221" t="str">
        <f>VLOOKUP($B417,RESOURCES!$C:$G,4,FALSE)</f>
        <v>ARPON, Katherine</v>
      </c>
      <c r="E417" s="221" t="str">
        <f>VLOOKUP($B417,RESOURCES!$C:$G,5,FALSE)</f>
        <v>PASQUIN, Ryan</v>
      </c>
      <c r="F417" s="221" t="str">
        <f t="shared" si="4"/>
        <v>December</v>
      </c>
      <c r="G417" s="409">
        <v>2</v>
      </c>
      <c r="H417" s="389">
        <v>0.86363636363636365</v>
      </c>
      <c r="J417" s="70">
        <f t="shared" si="3"/>
        <v>0.9</v>
      </c>
      <c r="L417" s="391">
        <v>3</v>
      </c>
      <c r="M417" s="391">
        <v>22</v>
      </c>
    </row>
    <row r="418" spans="1:13">
      <c r="A418" s="221" t="str">
        <f>VLOOKUP($B418,RESOURCES!$C:$G,2,FALSE)</f>
        <v>Mendoza, Ken Andrei</v>
      </c>
      <c r="B418" s="222">
        <v>10072441</v>
      </c>
      <c r="C418" s="221" t="s">
        <v>771</v>
      </c>
      <c r="D418" s="221" t="str">
        <f>VLOOKUP($B418,RESOURCES!$C:$G,4,FALSE)</f>
        <v>ARPON, Katherine</v>
      </c>
      <c r="E418" s="221" t="str">
        <f>VLOOKUP($B418,RESOURCES!$C:$G,5,FALSE)</f>
        <v>PASQUIN, Ryan</v>
      </c>
      <c r="F418" s="221" t="str">
        <f t="shared" si="4"/>
        <v>December</v>
      </c>
      <c r="G418" s="409">
        <v>2</v>
      </c>
      <c r="H418" s="389">
        <v>0.95454545454545459</v>
      </c>
      <c r="J418" s="70">
        <f t="shared" si="3"/>
        <v>0.95</v>
      </c>
      <c r="L418" s="391">
        <v>1</v>
      </c>
      <c r="M418" s="391">
        <v>22</v>
      </c>
    </row>
    <row r="419" spans="1:13">
      <c r="A419" s="221" t="str">
        <f>VLOOKUP($B419,RESOURCES!$C:$G,2,FALSE)</f>
        <v>Moldes, Rainier Allan</v>
      </c>
      <c r="B419" s="222">
        <v>10072604</v>
      </c>
      <c r="C419" s="221" t="s">
        <v>771</v>
      </c>
      <c r="D419" s="221" t="str">
        <f>VLOOKUP($B419,RESOURCES!$C:$G,4,FALSE)</f>
        <v>ARPON, Katherine</v>
      </c>
      <c r="E419" s="221" t="str">
        <f>VLOOKUP($B419,RESOURCES!$C:$G,5,FALSE)</f>
        <v>PASQUIN, Ryan</v>
      </c>
      <c r="F419" s="221" t="str">
        <f t="shared" si="4"/>
        <v>December</v>
      </c>
      <c r="G419" s="409">
        <v>2</v>
      </c>
      <c r="H419" s="389">
        <v>1</v>
      </c>
      <c r="J419" s="70">
        <f t="shared" si="3"/>
        <v>0.97499999999999998</v>
      </c>
      <c r="L419" s="391">
        <v>0</v>
      </c>
      <c r="M419" s="391">
        <v>22</v>
      </c>
    </row>
    <row r="420" spans="1:13">
      <c r="A420" s="221" t="str">
        <f>VLOOKUP($B420,RESOURCES!$C:$G,2,FALSE)</f>
        <v>Pariñas, Joeseph Deinniel</v>
      </c>
      <c r="B420" s="222">
        <v>10072203</v>
      </c>
      <c r="C420" s="221" t="s">
        <v>771</v>
      </c>
      <c r="D420" s="221" t="str">
        <f>VLOOKUP($B420,RESOURCES!$C:$G,4,FALSE)</f>
        <v>ARPON, Katherine</v>
      </c>
      <c r="E420" s="221" t="str">
        <f>VLOOKUP($B420,RESOURCES!$C:$G,5,FALSE)</f>
        <v>PASQUIN, Ryan</v>
      </c>
      <c r="F420" s="221" t="str">
        <f t="shared" si="4"/>
        <v>December</v>
      </c>
      <c r="G420" s="409">
        <v>2</v>
      </c>
      <c r="H420" s="389">
        <v>0.90909090909090906</v>
      </c>
      <c r="J420" s="70">
        <f t="shared" si="3"/>
        <v>0.95</v>
      </c>
      <c r="L420" s="391">
        <v>2</v>
      </c>
      <c r="M420" s="391">
        <v>22</v>
      </c>
    </row>
    <row r="421" spans="1:13">
      <c r="A421" s="221" t="str">
        <f>VLOOKUP($B421,RESOURCES!$C:$G,2,FALSE)</f>
        <v>Rempillo, Francis</v>
      </c>
      <c r="B421" s="222">
        <v>10072613</v>
      </c>
      <c r="C421" s="221" t="s">
        <v>771</v>
      </c>
      <c r="D421" s="221" t="str">
        <f>VLOOKUP($B421,RESOURCES!$C:$G,4,FALSE)</f>
        <v>ARPON, Katherine</v>
      </c>
      <c r="E421" s="221" t="str">
        <f>VLOOKUP($B421,RESOURCES!$C:$G,5,FALSE)</f>
        <v>PASQUIN, Ryan</v>
      </c>
      <c r="F421" s="221" t="str">
        <f t="shared" si="4"/>
        <v>December</v>
      </c>
      <c r="G421" s="409">
        <v>2</v>
      </c>
      <c r="H421" s="389">
        <v>1</v>
      </c>
      <c r="J421" s="70">
        <f t="shared" si="3"/>
        <v>0.97499999999999998</v>
      </c>
      <c r="L421" s="391">
        <v>0</v>
      </c>
      <c r="M421" s="391">
        <v>22</v>
      </c>
    </row>
    <row r="422" spans="1:13">
      <c r="A422" s="221" t="str">
        <f>VLOOKUP($B422,RESOURCES!$C:$G,2,FALSE)</f>
        <v>Rico, Cler</v>
      </c>
      <c r="B422" s="222">
        <v>10071428</v>
      </c>
      <c r="C422" s="221" t="s">
        <v>771</v>
      </c>
      <c r="D422" s="221" t="str">
        <f>VLOOKUP($B422,RESOURCES!$C:$G,4,FALSE)</f>
        <v>ARPON, Katherine</v>
      </c>
      <c r="E422" s="221" t="str">
        <f>VLOOKUP($B422,RESOURCES!$C:$G,5,FALSE)</f>
        <v>PASQUIN, Ryan</v>
      </c>
      <c r="F422" s="221" t="str">
        <f t="shared" si="4"/>
        <v>December</v>
      </c>
      <c r="G422" s="409">
        <v>2</v>
      </c>
      <c r="H422" s="389">
        <v>1</v>
      </c>
      <c r="J422" s="70">
        <f t="shared" si="3"/>
        <v>1</v>
      </c>
      <c r="L422" s="391">
        <v>0</v>
      </c>
      <c r="M422" s="391">
        <v>22</v>
      </c>
    </row>
    <row r="423" spans="1:13">
      <c r="A423" s="221" t="str">
        <f>VLOOKUP($B423,RESOURCES!$C:$G,2,FALSE)</f>
        <v>Santos, Hannah Elkanah</v>
      </c>
      <c r="B423" s="222">
        <v>10072011</v>
      </c>
      <c r="C423" s="221" t="s">
        <v>771</v>
      </c>
      <c r="D423" s="221" t="str">
        <f>VLOOKUP($B423,RESOURCES!$C:$G,4,FALSE)</f>
        <v>ARPON, Katherine</v>
      </c>
      <c r="E423" s="221" t="str">
        <f>VLOOKUP($B423,RESOURCES!$C:$G,5,FALSE)</f>
        <v>PASQUIN, Ryan</v>
      </c>
      <c r="F423" s="221" t="str">
        <f t="shared" si="4"/>
        <v>December</v>
      </c>
      <c r="G423" s="409">
        <v>2</v>
      </c>
      <c r="H423" s="389" t="s">
        <v>14</v>
      </c>
      <c r="J423" s="70">
        <f t="shared" si="3"/>
        <v>1</v>
      </c>
      <c r="L423" s="391"/>
      <c r="M423" s="391"/>
    </row>
    <row r="424" spans="1:13">
      <c r="A424" s="221" t="str">
        <f>VLOOKUP($B424,RESOURCES!$C:$G,2,FALSE)</f>
        <v>Torres, Julie Ann</v>
      </c>
      <c r="B424" s="222">
        <v>10072010</v>
      </c>
      <c r="C424" s="221" t="s">
        <v>771</v>
      </c>
      <c r="D424" s="221" t="str">
        <f>VLOOKUP($B424,RESOURCES!$C:$G,4,FALSE)</f>
        <v>ARPON, Katherine</v>
      </c>
      <c r="E424" s="221" t="str">
        <f>VLOOKUP($B424,RESOURCES!$C:$G,5,FALSE)</f>
        <v>PASQUIN, Ryan</v>
      </c>
      <c r="F424" s="221" t="str">
        <f t="shared" si="4"/>
        <v>December</v>
      </c>
      <c r="G424" s="409">
        <v>2</v>
      </c>
      <c r="H424" s="389">
        <v>1</v>
      </c>
      <c r="J424" s="70">
        <f t="shared" si="3"/>
        <v>1</v>
      </c>
      <c r="L424" s="391">
        <v>0</v>
      </c>
      <c r="M424" s="391">
        <v>22</v>
      </c>
    </row>
    <row r="425" spans="1:13">
      <c r="A425" s="221"/>
      <c r="B425" s="222"/>
      <c r="C425" s="221"/>
      <c r="D425" s="221"/>
      <c r="E425" s="221"/>
      <c r="F425" s="221"/>
      <c r="G425" s="409"/>
      <c r="H425" s="389"/>
      <c r="J425" s="70"/>
      <c r="L425" s="391"/>
      <c r="M425" s="391"/>
    </row>
    <row r="426" spans="1:13">
      <c r="A426" s="221"/>
      <c r="B426" s="222"/>
      <c r="C426" s="221"/>
      <c r="D426" s="221"/>
      <c r="E426" s="221"/>
      <c r="F426" s="221"/>
      <c r="G426" s="409"/>
      <c r="H426" s="389"/>
      <c r="J426" s="70"/>
      <c r="L426" s="391"/>
      <c r="M426" s="391"/>
    </row>
    <row r="427" spans="1:13">
      <c r="A427" s="221"/>
      <c r="B427" s="222"/>
      <c r="C427" s="221"/>
      <c r="D427" s="221"/>
      <c r="E427" s="221"/>
      <c r="F427" s="221"/>
      <c r="G427" s="409"/>
      <c r="H427" s="389"/>
      <c r="J427" s="70"/>
      <c r="L427" s="391"/>
      <c r="M427" s="391"/>
    </row>
    <row r="428" spans="1:13">
      <c r="A428" s="221"/>
      <c r="B428" s="222"/>
      <c r="C428" s="221"/>
      <c r="D428" s="221"/>
      <c r="E428" s="221"/>
      <c r="F428" s="221"/>
      <c r="G428" s="409"/>
      <c r="H428" s="389"/>
      <c r="J428" s="70"/>
      <c r="L428" s="391"/>
      <c r="M428" s="391"/>
    </row>
    <row r="429" spans="1:13">
      <c r="A429" s="221"/>
      <c r="B429" s="222"/>
      <c r="C429" s="221"/>
      <c r="D429" s="221"/>
      <c r="E429" s="221"/>
      <c r="F429" s="221"/>
      <c r="G429" s="409"/>
      <c r="H429" s="389"/>
      <c r="J429" s="70"/>
      <c r="L429" s="391"/>
      <c r="M429" s="391"/>
    </row>
    <row r="430" spans="1:13">
      <c r="A430" s="221"/>
      <c r="B430" s="222"/>
      <c r="C430" s="221"/>
      <c r="D430" s="221"/>
      <c r="E430" s="221"/>
      <c r="F430" s="221"/>
      <c r="G430" s="409"/>
      <c r="H430" s="389"/>
      <c r="J430" s="70"/>
      <c r="L430" s="391"/>
      <c r="M430" s="391"/>
    </row>
    <row r="431" spans="1:13">
      <c r="A431" s="221"/>
      <c r="B431" s="222"/>
      <c r="C431" s="221"/>
      <c r="D431" s="221"/>
      <c r="E431" s="221"/>
      <c r="F431" s="221"/>
      <c r="G431" s="409"/>
      <c r="H431" s="389"/>
      <c r="J431" s="70"/>
      <c r="L431" s="391"/>
      <c r="M431" s="391"/>
    </row>
    <row r="432" spans="1:13">
      <c r="A432" s="221"/>
      <c r="B432" s="222"/>
      <c r="C432" s="221"/>
      <c r="D432" s="221"/>
      <c r="E432" s="221"/>
      <c r="F432" s="221"/>
      <c r="G432" s="409"/>
      <c r="H432" s="389"/>
      <c r="J432" s="70"/>
      <c r="L432" s="391"/>
      <c r="M432" s="391"/>
    </row>
    <row r="433" spans="1:13">
      <c r="A433" s="221"/>
      <c r="B433" s="222"/>
      <c r="C433" s="221"/>
      <c r="D433" s="221"/>
      <c r="E433" s="221"/>
      <c r="F433" s="221"/>
      <c r="G433" s="409"/>
      <c r="H433" s="389"/>
      <c r="J433" s="70"/>
      <c r="L433" s="391"/>
      <c r="M433" s="391"/>
    </row>
    <row r="434" spans="1:13">
      <c r="A434" s="221"/>
      <c r="B434" s="222"/>
      <c r="C434" s="221"/>
      <c r="D434" s="221"/>
      <c r="E434" s="221"/>
      <c r="F434" s="221"/>
      <c r="G434" s="409"/>
      <c r="H434" s="389"/>
      <c r="J434" s="70"/>
      <c r="L434" s="391"/>
      <c r="M434" s="391"/>
    </row>
    <row r="435" spans="1:13">
      <c r="A435" s="221"/>
      <c r="B435" s="222"/>
      <c r="C435" s="221"/>
      <c r="D435" s="221"/>
      <c r="E435" s="221"/>
      <c r="F435" s="221"/>
      <c r="G435" s="409"/>
      <c r="H435" s="389"/>
      <c r="J435" s="70"/>
      <c r="L435" s="391"/>
      <c r="M435" s="391"/>
    </row>
    <row r="436" spans="1:13">
      <c r="A436" s="221"/>
      <c r="B436" s="222"/>
      <c r="C436" s="221"/>
      <c r="D436" s="221"/>
      <c r="E436" s="221"/>
      <c r="F436" s="221"/>
      <c r="G436" s="409"/>
      <c r="H436" s="389"/>
      <c r="J436" s="70"/>
      <c r="L436" s="391"/>
      <c r="M436" s="391"/>
    </row>
    <row r="437" spans="1:13">
      <c r="A437" s="221"/>
      <c r="B437" s="222"/>
      <c r="C437" s="221"/>
      <c r="D437" s="221"/>
      <c r="E437" s="221"/>
      <c r="F437" s="221"/>
      <c r="G437" s="409"/>
      <c r="H437" s="389"/>
      <c r="J437" s="70"/>
      <c r="L437" s="391"/>
      <c r="M437" s="391"/>
    </row>
    <row r="438" spans="1:13">
      <c r="A438" s="221"/>
      <c r="B438" s="222"/>
      <c r="C438" s="221"/>
      <c r="D438" s="221"/>
      <c r="E438" s="221"/>
      <c r="F438" s="221"/>
      <c r="G438" s="409"/>
      <c r="H438" s="389"/>
      <c r="J438" s="70"/>
      <c r="L438" s="391"/>
      <c r="M438" s="391"/>
    </row>
    <row r="439" spans="1:13">
      <c r="A439" s="221"/>
      <c r="B439" s="222"/>
      <c r="C439" s="221"/>
      <c r="D439" s="221"/>
      <c r="E439" s="221"/>
      <c r="F439" s="221"/>
      <c r="G439" s="409"/>
      <c r="H439" s="389"/>
      <c r="J439" s="70"/>
    </row>
  </sheetData>
  <autoFilter ref="A1:I286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U49"/>
  <sheetViews>
    <sheetView showGridLines="0" zoomScale="85" zoomScaleNormal="85" workbookViewId="0">
      <selection sqref="A1:B1"/>
    </sheetView>
  </sheetViews>
  <sheetFormatPr defaultRowHeight="15"/>
  <cols>
    <col min="1" max="1" width="6.5703125" bestFit="1" customWidth="1"/>
    <col min="2" max="2" width="21.140625" bestFit="1" customWidth="1"/>
    <col min="4" max="4" width="16.7109375" style="2" bestFit="1" customWidth="1"/>
    <col min="5" max="5" width="25.28515625" style="2" bestFit="1" customWidth="1"/>
    <col min="6" max="6" width="26.7109375" style="2" bestFit="1" customWidth="1"/>
    <col min="7" max="7" width="28.140625" style="2" bestFit="1" customWidth="1"/>
    <col min="8" max="8" width="14.140625" style="2" bestFit="1" customWidth="1"/>
    <col min="9" max="9" width="6" style="2" bestFit="1" customWidth="1"/>
    <col min="10" max="10" width="15.28515625" style="2" bestFit="1" customWidth="1"/>
    <col min="11" max="11" width="9.140625" style="15"/>
    <col min="12" max="12" width="40.28515625" style="186" bestFit="1" customWidth="1"/>
    <col min="14" max="14" width="16.7109375" style="2" bestFit="1" customWidth="1"/>
    <col min="15" max="15" width="26.140625" style="2" bestFit="1" customWidth="1"/>
    <col min="16" max="20" width="9.140625" style="2"/>
    <col min="21" max="21" width="9.140625" style="16"/>
  </cols>
  <sheetData>
    <row r="1" spans="1:21">
      <c r="A1" s="748" t="s">
        <v>410</v>
      </c>
      <c r="B1" s="749"/>
      <c r="D1" s="528" t="s">
        <v>275</v>
      </c>
      <c r="E1" s="528" t="s">
        <v>44</v>
      </c>
      <c r="F1" s="528" t="s">
        <v>43</v>
      </c>
      <c r="G1" s="528" t="s">
        <v>42</v>
      </c>
      <c r="H1" s="528" t="s">
        <v>593</v>
      </c>
      <c r="I1" s="528" t="s">
        <v>594</v>
      </c>
      <c r="J1" s="528" t="s">
        <v>772</v>
      </c>
      <c r="K1" s="529" t="s">
        <v>277</v>
      </c>
      <c r="L1" s="530" t="s">
        <v>596</v>
      </c>
      <c r="N1" s="783" t="s">
        <v>773</v>
      </c>
      <c r="O1" s="783"/>
    </row>
    <row r="2" spans="1:21">
      <c r="A2" s="25" t="s">
        <v>287</v>
      </c>
      <c r="B2" s="25" t="s">
        <v>288</v>
      </c>
      <c r="D2" s="554" t="s">
        <v>106</v>
      </c>
      <c r="E2" s="554" t="s">
        <v>241</v>
      </c>
      <c r="F2" s="554" t="s">
        <v>90</v>
      </c>
      <c r="G2" s="554" t="s">
        <v>240</v>
      </c>
      <c r="H2" s="554">
        <v>10071047</v>
      </c>
      <c r="I2" s="554">
        <v>1</v>
      </c>
      <c r="J2" s="554">
        <v>0</v>
      </c>
      <c r="K2" s="555">
        <v>1</v>
      </c>
      <c r="L2" s="533"/>
      <c r="N2" s="278" t="s">
        <v>41</v>
      </c>
      <c r="O2" s="278" t="s">
        <v>42</v>
      </c>
      <c r="P2" s="278">
        <v>1</v>
      </c>
      <c r="Q2" s="278">
        <v>2</v>
      </c>
      <c r="R2" s="278">
        <v>3</v>
      </c>
      <c r="S2" s="278">
        <v>4</v>
      </c>
      <c r="T2" s="278">
        <v>5</v>
      </c>
      <c r="U2" s="279" t="s">
        <v>614</v>
      </c>
    </row>
    <row r="3" spans="1:21">
      <c r="A3" s="24">
        <v>0</v>
      </c>
      <c r="B3" s="280">
        <v>1</v>
      </c>
      <c r="D3" s="554" t="s">
        <v>106</v>
      </c>
      <c r="E3" s="554" t="s">
        <v>241</v>
      </c>
      <c r="F3" s="554" t="s">
        <v>90</v>
      </c>
      <c r="G3" s="554" t="s">
        <v>246</v>
      </c>
      <c r="H3" s="554">
        <v>10072023</v>
      </c>
      <c r="I3" s="554">
        <v>1</v>
      </c>
      <c r="J3" s="554">
        <v>0</v>
      </c>
      <c r="K3" s="555">
        <v>1</v>
      </c>
      <c r="L3" s="533"/>
      <c r="N3" s="281">
        <v>10071047</v>
      </c>
      <c r="O3" s="664" t="s">
        <v>422</v>
      </c>
      <c r="P3" s="282">
        <f>IFERROR(AVERAGEIFS($K:$K,$H:$H,$N3,$I:$I,P$2),"-")</f>
        <v>1</v>
      </c>
      <c r="Q3" s="282">
        <f t="shared" ref="Q3:T15" si="0">IFERROR(AVERAGEIFS($K:$K,$H:$H,$N3,$I:$I,Q$2),"-")</f>
        <v>1</v>
      </c>
      <c r="R3" s="282">
        <f t="shared" si="0"/>
        <v>1</v>
      </c>
      <c r="S3" s="282">
        <f t="shared" si="0"/>
        <v>1</v>
      </c>
      <c r="T3" s="282" t="str">
        <f t="shared" si="0"/>
        <v>-</v>
      </c>
      <c r="U3" s="283">
        <f>IF(SUMIFS($J:$J,$H:$H,$N3)=0,100%,IF(SUMIFS($J:$J,$H:$H,$N3)=1,80%,IF(SUMIFS($J:$J,$H:$H,$N3)=2,50%,0%)))</f>
        <v>1</v>
      </c>
    </row>
    <row r="4" spans="1:21">
      <c r="A4" s="24">
        <v>1</v>
      </c>
      <c r="B4" s="280">
        <v>0.8</v>
      </c>
      <c r="D4" s="554" t="s">
        <v>106</v>
      </c>
      <c r="E4" s="554" t="s">
        <v>241</v>
      </c>
      <c r="F4" s="554" t="s">
        <v>90</v>
      </c>
      <c r="G4" s="554" t="s">
        <v>247</v>
      </c>
      <c r="H4" s="554">
        <v>10072592</v>
      </c>
      <c r="I4" s="554">
        <v>1</v>
      </c>
      <c r="J4" s="554">
        <v>0</v>
      </c>
      <c r="K4" s="555">
        <v>1</v>
      </c>
      <c r="L4" s="533"/>
      <c r="N4" s="281">
        <v>10072023</v>
      </c>
      <c r="O4" s="664" t="s">
        <v>450</v>
      </c>
      <c r="P4" s="282">
        <f t="shared" ref="P4:P15" si="1">IFERROR(AVERAGEIFS($K:$K,$H:$H,$N4,$I:$I,P$2),"-")</f>
        <v>1</v>
      </c>
      <c r="Q4" s="282">
        <f t="shared" si="0"/>
        <v>1</v>
      </c>
      <c r="R4" s="282">
        <f t="shared" si="0"/>
        <v>1</v>
      </c>
      <c r="S4" s="282">
        <f t="shared" si="0"/>
        <v>1</v>
      </c>
      <c r="T4" s="282" t="str">
        <f t="shared" si="0"/>
        <v>-</v>
      </c>
      <c r="U4" s="283">
        <f t="shared" ref="U4:U15" si="2">IF(SUMIFS($J:$J,$H:$H,$N4)=0,100%,IF(SUMIFS($J:$J,$H:$H,$N4)=1,80%,IF(SUMIFS($J:$J,$H:$H,$N4)=2,50%,0%)))</f>
        <v>1</v>
      </c>
    </row>
    <row r="5" spans="1:21">
      <c r="A5" s="24">
        <v>2</v>
      </c>
      <c r="B5" s="280">
        <v>0.5</v>
      </c>
      <c r="D5" s="554" t="s">
        <v>106</v>
      </c>
      <c r="E5" s="554" t="s">
        <v>241</v>
      </c>
      <c r="F5" s="554" t="s">
        <v>90</v>
      </c>
      <c r="G5" s="554" t="s">
        <v>243</v>
      </c>
      <c r="H5" s="554">
        <v>10071902</v>
      </c>
      <c r="I5" s="554">
        <v>1</v>
      </c>
      <c r="J5" s="554">
        <v>0</v>
      </c>
      <c r="K5" s="555">
        <v>1</v>
      </c>
      <c r="L5" s="533"/>
      <c r="N5" s="281">
        <v>10072592</v>
      </c>
      <c r="O5" s="664" t="s">
        <v>452</v>
      </c>
      <c r="P5" s="282">
        <f t="shared" si="1"/>
        <v>1</v>
      </c>
      <c r="Q5" s="282">
        <f t="shared" si="0"/>
        <v>1</v>
      </c>
      <c r="R5" s="282">
        <f t="shared" si="0"/>
        <v>1</v>
      </c>
      <c r="S5" s="282">
        <f t="shared" si="0"/>
        <v>1</v>
      </c>
      <c r="T5" s="282" t="str">
        <f t="shared" si="0"/>
        <v>-</v>
      </c>
      <c r="U5" s="283">
        <f t="shared" si="2"/>
        <v>1</v>
      </c>
    </row>
    <row r="6" spans="1:21">
      <c r="A6" s="24" t="s">
        <v>411</v>
      </c>
      <c r="B6" s="280">
        <v>0</v>
      </c>
      <c r="D6" s="554" t="s">
        <v>106</v>
      </c>
      <c r="E6" s="554" t="s">
        <v>241</v>
      </c>
      <c r="F6" s="554" t="s">
        <v>90</v>
      </c>
      <c r="G6" s="554" t="s">
        <v>242</v>
      </c>
      <c r="H6" s="554">
        <v>10071190</v>
      </c>
      <c r="I6" s="554">
        <v>1</v>
      </c>
      <c r="J6" s="554">
        <v>1</v>
      </c>
      <c r="K6" s="555">
        <v>0.8</v>
      </c>
      <c r="L6" s="533"/>
      <c r="N6" s="281">
        <v>10071902</v>
      </c>
      <c r="O6" s="664" t="s">
        <v>774</v>
      </c>
      <c r="P6" s="282">
        <f t="shared" si="1"/>
        <v>1</v>
      </c>
      <c r="Q6" s="282">
        <f t="shared" si="0"/>
        <v>0.8</v>
      </c>
      <c r="R6" s="282">
        <f t="shared" si="0"/>
        <v>1</v>
      </c>
      <c r="S6" s="282">
        <f t="shared" si="0"/>
        <v>1</v>
      </c>
      <c r="T6" s="282" t="str">
        <f t="shared" si="0"/>
        <v>-</v>
      </c>
      <c r="U6" s="283">
        <f t="shared" si="2"/>
        <v>0.8</v>
      </c>
    </row>
    <row r="7" spans="1:21">
      <c r="D7" s="554" t="s">
        <v>106</v>
      </c>
      <c r="E7" s="554" t="s">
        <v>241</v>
      </c>
      <c r="F7" s="554" t="s">
        <v>90</v>
      </c>
      <c r="G7" s="554" t="s">
        <v>250</v>
      </c>
      <c r="H7" s="554">
        <v>10072441</v>
      </c>
      <c r="I7" s="554">
        <v>1</v>
      </c>
      <c r="J7" s="554">
        <v>0</v>
      </c>
      <c r="K7" s="555">
        <v>1</v>
      </c>
      <c r="L7" s="533"/>
      <c r="N7" s="281">
        <v>10071190</v>
      </c>
      <c r="O7" s="664" t="s">
        <v>479</v>
      </c>
      <c r="P7" s="282">
        <f t="shared" si="1"/>
        <v>0.8</v>
      </c>
      <c r="Q7" s="282">
        <f t="shared" si="0"/>
        <v>1</v>
      </c>
      <c r="R7" s="282">
        <f t="shared" si="0"/>
        <v>1</v>
      </c>
      <c r="S7" s="282">
        <f t="shared" si="0"/>
        <v>1</v>
      </c>
      <c r="T7" s="282" t="str">
        <f t="shared" si="0"/>
        <v>-</v>
      </c>
      <c r="U7" s="283">
        <f t="shared" si="2"/>
        <v>0.8</v>
      </c>
    </row>
    <row r="8" spans="1:21">
      <c r="D8" s="554" t="s">
        <v>106</v>
      </c>
      <c r="E8" s="554" t="s">
        <v>241</v>
      </c>
      <c r="F8" s="554" t="s">
        <v>90</v>
      </c>
      <c r="G8" s="554" t="s">
        <v>248</v>
      </c>
      <c r="H8" s="554">
        <v>10072604</v>
      </c>
      <c r="I8" s="554">
        <v>1</v>
      </c>
      <c r="J8" s="554">
        <v>0</v>
      </c>
      <c r="K8" s="555">
        <v>1</v>
      </c>
      <c r="L8" s="533"/>
      <c r="N8" s="281">
        <v>10071691</v>
      </c>
      <c r="O8" s="664" t="s">
        <v>506</v>
      </c>
      <c r="P8" s="282" t="str">
        <f t="shared" si="1"/>
        <v>-</v>
      </c>
      <c r="Q8" s="282" t="str">
        <f t="shared" si="0"/>
        <v>-</v>
      </c>
      <c r="R8" s="282" t="str">
        <f t="shared" si="0"/>
        <v>-</v>
      </c>
      <c r="S8" s="282" t="str">
        <f t="shared" si="0"/>
        <v>-</v>
      </c>
      <c r="T8" s="282" t="str">
        <f t="shared" si="0"/>
        <v>-</v>
      </c>
      <c r="U8" s="283">
        <f t="shared" si="2"/>
        <v>1</v>
      </c>
    </row>
    <row r="9" spans="1:21">
      <c r="D9" s="554" t="s">
        <v>106</v>
      </c>
      <c r="E9" s="554" t="s">
        <v>241</v>
      </c>
      <c r="F9" s="554" t="s">
        <v>90</v>
      </c>
      <c r="G9" s="554" t="s">
        <v>251</v>
      </c>
      <c r="H9" s="554">
        <v>10072203</v>
      </c>
      <c r="I9" s="554">
        <v>1</v>
      </c>
      <c r="J9" s="554">
        <v>0</v>
      </c>
      <c r="K9" s="555">
        <v>1</v>
      </c>
      <c r="L9" s="533"/>
      <c r="N9" s="281">
        <v>10072604</v>
      </c>
      <c r="O9" s="664" t="s">
        <v>509</v>
      </c>
      <c r="P9" s="282">
        <f t="shared" si="1"/>
        <v>1</v>
      </c>
      <c r="Q9" s="282">
        <f t="shared" si="0"/>
        <v>1</v>
      </c>
      <c r="R9" s="282">
        <f t="shared" si="0"/>
        <v>1</v>
      </c>
      <c r="S9" s="282">
        <f t="shared" si="0"/>
        <v>1</v>
      </c>
      <c r="T9" s="282" t="str">
        <f t="shared" si="0"/>
        <v>-</v>
      </c>
      <c r="U9" s="283">
        <f t="shared" si="2"/>
        <v>1</v>
      </c>
    </row>
    <row r="10" spans="1:21">
      <c r="D10" s="554" t="s">
        <v>106</v>
      </c>
      <c r="E10" s="554" t="s">
        <v>241</v>
      </c>
      <c r="F10" s="554" t="s">
        <v>90</v>
      </c>
      <c r="G10" s="554" t="s">
        <v>249</v>
      </c>
      <c r="H10" s="554">
        <v>10072613</v>
      </c>
      <c r="I10" s="554">
        <v>1</v>
      </c>
      <c r="J10" s="554">
        <v>0</v>
      </c>
      <c r="K10" s="555">
        <v>1</v>
      </c>
      <c r="L10" s="533"/>
      <c r="N10" s="281">
        <v>10072613</v>
      </c>
      <c r="O10" s="664" t="s">
        <v>538</v>
      </c>
      <c r="P10" s="282">
        <f t="shared" si="1"/>
        <v>1</v>
      </c>
      <c r="Q10" s="282">
        <f t="shared" si="0"/>
        <v>1</v>
      </c>
      <c r="R10" s="282">
        <f t="shared" si="0"/>
        <v>1</v>
      </c>
      <c r="S10" s="282">
        <f t="shared" si="0"/>
        <v>1</v>
      </c>
      <c r="T10" s="282" t="str">
        <f t="shared" si="0"/>
        <v>-</v>
      </c>
      <c r="U10" s="283">
        <f t="shared" si="2"/>
        <v>1</v>
      </c>
    </row>
    <row r="11" spans="1:21">
      <c r="D11" s="554" t="s">
        <v>106</v>
      </c>
      <c r="E11" s="554" t="s">
        <v>241</v>
      </c>
      <c r="F11" s="554" t="s">
        <v>90</v>
      </c>
      <c r="G11" s="554" t="s">
        <v>252</v>
      </c>
      <c r="H11" s="554">
        <v>10071428</v>
      </c>
      <c r="I11" s="554">
        <v>1</v>
      </c>
      <c r="J11" s="554">
        <v>0</v>
      </c>
      <c r="K11" s="555">
        <v>1</v>
      </c>
      <c r="L11" s="533"/>
      <c r="N11" s="281">
        <v>10072011</v>
      </c>
      <c r="O11" s="664" t="s">
        <v>547</v>
      </c>
      <c r="P11" s="282">
        <f t="shared" si="1"/>
        <v>1</v>
      </c>
      <c r="Q11" s="282">
        <f t="shared" si="0"/>
        <v>1</v>
      </c>
      <c r="R11" s="282">
        <f t="shared" si="0"/>
        <v>1</v>
      </c>
      <c r="S11" s="282">
        <f t="shared" si="0"/>
        <v>1</v>
      </c>
      <c r="T11" s="282" t="str">
        <f t="shared" si="0"/>
        <v>-</v>
      </c>
      <c r="U11" s="283">
        <f t="shared" si="2"/>
        <v>1</v>
      </c>
    </row>
    <row r="12" spans="1:21">
      <c r="D12" s="554" t="s">
        <v>106</v>
      </c>
      <c r="E12" s="554" t="s">
        <v>241</v>
      </c>
      <c r="F12" s="554" t="s">
        <v>90</v>
      </c>
      <c r="G12" s="554" t="s">
        <v>245</v>
      </c>
      <c r="H12" s="554">
        <v>10072011</v>
      </c>
      <c r="I12" s="554">
        <v>1</v>
      </c>
      <c r="J12" s="554">
        <v>0</v>
      </c>
      <c r="K12" s="555">
        <v>1</v>
      </c>
      <c r="L12" s="533"/>
      <c r="N12" s="281">
        <v>10072010</v>
      </c>
      <c r="O12" s="664" t="s">
        <v>555</v>
      </c>
      <c r="P12" s="282">
        <f t="shared" si="1"/>
        <v>1</v>
      </c>
      <c r="Q12" s="282">
        <f t="shared" si="0"/>
        <v>0.8</v>
      </c>
      <c r="R12" s="282">
        <f t="shared" si="0"/>
        <v>1</v>
      </c>
      <c r="S12" s="282">
        <f t="shared" si="0"/>
        <v>1</v>
      </c>
      <c r="T12" s="282" t="str">
        <f t="shared" si="0"/>
        <v>-</v>
      </c>
      <c r="U12" s="283">
        <f t="shared" si="2"/>
        <v>0.8</v>
      </c>
    </row>
    <row r="13" spans="1:21">
      <c r="D13" s="554" t="s">
        <v>106</v>
      </c>
      <c r="E13" s="554" t="s">
        <v>241</v>
      </c>
      <c r="F13" s="554" t="s">
        <v>90</v>
      </c>
      <c r="G13" s="554" t="s">
        <v>244</v>
      </c>
      <c r="H13" s="554">
        <v>10072010</v>
      </c>
      <c r="I13" s="554">
        <v>1</v>
      </c>
      <c r="J13" s="554">
        <v>0</v>
      </c>
      <c r="K13" s="555">
        <v>1</v>
      </c>
      <c r="L13" s="533"/>
      <c r="N13" s="281">
        <v>10071428</v>
      </c>
      <c r="O13" s="664" t="s">
        <v>539</v>
      </c>
      <c r="P13" s="282">
        <f t="shared" si="1"/>
        <v>1</v>
      </c>
      <c r="Q13" s="282">
        <f t="shared" si="0"/>
        <v>1</v>
      </c>
      <c r="R13" s="282">
        <f t="shared" si="0"/>
        <v>1</v>
      </c>
      <c r="S13" s="282">
        <f t="shared" si="0"/>
        <v>1</v>
      </c>
      <c r="T13" s="282" t="str">
        <f t="shared" si="0"/>
        <v>-</v>
      </c>
      <c r="U13" s="283">
        <f t="shared" si="2"/>
        <v>1</v>
      </c>
    </row>
    <row r="14" spans="1:21">
      <c r="D14" s="554" t="s">
        <v>106</v>
      </c>
      <c r="E14" s="554" t="s">
        <v>241</v>
      </c>
      <c r="F14" s="554" t="s">
        <v>90</v>
      </c>
      <c r="G14" s="554" t="s">
        <v>240</v>
      </c>
      <c r="H14" s="554">
        <v>10071047</v>
      </c>
      <c r="I14" s="554">
        <v>2</v>
      </c>
      <c r="J14" s="554">
        <v>0</v>
      </c>
      <c r="K14" s="555">
        <v>1</v>
      </c>
      <c r="L14" s="533"/>
      <c r="N14" s="281">
        <v>10072441</v>
      </c>
      <c r="O14" s="664" t="s">
        <v>505</v>
      </c>
      <c r="P14" s="282">
        <f t="shared" si="1"/>
        <v>1</v>
      </c>
      <c r="Q14" s="282">
        <f t="shared" si="0"/>
        <v>1</v>
      </c>
      <c r="R14" s="282">
        <f t="shared" si="0"/>
        <v>1</v>
      </c>
      <c r="S14" s="282">
        <f t="shared" si="0"/>
        <v>1</v>
      </c>
      <c r="T14" s="282" t="str">
        <f t="shared" si="0"/>
        <v>-</v>
      </c>
      <c r="U14" s="283">
        <f t="shared" si="2"/>
        <v>1</v>
      </c>
    </row>
    <row r="15" spans="1:21">
      <c r="D15" s="554" t="s">
        <v>106</v>
      </c>
      <c r="E15" s="554" t="s">
        <v>241</v>
      </c>
      <c r="F15" s="554" t="s">
        <v>90</v>
      </c>
      <c r="G15" s="554" t="s">
        <v>246</v>
      </c>
      <c r="H15" s="554">
        <v>10072023</v>
      </c>
      <c r="I15" s="554">
        <v>2</v>
      </c>
      <c r="J15" s="554">
        <v>0</v>
      </c>
      <c r="K15" s="555">
        <v>1</v>
      </c>
      <c r="L15" s="533"/>
      <c r="N15" s="281">
        <v>10072203</v>
      </c>
      <c r="O15" s="664" t="s">
        <v>526</v>
      </c>
      <c r="P15" s="282">
        <f t="shared" si="1"/>
        <v>1</v>
      </c>
      <c r="Q15" s="282">
        <f t="shared" si="0"/>
        <v>1</v>
      </c>
      <c r="R15" s="282">
        <f t="shared" si="0"/>
        <v>1</v>
      </c>
      <c r="S15" s="282">
        <f t="shared" si="0"/>
        <v>1</v>
      </c>
      <c r="T15" s="282" t="str">
        <f t="shared" si="0"/>
        <v>-</v>
      </c>
      <c r="U15" s="283">
        <f t="shared" si="2"/>
        <v>1</v>
      </c>
    </row>
    <row r="16" spans="1:21">
      <c r="D16" s="554" t="s">
        <v>106</v>
      </c>
      <c r="E16" s="554" t="s">
        <v>241</v>
      </c>
      <c r="F16" s="554" t="s">
        <v>90</v>
      </c>
      <c r="G16" s="554" t="s">
        <v>247</v>
      </c>
      <c r="H16" s="554">
        <v>10072592</v>
      </c>
      <c r="I16" s="554">
        <v>2</v>
      </c>
      <c r="J16" s="554">
        <v>0</v>
      </c>
      <c r="K16" s="555">
        <v>1</v>
      </c>
      <c r="L16" s="533"/>
      <c r="N16"/>
      <c r="O16"/>
      <c r="P16"/>
      <c r="Q16"/>
      <c r="R16"/>
      <c r="S16"/>
      <c r="T16"/>
      <c r="U16"/>
    </row>
    <row r="17" spans="4:21">
      <c r="D17" s="554" t="s">
        <v>106</v>
      </c>
      <c r="E17" s="554" t="s">
        <v>241</v>
      </c>
      <c r="F17" s="554" t="s">
        <v>90</v>
      </c>
      <c r="G17" s="554" t="s">
        <v>243</v>
      </c>
      <c r="H17" s="554">
        <v>10071902</v>
      </c>
      <c r="I17" s="554">
        <v>2</v>
      </c>
      <c r="J17" s="554">
        <v>1</v>
      </c>
      <c r="K17" s="555">
        <v>0.8</v>
      </c>
      <c r="L17" s="533"/>
      <c r="N17" s="784" t="s">
        <v>775</v>
      </c>
      <c r="O17" s="784"/>
      <c r="P17"/>
      <c r="Q17"/>
      <c r="R17"/>
      <c r="S17"/>
      <c r="T17"/>
      <c r="U17"/>
    </row>
    <row r="18" spans="4:21">
      <c r="D18" s="554" t="s">
        <v>106</v>
      </c>
      <c r="E18" s="554" t="s">
        <v>241</v>
      </c>
      <c r="F18" s="554" t="s">
        <v>90</v>
      </c>
      <c r="G18" s="554" t="s">
        <v>242</v>
      </c>
      <c r="H18" s="554">
        <v>10071190</v>
      </c>
      <c r="I18" s="554">
        <v>2</v>
      </c>
      <c r="J18" s="554">
        <v>0</v>
      </c>
      <c r="K18" s="555">
        <v>1</v>
      </c>
      <c r="L18" s="533"/>
      <c r="N18" s="284" t="s">
        <v>41</v>
      </c>
      <c r="O18" s="284" t="s">
        <v>42</v>
      </c>
      <c r="P18" s="284">
        <v>1</v>
      </c>
      <c r="Q18" s="284">
        <v>2</v>
      </c>
      <c r="R18" s="284">
        <v>3</v>
      </c>
      <c r="S18" s="284">
        <v>4</v>
      </c>
      <c r="T18" s="284">
        <v>5</v>
      </c>
      <c r="U18" s="285" t="s">
        <v>614</v>
      </c>
    </row>
    <row r="19" spans="4:21">
      <c r="D19" s="554" t="s">
        <v>106</v>
      </c>
      <c r="E19" s="554" t="s">
        <v>241</v>
      </c>
      <c r="F19" s="554" t="s">
        <v>90</v>
      </c>
      <c r="G19" s="554" t="s">
        <v>250</v>
      </c>
      <c r="H19" s="554">
        <v>10072441</v>
      </c>
      <c r="I19" s="554">
        <v>2</v>
      </c>
      <c r="J19" s="554">
        <v>0</v>
      </c>
      <c r="K19" s="555">
        <v>1</v>
      </c>
      <c r="L19" s="533"/>
      <c r="N19" s="281">
        <v>10071047</v>
      </c>
      <c r="O19" s="664" t="s">
        <v>422</v>
      </c>
      <c r="P19" s="281">
        <f>IFERROR(SUMIFS($J:$J,$H:$H,$N19,$I:$I,P$18),"-")</f>
        <v>0</v>
      </c>
      <c r="Q19" s="281">
        <f t="shared" ref="Q19:T31" si="3">IFERROR(SUMIFS($J:$J,$H:$H,$N19,$I:$I,Q$18),"-")</f>
        <v>0</v>
      </c>
      <c r="R19" s="281">
        <f t="shared" si="3"/>
        <v>0</v>
      </c>
      <c r="S19" s="281">
        <f t="shared" si="3"/>
        <v>0</v>
      </c>
      <c r="T19" s="281">
        <f t="shared" si="3"/>
        <v>0</v>
      </c>
      <c r="U19" s="286">
        <f>IFERROR(SUMIFS($J:$J,$H:$H,$N19),"-")</f>
        <v>0</v>
      </c>
    </row>
    <row r="20" spans="4:21">
      <c r="D20" s="554" t="s">
        <v>106</v>
      </c>
      <c r="E20" s="554" t="s">
        <v>241</v>
      </c>
      <c r="F20" s="554" t="s">
        <v>90</v>
      </c>
      <c r="G20" s="554" t="s">
        <v>248</v>
      </c>
      <c r="H20" s="554">
        <v>10072604</v>
      </c>
      <c r="I20" s="554">
        <v>2</v>
      </c>
      <c r="J20" s="554">
        <v>0</v>
      </c>
      <c r="K20" s="555">
        <v>1</v>
      </c>
      <c r="L20" s="533"/>
      <c r="N20" s="281">
        <v>10072023</v>
      </c>
      <c r="O20" s="664" t="s">
        <v>450</v>
      </c>
      <c r="P20" s="281">
        <f t="shared" ref="P20:P31" si="4">IFERROR(SUMIFS($J:$J,$H:$H,$N20,$I:$I,P$18),"-")</f>
        <v>0</v>
      </c>
      <c r="Q20" s="281">
        <f t="shared" si="3"/>
        <v>0</v>
      </c>
      <c r="R20" s="281">
        <f t="shared" si="3"/>
        <v>0</v>
      </c>
      <c r="S20" s="281">
        <f t="shared" si="3"/>
        <v>0</v>
      </c>
      <c r="T20" s="281">
        <f t="shared" si="3"/>
        <v>0</v>
      </c>
      <c r="U20" s="286">
        <f t="shared" ref="U20:U31" si="5">IFERROR(SUMIFS($J:$J,$H:$H,$N20),"-")</f>
        <v>0</v>
      </c>
    </row>
    <row r="21" spans="4:21">
      <c r="D21" s="554" t="s">
        <v>106</v>
      </c>
      <c r="E21" s="554" t="s">
        <v>241</v>
      </c>
      <c r="F21" s="554" t="s">
        <v>90</v>
      </c>
      <c r="G21" s="554" t="s">
        <v>251</v>
      </c>
      <c r="H21" s="554">
        <v>10072203</v>
      </c>
      <c r="I21" s="554">
        <v>2</v>
      </c>
      <c r="J21" s="554">
        <v>0</v>
      </c>
      <c r="K21" s="555">
        <v>1</v>
      </c>
      <c r="L21" s="533"/>
      <c r="N21" s="281">
        <v>10072592</v>
      </c>
      <c r="O21" s="664" t="s">
        <v>452</v>
      </c>
      <c r="P21" s="281">
        <f t="shared" si="4"/>
        <v>0</v>
      </c>
      <c r="Q21" s="281">
        <f t="shared" si="3"/>
        <v>0</v>
      </c>
      <c r="R21" s="281">
        <f t="shared" si="3"/>
        <v>0</v>
      </c>
      <c r="S21" s="281">
        <f t="shared" si="3"/>
        <v>0</v>
      </c>
      <c r="T21" s="281">
        <f t="shared" si="3"/>
        <v>0</v>
      </c>
      <c r="U21" s="286">
        <f t="shared" si="5"/>
        <v>0</v>
      </c>
    </row>
    <row r="22" spans="4:21">
      <c r="D22" s="554" t="s">
        <v>106</v>
      </c>
      <c r="E22" s="554" t="s">
        <v>241</v>
      </c>
      <c r="F22" s="554" t="s">
        <v>90</v>
      </c>
      <c r="G22" s="554" t="s">
        <v>249</v>
      </c>
      <c r="H22" s="554">
        <v>10072613</v>
      </c>
      <c r="I22" s="554">
        <v>2</v>
      </c>
      <c r="J22" s="554">
        <v>0</v>
      </c>
      <c r="K22" s="555">
        <v>1</v>
      </c>
      <c r="L22" s="533"/>
      <c r="N22" s="281">
        <v>10071902</v>
      </c>
      <c r="O22" s="664" t="s">
        <v>774</v>
      </c>
      <c r="P22" s="281">
        <f t="shared" si="4"/>
        <v>0</v>
      </c>
      <c r="Q22" s="281">
        <f t="shared" si="3"/>
        <v>1</v>
      </c>
      <c r="R22" s="281">
        <f t="shared" si="3"/>
        <v>0</v>
      </c>
      <c r="S22" s="281">
        <f t="shared" si="3"/>
        <v>0</v>
      </c>
      <c r="T22" s="281">
        <f t="shared" si="3"/>
        <v>0</v>
      </c>
      <c r="U22" s="286">
        <f t="shared" si="5"/>
        <v>1</v>
      </c>
    </row>
    <row r="23" spans="4:21">
      <c r="D23" s="554" t="s">
        <v>106</v>
      </c>
      <c r="E23" s="554" t="s">
        <v>241</v>
      </c>
      <c r="F23" s="554" t="s">
        <v>90</v>
      </c>
      <c r="G23" s="554" t="s">
        <v>252</v>
      </c>
      <c r="H23" s="554">
        <v>10071428</v>
      </c>
      <c r="I23" s="554">
        <v>2</v>
      </c>
      <c r="J23" s="554">
        <v>0</v>
      </c>
      <c r="K23" s="555">
        <v>1</v>
      </c>
      <c r="L23" s="533"/>
      <c r="N23" s="281">
        <v>10071190</v>
      </c>
      <c r="O23" s="664" t="s">
        <v>479</v>
      </c>
      <c r="P23" s="281">
        <f t="shared" si="4"/>
        <v>1</v>
      </c>
      <c r="Q23" s="281">
        <f t="shared" si="3"/>
        <v>0</v>
      </c>
      <c r="R23" s="281">
        <f t="shared" si="3"/>
        <v>0</v>
      </c>
      <c r="S23" s="281">
        <f t="shared" si="3"/>
        <v>0</v>
      </c>
      <c r="T23" s="281">
        <f t="shared" si="3"/>
        <v>0</v>
      </c>
      <c r="U23" s="286">
        <f t="shared" si="5"/>
        <v>1</v>
      </c>
    </row>
    <row r="24" spans="4:21">
      <c r="D24" s="554" t="s">
        <v>106</v>
      </c>
      <c r="E24" s="554" t="s">
        <v>241</v>
      </c>
      <c r="F24" s="554" t="s">
        <v>90</v>
      </c>
      <c r="G24" s="554" t="s">
        <v>245</v>
      </c>
      <c r="H24" s="554">
        <v>10072011</v>
      </c>
      <c r="I24" s="554">
        <v>2</v>
      </c>
      <c r="J24" s="554">
        <v>0</v>
      </c>
      <c r="K24" s="555">
        <v>1</v>
      </c>
      <c r="L24" s="533"/>
      <c r="N24" s="281">
        <v>10071691</v>
      </c>
      <c r="O24" s="664" t="s">
        <v>506</v>
      </c>
      <c r="P24" s="281">
        <f t="shared" si="4"/>
        <v>0</v>
      </c>
      <c r="Q24" s="281">
        <f t="shared" si="3"/>
        <v>0</v>
      </c>
      <c r="R24" s="281">
        <f t="shared" si="3"/>
        <v>0</v>
      </c>
      <c r="S24" s="281">
        <f t="shared" si="3"/>
        <v>0</v>
      </c>
      <c r="T24" s="281">
        <f t="shared" si="3"/>
        <v>0</v>
      </c>
      <c r="U24" s="286">
        <f t="shared" si="5"/>
        <v>0</v>
      </c>
    </row>
    <row r="25" spans="4:21">
      <c r="D25" s="554" t="s">
        <v>106</v>
      </c>
      <c r="E25" s="554" t="s">
        <v>241</v>
      </c>
      <c r="F25" s="554" t="s">
        <v>90</v>
      </c>
      <c r="G25" s="554" t="s">
        <v>244</v>
      </c>
      <c r="H25" s="554">
        <v>10072010</v>
      </c>
      <c r="I25" s="554">
        <v>2</v>
      </c>
      <c r="J25" s="554">
        <v>1</v>
      </c>
      <c r="K25" s="555">
        <v>0.8</v>
      </c>
      <c r="L25" s="533"/>
      <c r="N25" s="281">
        <v>10072604</v>
      </c>
      <c r="O25" s="664" t="s">
        <v>509</v>
      </c>
      <c r="P25" s="281">
        <f t="shared" si="4"/>
        <v>0</v>
      </c>
      <c r="Q25" s="281">
        <f t="shared" si="3"/>
        <v>0</v>
      </c>
      <c r="R25" s="281">
        <f t="shared" si="3"/>
        <v>0</v>
      </c>
      <c r="S25" s="281">
        <f t="shared" si="3"/>
        <v>0</v>
      </c>
      <c r="T25" s="281">
        <f t="shared" si="3"/>
        <v>0</v>
      </c>
      <c r="U25" s="286">
        <f t="shared" si="5"/>
        <v>0</v>
      </c>
    </row>
    <row r="26" spans="4:21">
      <c r="D26" s="554" t="s">
        <v>106</v>
      </c>
      <c r="E26" s="554" t="s">
        <v>241</v>
      </c>
      <c r="F26" s="554" t="s">
        <v>90</v>
      </c>
      <c r="G26" s="554" t="s">
        <v>240</v>
      </c>
      <c r="H26" s="554">
        <v>10071047</v>
      </c>
      <c r="I26" s="554">
        <v>3</v>
      </c>
      <c r="J26" s="554">
        <v>0</v>
      </c>
      <c r="K26" s="555">
        <v>1</v>
      </c>
      <c r="L26" s="533"/>
      <c r="N26" s="281">
        <v>10072613</v>
      </c>
      <c r="O26" s="664" t="s">
        <v>538</v>
      </c>
      <c r="P26" s="281">
        <f t="shared" si="4"/>
        <v>0</v>
      </c>
      <c r="Q26" s="281">
        <f t="shared" si="3"/>
        <v>0</v>
      </c>
      <c r="R26" s="281">
        <f t="shared" si="3"/>
        <v>0</v>
      </c>
      <c r="S26" s="281">
        <f t="shared" si="3"/>
        <v>0</v>
      </c>
      <c r="T26" s="281">
        <f t="shared" si="3"/>
        <v>0</v>
      </c>
      <c r="U26" s="286">
        <f t="shared" si="5"/>
        <v>0</v>
      </c>
    </row>
    <row r="27" spans="4:21">
      <c r="D27" s="554" t="s">
        <v>106</v>
      </c>
      <c r="E27" s="554" t="s">
        <v>241</v>
      </c>
      <c r="F27" s="554" t="s">
        <v>90</v>
      </c>
      <c r="G27" s="554" t="s">
        <v>246</v>
      </c>
      <c r="H27" s="554">
        <v>10072023</v>
      </c>
      <c r="I27" s="554">
        <v>3</v>
      </c>
      <c r="J27" s="554">
        <v>0</v>
      </c>
      <c r="K27" s="555">
        <v>1</v>
      </c>
      <c r="L27" s="533"/>
      <c r="N27" s="281">
        <v>10072011</v>
      </c>
      <c r="O27" s="664" t="s">
        <v>547</v>
      </c>
      <c r="P27" s="281">
        <f t="shared" si="4"/>
        <v>0</v>
      </c>
      <c r="Q27" s="281">
        <f t="shared" si="3"/>
        <v>0</v>
      </c>
      <c r="R27" s="281">
        <f t="shared" si="3"/>
        <v>0</v>
      </c>
      <c r="S27" s="281">
        <f t="shared" si="3"/>
        <v>0</v>
      </c>
      <c r="T27" s="281">
        <f t="shared" si="3"/>
        <v>0</v>
      </c>
      <c r="U27" s="286">
        <f t="shared" si="5"/>
        <v>0</v>
      </c>
    </row>
    <row r="28" spans="4:21">
      <c r="D28" s="554" t="s">
        <v>106</v>
      </c>
      <c r="E28" s="554" t="s">
        <v>241</v>
      </c>
      <c r="F28" s="554" t="s">
        <v>90</v>
      </c>
      <c r="G28" s="554" t="s">
        <v>247</v>
      </c>
      <c r="H28" s="554">
        <v>10072592</v>
      </c>
      <c r="I28" s="554">
        <v>3</v>
      </c>
      <c r="J28" s="554">
        <v>0</v>
      </c>
      <c r="K28" s="555">
        <v>1</v>
      </c>
      <c r="L28" s="533"/>
      <c r="N28" s="281">
        <v>10072010</v>
      </c>
      <c r="O28" s="664" t="s">
        <v>555</v>
      </c>
      <c r="P28" s="281">
        <f t="shared" si="4"/>
        <v>0</v>
      </c>
      <c r="Q28" s="281">
        <f t="shared" si="3"/>
        <v>1</v>
      </c>
      <c r="R28" s="281">
        <f t="shared" si="3"/>
        <v>0</v>
      </c>
      <c r="S28" s="281">
        <f t="shared" si="3"/>
        <v>0</v>
      </c>
      <c r="T28" s="281">
        <f t="shared" si="3"/>
        <v>0</v>
      </c>
      <c r="U28" s="286">
        <f t="shared" si="5"/>
        <v>1</v>
      </c>
    </row>
    <row r="29" spans="4:21">
      <c r="D29" s="554" t="s">
        <v>106</v>
      </c>
      <c r="E29" s="554" t="s">
        <v>241</v>
      </c>
      <c r="F29" s="554" t="s">
        <v>90</v>
      </c>
      <c r="G29" s="554" t="s">
        <v>243</v>
      </c>
      <c r="H29" s="554">
        <v>10071902</v>
      </c>
      <c r="I29" s="554">
        <v>3</v>
      </c>
      <c r="J29" s="554">
        <v>0</v>
      </c>
      <c r="K29" s="555">
        <v>1</v>
      </c>
      <c r="L29" s="533"/>
      <c r="N29" s="281">
        <v>10071428</v>
      </c>
      <c r="O29" s="664" t="s">
        <v>539</v>
      </c>
      <c r="P29" s="281">
        <f t="shared" si="4"/>
        <v>0</v>
      </c>
      <c r="Q29" s="281">
        <f t="shared" si="3"/>
        <v>0</v>
      </c>
      <c r="R29" s="281">
        <f t="shared" si="3"/>
        <v>0</v>
      </c>
      <c r="S29" s="281">
        <f t="shared" si="3"/>
        <v>0</v>
      </c>
      <c r="T29" s="281">
        <f t="shared" si="3"/>
        <v>0</v>
      </c>
      <c r="U29" s="286">
        <f t="shared" si="5"/>
        <v>0</v>
      </c>
    </row>
    <row r="30" spans="4:21">
      <c r="D30" s="554" t="s">
        <v>106</v>
      </c>
      <c r="E30" s="554" t="s">
        <v>241</v>
      </c>
      <c r="F30" s="554" t="s">
        <v>90</v>
      </c>
      <c r="G30" s="554" t="s">
        <v>242</v>
      </c>
      <c r="H30" s="554">
        <v>10071190</v>
      </c>
      <c r="I30" s="554">
        <v>3</v>
      </c>
      <c r="J30" s="554">
        <v>0</v>
      </c>
      <c r="K30" s="555">
        <v>1</v>
      </c>
      <c r="L30" s="533"/>
      <c r="N30" s="281">
        <v>10072441</v>
      </c>
      <c r="O30" s="664" t="s">
        <v>505</v>
      </c>
      <c r="P30" s="281">
        <f t="shared" si="4"/>
        <v>0</v>
      </c>
      <c r="Q30" s="281">
        <f t="shared" si="3"/>
        <v>0</v>
      </c>
      <c r="R30" s="281">
        <f t="shared" si="3"/>
        <v>0</v>
      </c>
      <c r="S30" s="281">
        <f t="shared" si="3"/>
        <v>0</v>
      </c>
      <c r="T30" s="281">
        <f t="shared" si="3"/>
        <v>0</v>
      </c>
      <c r="U30" s="286">
        <f t="shared" si="5"/>
        <v>0</v>
      </c>
    </row>
    <row r="31" spans="4:21">
      <c r="D31" s="554" t="s">
        <v>106</v>
      </c>
      <c r="E31" s="554" t="s">
        <v>241</v>
      </c>
      <c r="F31" s="554" t="s">
        <v>90</v>
      </c>
      <c r="G31" s="554" t="s">
        <v>250</v>
      </c>
      <c r="H31" s="554">
        <v>10072441</v>
      </c>
      <c r="I31" s="554">
        <v>3</v>
      </c>
      <c r="J31" s="554">
        <v>0</v>
      </c>
      <c r="K31" s="555">
        <v>1</v>
      </c>
      <c r="L31" s="533"/>
      <c r="N31" s="281">
        <v>10072203</v>
      </c>
      <c r="O31" s="664" t="s">
        <v>526</v>
      </c>
      <c r="P31" s="281">
        <f t="shared" si="4"/>
        <v>0</v>
      </c>
      <c r="Q31" s="281">
        <f t="shared" si="3"/>
        <v>0</v>
      </c>
      <c r="R31" s="281">
        <f t="shared" si="3"/>
        <v>0</v>
      </c>
      <c r="S31" s="281">
        <f t="shared" si="3"/>
        <v>0</v>
      </c>
      <c r="T31" s="281">
        <f t="shared" si="3"/>
        <v>0</v>
      </c>
      <c r="U31" s="286">
        <f t="shared" si="5"/>
        <v>0</v>
      </c>
    </row>
    <row r="32" spans="4:21">
      <c r="D32" s="554" t="s">
        <v>106</v>
      </c>
      <c r="E32" s="554" t="s">
        <v>241</v>
      </c>
      <c r="F32" s="554" t="s">
        <v>90</v>
      </c>
      <c r="G32" s="554" t="s">
        <v>248</v>
      </c>
      <c r="H32" s="554">
        <v>10072604</v>
      </c>
      <c r="I32" s="554">
        <v>3</v>
      </c>
      <c r="J32" s="554">
        <v>0</v>
      </c>
      <c r="K32" s="555">
        <v>1</v>
      </c>
      <c r="L32" s="533"/>
    </row>
    <row r="33" spans="4:12">
      <c r="D33" s="554" t="s">
        <v>106</v>
      </c>
      <c r="E33" s="554" t="s">
        <v>241</v>
      </c>
      <c r="F33" s="554" t="s">
        <v>90</v>
      </c>
      <c r="G33" s="554" t="s">
        <v>251</v>
      </c>
      <c r="H33" s="554">
        <v>10072203</v>
      </c>
      <c r="I33" s="554">
        <v>3</v>
      </c>
      <c r="J33" s="554">
        <v>0</v>
      </c>
      <c r="K33" s="555">
        <v>1</v>
      </c>
      <c r="L33" s="533"/>
    </row>
    <row r="34" spans="4:12">
      <c r="D34" s="554" t="s">
        <v>106</v>
      </c>
      <c r="E34" s="554" t="s">
        <v>241</v>
      </c>
      <c r="F34" s="554" t="s">
        <v>90</v>
      </c>
      <c r="G34" s="554" t="s">
        <v>249</v>
      </c>
      <c r="H34" s="554">
        <v>10072613</v>
      </c>
      <c r="I34" s="554">
        <v>3</v>
      </c>
      <c r="J34" s="554">
        <v>0</v>
      </c>
      <c r="K34" s="555">
        <v>1</v>
      </c>
      <c r="L34" s="533"/>
    </row>
    <row r="35" spans="4:12">
      <c r="D35" s="554" t="s">
        <v>106</v>
      </c>
      <c r="E35" s="554" t="s">
        <v>241</v>
      </c>
      <c r="F35" s="554" t="s">
        <v>90</v>
      </c>
      <c r="G35" s="554" t="s">
        <v>252</v>
      </c>
      <c r="H35" s="554">
        <v>10071428</v>
      </c>
      <c r="I35" s="554">
        <v>3</v>
      </c>
      <c r="J35" s="554">
        <v>0</v>
      </c>
      <c r="K35" s="555">
        <v>1</v>
      </c>
      <c r="L35" s="533"/>
    </row>
    <row r="36" spans="4:12">
      <c r="D36" s="554" t="s">
        <v>106</v>
      </c>
      <c r="E36" s="554" t="s">
        <v>241</v>
      </c>
      <c r="F36" s="554" t="s">
        <v>90</v>
      </c>
      <c r="G36" s="554" t="s">
        <v>245</v>
      </c>
      <c r="H36" s="554">
        <v>10072011</v>
      </c>
      <c r="I36" s="554">
        <v>3</v>
      </c>
      <c r="J36" s="554">
        <v>0</v>
      </c>
      <c r="K36" s="555">
        <v>1</v>
      </c>
      <c r="L36" s="533"/>
    </row>
    <row r="37" spans="4:12">
      <c r="D37" s="554" t="s">
        <v>106</v>
      </c>
      <c r="E37" s="554" t="s">
        <v>241</v>
      </c>
      <c r="F37" s="554" t="s">
        <v>90</v>
      </c>
      <c r="G37" s="554" t="s">
        <v>244</v>
      </c>
      <c r="H37" s="554">
        <v>10072010</v>
      </c>
      <c r="I37" s="554">
        <v>3</v>
      </c>
      <c r="J37" s="554">
        <v>0</v>
      </c>
      <c r="K37" s="555">
        <v>1</v>
      </c>
      <c r="L37" s="533"/>
    </row>
    <row r="38" spans="4:12">
      <c r="D38" s="554" t="s">
        <v>106</v>
      </c>
      <c r="E38" s="554" t="s">
        <v>241</v>
      </c>
      <c r="F38" s="554" t="s">
        <v>90</v>
      </c>
      <c r="G38" s="554" t="s">
        <v>240</v>
      </c>
      <c r="H38" s="554">
        <v>10071047</v>
      </c>
      <c r="I38" s="554">
        <v>4</v>
      </c>
      <c r="J38" s="554">
        <v>0</v>
      </c>
      <c r="K38" s="555">
        <v>1</v>
      </c>
      <c r="L38" s="533"/>
    </row>
    <row r="39" spans="4:12">
      <c r="D39" s="554" t="s">
        <v>106</v>
      </c>
      <c r="E39" s="554" t="s">
        <v>241</v>
      </c>
      <c r="F39" s="554" t="s">
        <v>90</v>
      </c>
      <c r="G39" s="554" t="s">
        <v>246</v>
      </c>
      <c r="H39" s="554">
        <v>10072023</v>
      </c>
      <c r="I39" s="554">
        <v>4</v>
      </c>
      <c r="J39" s="554">
        <v>0</v>
      </c>
      <c r="K39" s="555">
        <v>1</v>
      </c>
      <c r="L39" s="533"/>
    </row>
    <row r="40" spans="4:12">
      <c r="D40" s="554" t="s">
        <v>106</v>
      </c>
      <c r="E40" s="554" t="s">
        <v>241</v>
      </c>
      <c r="F40" s="554" t="s">
        <v>90</v>
      </c>
      <c r="G40" s="554" t="s">
        <v>247</v>
      </c>
      <c r="H40" s="554">
        <v>10072592</v>
      </c>
      <c r="I40" s="554">
        <v>4</v>
      </c>
      <c r="J40" s="554">
        <v>0</v>
      </c>
      <c r="K40" s="555">
        <v>1</v>
      </c>
      <c r="L40" s="533"/>
    </row>
    <row r="41" spans="4:12">
      <c r="D41" s="554" t="s">
        <v>106</v>
      </c>
      <c r="E41" s="554" t="s">
        <v>241</v>
      </c>
      <c r="F41" s="554" t="s">
        <v>90</v>
      </c>
      <c r="G41" s="554" t="s">
        <v>243</v>
      </c>
      <c r="H41" s="554">
        <v>10071902</v>
      </c>
      <c r="I41" s="554">
        <v>4</v>
      </c>
      <c r="J41" s="554">
        <v>0</v>
      </c>
      <c r="K41" s="555">
        <v>1</v>
      </c>
      <c r="L41" s="533"/>
    </row>
    <row r="42" spans="4:12">
      <c r="D42" s="554" t="s">
        <v>106</v>
      </c>
      <c r="E42" s="554" t="s">
        <v>241</v>
      </c>
      <c r="F42" s="554" t="s">
        <v>90</v>
      </c>
      <c r="G42" s="554" t="s">
        <v>242</v>
      </c>
      <c r="H42" s="554">
        <v>10071190</v>
      </c>
      <c r="I42" s="554">
        <v>4</v>
      </c>
      <c r="J42" s="554">
        <v>0</v>
      </c>
      <c r="K42" s="555">
        <v>1</v>
      </c>
      <c r="L42" s="533"/>
    </row>
    <row r="43" spans="4:12">
      <c r="D43" s="554" t="s">
        <v>106</v>
      </c>
      <c r="E43" s="554" t="s">
        <v>241</v>
      </c>
      <c r="F43" s="554" t="s">
        <v>90</v>
      </c>
      <c r="G43" s="554" t="s">
        <v>250</v>
      </c>
      <c r="H43" s="554">
        <v>10072441</v>
      </c>
      <c r="I43" s="554">
        <v>4</v>
      </c>
      <c r="J43" s="554">
        <v>0</v>
      </c>
      <c r="K43" s="555">
        <v>1</v>
      </c>
      <c r="L43" s="533"/>
    </row>
    <row r="44" spans="4:12">
      <c r="D44" s="554" t="s">
        <v>106</v>
      </c>
      <c r="E44" s="554" t="s">
        <v>241</v>
      </c>
      <c r="F44" s="554" t="s">
        <v>90</v>
      </c>
      <c r="G44" s="554" t="s">
        <v>248</v>
      </c>
      <c r="H44" s="554">
        <v>10072604</v>
      </c>
      <c r="I44" s="554">
        <v>4</v>
      </c>
      <c r="J44" s="554">
        <v>0</v>
      </c>
      <c r="K44" s="555">
        <v>1</v>
      </c>
      <c r="L44" s="533"/>
    </row>
    <row r="45" spans="4:12">
      <c r="D45" s="554" t="s">
        <v>106</v>
      </c>
      <c r="E45" s="554" t="s">
        <v>241</v>
      </c>
      <c r="F45" s="554" t="s">
        <v>90</v>
      </c>
      <c r="G45" s="554" t="s">
        <v>251</v>
      </c>
      <c r="H45" s="554">
        <v>10072203</v>
      </c>
      <c r="I45" s="554">
        <v>4</v>
      </c>
      <c r="J45" s="554">
        <v>0</v>
      </c>
      <c r="K45" s="555">
        <v>1</v>
      </c>
      <c r="L45" s="533"/>
    </row>
    <row r="46" spans="4:12">
      <c r="D46" s="554" t="s">
        <v>106</v>
      </c>
      <c r="E46" s="554" t="s">
        <v>241</v>
      </c>
      <c r="F46" s="554" t="s">
        <v>90</v>
      </c>
      <c r="G46" s="554" t="s">
        <v>249</v>
      </c>
      <c r="H46" s="554">
        <v>10072613</v>
      </c>
      <c r="I46" s="554">
        <v>4</v>
      </c>
      <c r="J46" s="554">
        <v>0</v>
      </c>
      <c r="K46" s="555">
        <v>1</v>
      </c>
      <c r="L46" s="533"/>
    </row>
    <row r="47" spans="4:12">
      <c r="D47" s="554" t="s">
        <v>106</v>
      </c>
      <c r="E47" s="554" t="s">
        <v>241</v>
      </c>
      <c r="F47" s="554" t="s">
        <v>90</v>
      </c>
      <c r="G47" s="554" t="s">
        <v>252</v>
      </c>
      <c r="H47" s="554">
        <v>10071428</v>
      </c>
      <c r="I47" s="554">
        <v>4</v>
      </c>
      <c r="J47" s="554">
        <v>0</v>
      </c>
      <c r="K47" s="555">
        <v>1</v>
      </c>
      <c r="L47" s="533"/>
    </row>
    <row r="48" spans="4:12">
      <c r="D48" s="554" t="s">
        <v>106</v>
      </c>
      <c r="E48" s="554" t="s">
        <v>241</v>
      </c>
      <c r="F48" s="554" t="s">
        <v>90</v>
      </c>
      <c r="G48" s="554" t="s">
        <v>245</v>
      </c>
      <c r="H48" s="554">
        <v>10072011</v>
      </c>
      <c r="I48" s="554">
        <v>4</v>
      </c>
      <c r="J48" s="554">
        <v>0</v>
      </c>
      <c r="K48" s="555">
        <v>1</v>
      </c>
      <c r="L48" s="533"/>
    </row>
    <row r="49" spans="4:12">
      <c r="D49" s="554" t="s">
        <v>106</v>
      </c>
      <c r="E49" s="554" t="s">
        <v>241</v>
      </c>
      <c r="F49" s="554" t="s">
        <v>90</v>
      </c>
      <c r="G49" s="554" t="s">
        <v>244</v>
      </c>
      <c r="H49" s="554">
        <v>10072010</v>
      </c>
      <c r="I49" s="554">
        <v>4</v>
      </c>
      <c r="J49" s="554">
        <v>0</v>
      </c>
      <c r="K49" s="555">
        <v>1</v>
      </c>
      <c r="L49" s="533"/>
    </row>
  </sheetData>
  <mergeCells count="3">
    <mergeCell ref="A1:B1"/>
    <mergeCell ref="N1:O1"/>
    <mergeCell ref="N17:O17"/>
  </mergeCells>
  <conditionalFormatting sqref="P19:T31">
    <cfRule type="cellIs" dxfId="3" priority="1" operator="greaterThan">
      <formula>2</formula>
    </cfRule>
    <cfRule type="containsText" dxfId="2" priority="2" operator="containsText" text="2">
      <formula>NOT(ISERROR(SEARCH("2",P19)))</formula>
    </cfRule>
    <cfRule type="containsText" dxfId="1" priority="3" operator="containsText" text="1">
      <formula>NOT(ISERROR(SEARCH("1",P19)))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J7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8.85546875" style="296" bestFit="1" customWidth="1"/>
    <col min="2" max="2" width="25.28515625" style="296" bestFit="1" customWidth="1"/>
    <col min="3" max="3" width="25" style="296" bestFit="1" customWidth="1"/>
    <col min="4" max="4" width="12.140625" style="296" bestFit="1" customWidth="1"/>
    <col min="5" max="7" width="10.7109375" style="296" customWidth="1"/>
    <col min="8" max="8" width="10.7109375" style="2" customWidth="1"/>
    <col min="9" max="9" width="12.42578125" style="49" customWidth="1"/>
    <col min="10" max="10" width="132.5703125" style="51" bestFit="1" customWidth="1"/>
    <col min="11" max="11" width="24.7109375" style="2" bestFit="1" customWidth="1"/>
    <col min="12" max="16384" width="9.140625" style="2"/>
  </cols>
  <sheetData>
    <row r="1" spans="1:10" ht="17.100000000000001" customHeight="1">
      <c r="A1" s="175" t="s">
        <v>1</v>
      </c>
      <c r="B1" s="175" t="s">
        <v>44</v>
      </c>
      <c r="C1" s="175" t="s">
        <v>42</v>
      </c>
      <c r="D1" s="175" t="s">
        <v>41</v>
      </c>
      <c r="E1" s="175" t="s">
        <v>776</v>
      </c>
      <c r="F1" s="175" t="s">
        <v>777</v>
      </c>
      <c r="G1" s="175" t="s">
        <v>608</v>
      </c>
      <c r="H1" s="175" t="s">
        <v>590</v>
      </c>
      <c r="I1" s="552" t="s">
        <v>385</v>
      </c>
      <c r="J1" s="548" t="s">
        <v>596</v>
      </c>
    </row>
    <row r="2" spans="1:10">
      <c r="A2" s="566">
        <v>43800</v>
      </c>
      <c r="B2" s="567" t="s">
        <v>778</v>
      </c>
      <c r="C2" s="567" t="s">
        <v>540</v>
      </c>
      <c r="D2" s="568">
        <v>10071296</v>
      </c>
      <c r="E2" s="607" t="s">
        <v>779</v>
      </c>
      <c r="F2" s="546"/>
      <c r="G2" s="546"/>
      <c r="H2" s="551">
        <f>IF(COUNTA(D2)&gt;0,5,"")</f>
        <v>5</v>
      </c>
      <c r="I2" s="553">
        <f>IF(H2=5,100%,"-")</f>
        <v>1</v>
      </c>
      <c r="J2" s="549" t="s">
        <v>52</v>
      </c>
    </row>
    <row r="3" spans="1:10">
      <c r="A3" s="566">
        <v>43800</v>
      </c>
      <c r="B3" s="567" t="s">
        <v>227</v>
      </c>
      <c r="C3" s="567" t="s">
        <v>440</v>
      </c>
      <c r="D3" s="568">
        <v>10072224</v>
      </c>
      <c r="E3" s="607" t="s">
        <v>779</v>
      </c>
      <c r="F3" s="546"/>
      <c r="G3" s="546"/>
      <c r="H3" s="551">
        <f t="shared" ref="H3:H50" si="0">IF(COUNTA(D3)&gt;0,5,"")</f>
        <v>5</v>
      </c>
      <c r="I3" s="553">
        <f t="shared" ref="I3:I50" si="1">IF(H3=5,100%,"-")</f>
        <v>1</v>
      </c>
      <c r="J3" s="549" t="s">
        <v>52</v>
      </c>
    </row>
    <row r="4" spans="1:10">
      <c r="A4" s="566">
        <v>43800</v>
      </c>
      <c r="B4" s="567" t="s">
        <v>214</v>
      </c>
      <c r="C4" s="567" t="s">
        <v>482</v>
      </c>
      <c r="D4" s="568">
        <v>10072245</v>
      </c>
      <c r="E4" s="607" t="s">
        <v>779</v>
      </c>
      <c r="F4" s="546"/>
      <c r="G4" s="546"/>
      <c r="H4" s="551">
        <f t="shared" si="0"/>
        <v>5</v>
      </c>
      <c r="I4" s="553">
        <f t="shared" si="1"/>
        <v>1</v>
      </c>
      <c r="J4" s="549" t="s">
        <v>52</v>
      </c>
    </row>
    <row r="5" spans="1:10">
      <c r="A5" s="566">
        <v>43800</v>
      </c>
      <c r="B5" s="567" t="s">
        <v>227</v>
      </c>
      <c r="C5" s="567" t="s">
        <v>524</v>
      </c>
      <c r="D5" s="568">
        <v>10071729</v>
      </c>
      <c r="E5" s="607" t="s">
        <v>779</v>
      </c>
      <c r="F5" s="607"/>
      <c r="G5" s="546"/>
      <c r="H5" s="551">
        <f t="shared" si="0"/>
        <v>5</v>
      </c>
      <c r="I5" s="553">
        <f t="shared" si="1"/>
        <v>1</v>
      </c>
      <c r="J5" s="549" t="s">
        <v>52</v>
      </c>
    </row>
    <row r="6" spans="1:10">
      <c r="A6" s="566">
        <v>43800</v>
      </c>
      <c r="B6" s="567" t="s">
        <v>186</v>
      </c>
      <c r="C6" s="567" t="s">
        <v>453</v>
      </c>
      <c r="D6" s="568">
        <v>10071429</v>
      </c>
      <c r="E6" s="607" t="s">
        <v>779</v>
      </c>
      <c r="F6" s="607"/>
      <c r="G6" s="546"/>
      <c r="H6" s="551">
        <f t="shared" si="0"/>
        <v>5</v>
      </c>
      <c r="I6" s="553">
        <f t="shared" si="1"/>
        <v>1</v>
      </c>
      <c r="J6" s="549" t="s">
        <v>52</v>
      </c>
    </row>
    <row r="7" spans="1:10">
      <c r="A7" s="566">
        <v>43800</v>
      </c>
      <c r="B7" s="567" t="s">
        <v>186</v>
      </c>
      <c r="C7" s="567" t="s">
        <v>449</v>
      </c>
      <c r="D7" s="568">
        <v>10071322</v>
      </c>
      <c r="E7" s="607" t="s">
        <v>779</v>
      </c>
      <c r="F7" s="607"/>
      <c r="G7" s="546"/>
      <c r="H7" s="551">
        <f t="shared" si="0"/>
        <v>5</v>
      </c>
      <c r="I7" s="553">
        <f t="shared" si="1"/>
        <v>1</v>
      </c>
      <c r="J7" s="549" t="s">
        <v>52</v>
      </c>
    </row>
    <row r="8" spans="1:10">
      <c r="A8" s="566">
        <v>43800</v>
      </c>
      <c r="B8" s="567" t="s">
        <v>170</v>
      </c>
      <c r="C8" s="567" t="s">
        <v>780</v>
      </c>
      <c r="D8" s="568">
        <v>10071099</v>
      </c>
      <c r="E8" s="607"/>
      <c r="F8" s="607" t="s">
        <v>779</v>
      </c>
      <c r="G8" s="546"/>
      <c r="H8" s="551">
        <f t="shared" si="0"/>
        <v>5</v>
      </c>
      <c r="I8" s="553">
        <f t="shared" si="1"/>
        <v>1</v>
      </c>
      <c r="J8" s="549" t="s">
        <v>781</v>
      </c>
    </row>
    <row r="9" spans="1:10">
      <c r="A9" s="566">
        <v>43800</v>
      </c>
      <c r="B9" s="567" t="s">
        <v>152</v>
      </c>
      <c r="C9" s="567" t="s">
        <v>554</v>
      </c>
      <c r="D9" s="568">
        <v>10072440</v>
      </c>
      <c r="E9" s="607"/>
      <c r="F9" s="607" t="s">
        <v>779</v>
      </c>
      <c r="G9" s="546"/>
      <c r="H9" s="551">
        <f t="shared" si="0"/>
        <v>5</v>
      </c>
      <c r="I9" s="553">
        <f t="shared" si="1"/>
        <v>1</v>
      </c>
      <c r="J9" s="549" t="s">
        <v>782</v>
      </c>
    </row>
    <row r="10" spans="1:10">
      <c r="A10" s="566">
        <v>43800</v>
      </c>
      <c r="B10" s="567" t="s">
        <v>152</v>
      </c>
      <c r="C10" s="567" t="s">
        <v>514</v>
      </c>
      <c r="D10" s="568">
        <v>10071067</v>
      </c>
      <c r="E10" s="607"/>
      <c r="F10" s="607" t="s">
        <v>779</v>
      </c>
      <c r="G10" s="546"/>
      <c r="H10" s="551">
        <f t="shared" si="0"/>
        <v>5</v>
      </c>
      <c r="I10" s="553">
        <f t="shared" si="1"/>
        <v>1</v>
      </c>
      <c r="J10" s="549" t="s">
        <v>782</v>
      </c>
    </row>
    <row r="11" spans="1:10">
      <c r="A11" s="566">
        <v>43800</v>
      </c>
      <c r="B11" s="567" t="s">
        <v>152</v>
      </c>
      <c r="C11" s="567" t="s">
        <v>529</v>
      </c>
      <c r="D11" s="568">
        <v>10071677</v>
      </c>
      <c r="E11" s="607"/>
      <c r="F11" s="607" t="s">
        <v>779</v>
      </c>
      <c r="G11" s="546"/>
      <c r="H11" s="551">
        <f t="shared" si="0"/>
        <v>5</v>
      </c>
      <c r="I11" s="553">
        <f t="shared" si="1"/>
        <v>1</v>
      </c>
      <c r="J11" s="549" t="s">
        <v>782</v>
      </c>
    </row>
    <row r="12" spans="1:10">
      <c r="A12" s="566">
        <v>43800</v>
      </c>
      <c r="B12" s="567" t="s">
        <v>152</v>
      </c>
      <c r="C12" s="567" t="s">
        <v>546</v>
      </c>
      <c r="D12" s="568">
        <v>10072450</v>
      </c>
      <c r="E12" s="607"/>
      <c r="F12" s="607" t="s">
        <v>779</v>
      </c>
      <c r="G12" s="546"/>
      <c r="H12" s="551">
        <f t="shared" si="0"/>
        <v>5</v>
      </c>
      <c r="I12" s="553">
        <f t="shared" si="1"/>
        <v>1</v>
      </c>
      <c r="J12" s="549" t="s">
        <v>782</v>
      </c>
    </row>
    <row r="13" spans="1:10">
      <c r="A13" s="566">
        <v>43800</v>
      </c>
      <c r="B13" s="567" t="s">
        <v>152</v>
      </c>
      <c r="C13" s="569" t="s">
        <v>166</v>
      </c>
      <c r="D13" s="568">
        <v>10072255</v>
      </c>
      <c r="E13" s="607"/>
      <c r="F13" s="607" t="s">
        <v>779</v>
      </c>
      <c r="G13" s="546"/>
      <c r="H13" s="551">
        <f t="shared" si="0"/>
        <v>5</v>
      </c>
      <c r="I13" s="553">
        <f t="shared" si="1"/>
        <v>1</v>
      </c>
      <c r="J13" s="549" t="s">
        <v>782</v>
      </c>
    </row>
    <row r="14" spans="1:10">
      <c r="A14" s="566">
        <v>43800</v>
      </c>
      <c r="B14" s="567" t="s">
        <v>241</v>
      </c>
      <c r="C14" s="569" t="s">
        <v>452</v>
      </c>
      <c r="D14" s="568">
        <v>10072592</v>
      </c>
      <c r="E14" s="607"/>
      <c r="F14" s="607" t="s">
        <v>779</v>
      </c>
      <c r="G14" s="546"/>
      <c r="H14" s="551">
        <f t="shared" si="0"/>
        <v>5</v>
      </c>
      <c r="I14" s="553">
        <f t="shared" si="1"/>
        <v>1</v>
      </c>
      <c r="J14" s="549" t="s">
        <v>782</v>
      </c>
    </row>
    <row r="15" spans="1:10">
      <c r="A15" s="566">
        <v>43800</v>
      </c>
      <c r="B15" s="567" t="s">
        <v>241</v>
      </c>
      <c r="C15" s="569" t="s">
        <v>538</v>
      </c>
      <c r="D15" s="568">
        <v>10072613</v>
      </c>
      <c r="E15" s="546"/>
      <c r="F15" s="607" t="s">
        <v>779</v>
      </c>
      <c r="G15" s="607"/>
      <c r="H15" s="551">
        <f t="shared" si="0"/>
        <v>5</v>
      </c>
      <c r="I15" s="553">
        <f t="shared" si="1"/>
        <v>1</v>
      </c>
      <c r="J15" s="549" t="s">
        <v>782</v>
      </c>
    </row>
    <row r="16" spans="1:10">
      <c r="A16" s="566">
        <v>43800</v>
      </c>
      <c r="B16" s="567" t="s">
        <v>241</v>
      </c>
      <c r="C16" s="567" t="s">
        <v>555</v>
      </c>
      <c r="D16" s="568">
        <v>10072010</v>
      </c>
      <c r="E16" s="546"/>
      <c r="F16" s="607" t="s">
        <v>779</v>
      </c>
      <c r="G16" s="607"/>
      <c r="H16" s="551">
        <f t="shared" si="0"/>
        <v>5</v>
      </c>
      <c r="I16" s="553">
        <f t="shared" si="1"/>
        <v>1</v>
      </c>
      <c r="J16" s="549" t="s">
        <v>782</v>
      </c>
    </row>
    <row r="17" spans="1:10">
      <c r="A17" s="566">
        <v>43800</v>
      </c>
      <c r="B17" s="544" t="s">
        <v>85</v>
      </c>
      <c r="C17" s="544" t="s">
        <v>152</v>
      </c>
      <c r="D17" s="545">
        <v>10070715</v>
      </c>
      <c r="E17" s="546"/>
      <c r="F17" s="607" t="s">
        <v>779</v>
      </c>
      <c r="G17" s="607"/>
      <c r="H17" s="551">
        <f t="shared" si="0"/>
        <v>5</v>
      </c>
      <c r="I17" s="553">
        <f t="shared" si="1"/>
        <v>1</v>
      </c>
      <c r="J17" s="549" t="s">
        <v>782</v>
      </c>
    </row>
    <row r="18" spans="1:10">
      <c r="A18" s="566">
        <v>43800</v>
      </c>
      <c r="B18" s="544" t="s">
        <v>124</v>
      </c>
      <c r="C18" s="544" t="s">
        <v>783</v>
      </c>
      <c r="D18" s="545">
        <v>10072156</v>
      </c>
      <c r="E18" s="546"/>
      <c r="F18" s="607" t="s">
        <v>779</v>
      </c>
      <c r="G18" s="607"/>
      <c r="H18" s="551">
        <f t="shared" si="0"/>
        <v>5</v>
      </c>
      <c r="I18" s="553">
        <f t="shared" si="1"/>
        <v>1</v>
      </c>
      <c r="J18" s="549" t="s">
        <v>784</v>
      </c>
    </row>
    <row r="19" spans="1:10">
      <c r="A19" s="566">
        <v>43800</v>
      </c>
      <c r="B19" s="564" t="s">
        <v>84</v>
      </c>
      <c r="C19" s="564" t="s">
        <v>471</v>
      </c>
      <c r="D19" s="565">
        <v>10071775</v>
      </c>
      <c r="E19" s="546"/>
      <c r="F19" s="607" t="s">
        <v>779</v>
      </c>
      <c r="G19" s="546"/>
      <c r="H19" s="551">
        <f t="shared" si="0"/>
        <v>5</v>
      </c>
      <c r="I19" s="553">
        <f t="shared" si="1"/>
        <v>1</v>
      </c>
      <c r="J19" s="549" t="s">
        <v>785</v>
      </c>
    </row>
    <row r="20" spans="1:10">
      <c r="A20" s="566">
        <v>43800</v>
      </c>
      <c r="B20" s="544" t="s">
        <v>84</v>
      </c>
      <c r="C20" s="544" t="s">
        <v>786</v>
      </c>
      <c r="D20" s="545">
        <v>10072206</v>
      </c>
      <c r="E20" s="546"/>
      <c r="F20" s="607" t="s">
        <v>779</v>
      </c>
      <c r="G20" s="546"/>
      <c r="H20" s="551">
        <f t="shared" si="0"/>
        <v>5</v>
      </c>
      <c r="I20" s="553">
        <f t="shared" si="1"/>
        <v>1</v>
      </c>
      <c r="J20" s="549" t="s">
        <v>785</v>
      </c>
    </row>
    <row r="21" spans="1:10">
      <c r="A21" s="566">
        <v>43800</v>
      </c>
      <c r="B21" s="544" t="s">
        <v>152</v>
      </c>
      <c r="C21" s="544" t="s">
        <v>529</v>
      </c>
      <c r="D21" s="545">
        <v>10071677</v>
      </c>
      <c r="E21" s="546"/>
      <c r="F21" s="607" t="s">
        <v>779</v>
      </c>
      <c r="G21" s="546"/>
      <c r="H21" s="551">
        <f t="shared" si="0"/>
        <v>5</v>
      </c>
      <c r="I21" s="553">
        <f t="shared" si="1"/>
        <v>1</v>
      </c>
      <c r="J21" s="549" t="s">
        <v>785</v>
      </c>
    </row>
    <row r="22" spans="1:10">
      <c r="A22" s="566">
        <v>43800</v>
      </c>
      <c r="B22" s="544" t="s">
        <v>137</v>
      </c>
      <c r="C22" s="544" t="s">
        <v>426</v>
      </c>
      <c r="D22" s="545">
        <v>10071631</v>
      </c>
      <c r="E22" s="546"/>
      <c r="F22" s="607" t="s">
        <v>779</v>
      </c>
      <c r="G22" s="546"/>
      <c r="H22" s="551">
        <f t="shared" si="0"/>
        <v>5</v>
      </c>
      <c r="I22" s="553">
        <f t="shared" si="1"/>
        <v>1</v>
      </c>
      <c r="J22" s="549" t="s">
        <v>785</v>
      </c>
    </row>
    <row r="23" spans="1:10">
      <c r="A23" s="566">
        <v>43800</v>
      </c>
      <c r="B23" s="544" t="s">
        <v>137</v>
      </c>
      <c r="C23" s="544" t="s">
        <v>787</v>
      </c>
      <c r="D23" s="545">
        <v>10072159</v>
      </c>
      <c r="E23" s="546"/>
      <c r="F23" s="607" t="s">
        <v>779</v>
      </c>
      <c r="G23" s="546"/>
      <c r="H23" s="551">
        <f t="shared" si="0"/>
        <v>5</v>
      </c>
      <c r="I23" s="553">
        <f t="shared" si="1"/>
        <v>1</v>
      </c>
      <c r="J23" s="549" t="s">
        <v>785</v>
      </c>
    </row>
    <row r="24" spans="1:10">
      <c r="A24" s="566">
        <v>43800</v>
      </c>
      <c r="B24" s="544" t="s">
        <v>137</v>
      </c>
      <c r="C24" s="544" t="s">
        <v>425</v>
      </c>
      <c r="D24" s="545">
        <v>10072201</v>
      </c>
      <c r="E24" s="546"/>
      <c r="F24" s="607" t="s">
        <v>779</v>
      </c>
      <c r="G24" s="546"/>
      <c r="H24" s="551">
        <f t="shared" si="0"/>
        <v>5</v>
      </c>
      <c r="I24" s="553">
        <f t="shared" si="1"/>
        <v>1</v>
      </c>
      <c r="J24" s="549" t="s">
        <v>785</v>
      </c>
    </row>
    <row r="25" spans="1:10">
      <c r="A25" s="566">
        <v>43800</v>
      </c>
      <c r="B25" s="544" t="s">
        <v>152</v>
      </c>
      <c r="C25" s="544" t="s">
        <v>544</v>
      </c>
      <c r="D25" s="545">
        <v>10070729</v>
      </c>
      <c r="E25" s="546"/>
      <c r="F25" s="607" t="s">
        <v>779</v>
      </c>
      <c r="G25" s="546"/>
      <c r="H25" s="551">
        <f t="shared" si="0"/>
        <v>5</v>
      </c>
      <c r="I25" s="553">
        <f t="shared" si="1"/>
        <v>1</v>
      </c>
      <c r="J25" s="549" t="s">
        <v>785</v>
      </c>
    </row>
    <row r="26" spans="1:10">
      <c r="A26" s="566">
        <v>43800</v>
      </c>
      <c r="B26" s="544" t="s">
        <v>84</v>
      </c>
      <c r="C26" s="544" t="s">
        <v>475</v>
      </c>
      <c r="D26" s="545">
        <v>10072031</v>
      </c>
      <c r="E26" s="546"/>
      <c r="F26" s="607" t="s">
        <v>779</v>
      </c>
      <c r="G26" s="546"/>
      <c r="H26" s="551">
        <f t="shared" si="0"/>
        <v>5</v>
      </c>
      <c r="I26" s="553">
        <f t="shared" si="1"/>
        <v>1</v>
      </c>
      <c r="J26" s="549" t="s">
        <v>785</v>
      </c>
    </row>
    <row r="27" spans="1:10">
      <c r="A27" s="566">
        <v>43800</v>
      </c>
      <c r="B27" s="544" t="s">
        <v>137</v>
      </c>
      <c r="C27" s="544" t="s">
        <v>487</v>
      </c>
      <c r="D27" s="545">
        <v>10072238</v>
      </c>
      <c r="E27" s="546"/>
      <c r="F27" s="607" t="s">
        <v>779</v>
      </c>
      <c r="G27" s="546"/>
      <c r="H27" s="551">
        <f t="shared" si="0"/>
        <v>5</v>
      </c>
      <c r="I27" s="553">
        <f t="shared" si="1"/>
        <v>1</v>
      </c>
      <c r="J27" s="549" t="s">
        <v>785</v>
      </c>
    </row>
    <row r="28" spans="1:10">
      <c r="A28" s="566">
        <v>43800</v>
      </c>
      <c r="B28" s="544" t="s">
        <v>84</v>
      </c>
      <c r="C28" s="544" t="s">
        <v>788</v>
      </c>
      <c r="D28" s="545">
        <v>10071147</v>
      </c>
      <c r="E28" s="546"/>
      <c r="F28" s="607" t="s">
        <v>779</v>
      </c>
      <c r="G28" s="546"/>
      <c r="H28" s="551">
        <f t="shared" si="0"/>
        <v>5</v>
      </c>
      <c r="I28" s="553">
        <f t="shared" si="1"/>
        <v>1</v>
      </c>
      <c r="J28" s="549" t="s">
        <v>789</v>
      </c>
    </row>
    <row r="29" spans="1:10">
      <c r="A29" s="566">
        <v>43800</v>
      </c>
      <c r="B29" s="544" t="s">
        <v>84</v>
      </c>
      <c r="C29" s="544" t="s">
        <v>790</v>
      </c>
      <c r="D29" s="545">
        <v>10070976</v>
      </c>
      <c r="E29" s="546"/>
      <c r="F29" s="607" t="s">
        <v>779</v>
      </c>
      <c r="G29" s="546"/>
      <c r="H29" s="551">
        <f t="shared" si="0"/>
        <v>5</v>
      </c>
      <c r="I29" s="553">
        <f t="shared" si="1"/>
        <v>1</v>
      </c>
      <c r="J29" s="549" t="s">
        <v>789</v>
      </c>
    </row>
    <row r="30" spans="1:10">
      <c r="A30" s="566">
        <v>43800</v>
      </c>
      <c r="B30" s="544" t="s">
        <v>214</v>
      </c>
      <c r="C30" s="544" t="s">
        <v>455</v>
      </c>
      <c r="D30" s="545">
        <v>10072460</v>
      </c>
      <c r="E30" s="546"/>
      <c r="F30" s="607" t="s">
        <v>779</v>
      </c>
      <c r="G30" s="546"/>
      <c r="H30" s="551">
        <f t="shared" si="0"/>
        <v>5</v>
      </c>
      <c r="I30" s="553">
        <f t="shared" si="1"/>
        <v>1</v>
      </c>
      <c r="J30" s="549" t="s">
        <v>791</v>
      </c>
    </row>
    <row r="31" spans="1:10">
      <c r="A31" s="566">
        <v>43800</v>
      </c>
      <c r="B31" s="544" t="s">
        <v>214</v>
      </c>
      <c r="C31" s="544" t="s">
        <v>482</v>
      </c>
      <c r="D31" s="545">
        <v>10072245</v>
      </c>
      <c r="E31" s="546"/>
      <c r="F31" s="607" t="s">
        <v>779</v>
      </c>
      <c r="G31" s="546"/>
      <c r="H31" s="551">
        <f t="shared" si="0"/>
        <v>5</v>
      </c>
      <c r="I31" s="553">
        <f t="shared" si="1"/>
        <v>1</v>
      </c>
      <c r="J31" s="549" t="s">
        <v>791</v>
      </c>
    </row>
    <row r="32" spans="1:10">
      <c r="A32" s="566">
        <v>43800</v>
      </c>
      <c r="B32" s="544" t="s">
        <v>214</v>
      </c>
      <c r="C32" s="544" t="s">
        <v>792</v>
      </c>
      <c r="D32" s="545">
        <v>10071903</v>
      </c>
      <c r="E32" s="546"/>
      <c r="F32" s="607" t="s">
        <v>779</v>
      </c>
      <c r="G32" s="546"/>
      <c r="H32" s="551">
        <f t="shared" si="0"/>
        <v>5</v>
      </c>
      <c r="I32" s="553">
        <f t="shared" si="1"/>
        <v>1</v>
      </c>
      <c r="J32" s="549" t="s">
        <v>791</v>
      </c>
    </row>
    <row r="33" spans="1:10">
      <c r="A33" s="566">
        <v>43800</v>
      </c>
      <c r="B33" s="544" t="s">
        <v>780</v>
      </c>
      <c r="C33" s="544" t="s">
        <v>519</v>
      </c>
      <c r="D33" s="545">
        <v>10070728</v>
      </c>
      <c r="E33" s="546"/>
      <c r="F33" s="607" t="s">
        <v>779</v>
      </c>
      <c r="G33" s="546"/>
      <c r="H33" s="551">
        <f t="shared" si="0"/>
        <v>5</v>
      </c>
      <c r="I33" s="553">
        <f t="shared" si="1"/>
        <v>1</v>
      </c>
      <c r="J33" s="549" t="s">
        <v>791</v>
      </c>
    </row>
    <row r="34" spans="1:10">
      <c r="A34" s="566">
        <v>43800</v>
      </c>
      <c r="B34" s="544" t="s">
        <v>200</v>
      </c>
      <c r="C34" s="544" t="s">
        <v>443</v>
      </c>
      <c r="D34" s="545">
        <v>10072244</v>
      </c>
      <c r="E34" s="546"/>
      <c r="F34" s="607" t="s">
        <v>779</v>
      </c>
      <c r="G34" s="546"/>
      <c r="H34" s="551">
        <f t="shared" si="0"/>
        <v>5</v>
      </c>
      <c r="I34" s="553">
        <f t="shared" si="1"/>
        <v>1</v>
      </c>
      <c r="J34" s="549" t="s">
        <v>791</v>
      </c>
    </row>
    <row r="35" spans="1:10">
      <c r="A35" s="566">
        <v>43800</v>
      </c>
      <c r="B35" s="544" t="s">
        <v>200</v>
      </c>
      <c r="C35" s="544" t="s">
        <v>793</v>
      </c>
      <c r="D35" s="545">
        <v>10071728</v>
      </c>
      <c r="E35" s="546"/>
      <c r="F35" s="607" t="s">
        <v>779</v>
      </c>
      <c r="G35" s="546"/>
      <c r="H35" s="551">
        <f t="shared" si="0"/>
        <v>5</v>
      </c>
      <c r="I35" s="553">
        <f t="shared" si="1"/>
        <v>1</v>
      </c>
      <c r="J35" s="549" t="s">
        <v>791</v>
      </c>
    </row>
    <row r="36" spans="1:10">
      <c r="A36" s="566">
        <v>43800</v>
      </c>
      <c r="B36" s="544" t="s">
        <v>200</v>
      </c>
      <c r="C36" s="544" t="s">
        <v>511</v>
      </c>
      <c r="D36" s="545">
        <v>10072204</v>
      </c>
      <c r="E36" s="546"/>
      <c r="F36" s="607" t="s">
        <v>779</v>
      </c>
      <c r="G36" s="546"/>
      <c r="H36" s="551">
        <f t="shared" si="0"/>
        <v>5</v>
      </c>
      <c r="I36" s="553">
        <f t="shared" si="1"/>
        <v>1</v>
      </c>
      <c r="J36" s="549" t="s">
        <v>791</v>
      </c>
    </row>
    <row r="37" spans="1:10">
      <c r="A37" s="566">
        <v>43800</v>
      </c>
      <c r="B37" s="544" t="s">
        <v>200</v>
      </c>
      <c r="C37" s="544" t="s">
        <v>560</v>
      </c>
      <c r="D37" s="545">
        <v>10072445</v>
      </c>
      <c r="E37" s="546"/>
      <c r="F37" s="607" t="s">
        <v>779</v>
      </c>
      <c r="G37" s="546"/>
      <c r="H37" s="551">
        <f t="shared" si="0"/>
        <v>5</v>
      </c>
      <c r="I37" s="553">
        <f t="shared" si="1"/>
        <v>1</v>
      </c>
      <c r="J37" s="550" t="s">
        <v>791</v>
      </c>
    </row>
    <row r="38" spans="1:10">
      <c r="A38" s="566">
        <v>43800</v>
      </c>
      <c r="B38" s="544" t="s">
        <v>186</v>
      </c>
      <c r="C38" s="544" t="s">
        <v>794</v>
      </c>
      <c r="D38" s="545">
        <v>10071322</v>
      </c>
      <c r="E38" s="546"/>
      <c r="F38" s="607" t="s">
        <v>779</v>
      </c>
      <c r="G38" s="546"/>
      <c r="H38" s="551">
        <f t="shared" si="0"/>
        <v>5</v>
      </c>
      <c r="I38" s="553">
        <f t="shared" si="1"/>
        <v>1</v>
      </c>
      <c r="J38" s="550" t="s">
        <v>791</v>
      </c>
    </row>
    <row r="39" spans="1:10">
      <c r="A39" s="566">
        <v>43800</v>
      </c>
      <c r="B39" s="544" t="s">
        <v>186</v>
      </c>
      <c r="C39" s="544" t="s">
        <v>795</v>
      </c>
      <c r="D39" s="545">
        <v>10072205</v>
      </c>
      <c r="E39" s="546"/>
      <c r="F39" s="607" t="s">
        <v>779</v>
      </c>
      <c r="G39" s="546"/>
      <c r="H39" s="551">
        <f t="shared" si="0"/>
        <v>5</v>
      </c>
      <c r="I39" s="553">
        <f t="shared" si="1"/>
        <v>1</v>
      </c>
      <c r="J39" s="550" t="s">
        <v>791</v>
      </c>
    </row>
    <row r="40" spans="1:10">
      <c r="A40" s="566">
        <v>43800</v>
      </c>
      <c r="B40" s="544" t="s">
        <v>186</v>
      </c>
      <c r="C40" s="544" t="s">
        <v>503</v>
      </c>
      <c r="D40" s="545">
        <v>10072516</v>
      </c>
      <c r="E40" s="546"/>
      <c r="F40" s="607" t="s">
        <v>779</v>
      </c>
      <c r="G40" s="546"/>
      <c r="H40" s="551">
        <f t="shared" si="0"/>
        <v>5</v>
      </c>
      <c r="I40" s="553">
        <f t="shared" si="1"/>
        <v>1</v>
      </c>
      <c r="J40" s="550" t="s">
        <v>791</v>
      </c>
    </row>
    <row r="41" spans="1:10">
      <c r="A41" s="566">
        <v>43800</v>
      </c>
      <c r="B41" s="544" t="s">
        <v>186</v>
      </c>
      <c r="C41" s="544" t="s">
        <v>548</v>
      </c>
      <c r="D41" s="545">
        <v>10072243</v>
      </c>
      <c r="E41" s="546"/>
      <c r="F41" s="607" t="s">
        <v>779</v>
      </c>
      <c r="G41" s="546"/>
      <c r="H41" s="551">
        <f t="shared" si="0"/>
        <v>5</v>
      </c>
      <c r="I41" s="553">
        <f t="shared" si="1"/>
        <v>1</v>
      </c>
      <c r="J41" s="550" t="s">
        <v>791</v>
      </c>
    </row>
    <row r="42" spans="1:10">
      <c r="A42" s="566">
        <v>43800</v>
      </c>
      <c r="B42" s="544" t="s">
        <v>169</v>
      </c>
      <c r="C42" s="544" t="s">
        <v>796</v>
      </c>
      <c r="D42" s="545">
        <v>10071433</v>
      </c>
      <c r="E42" s="546"/>
      <c r="F42" s="607" t="s">
        <v>779</v>
      </c>
      <c r="G42" s="546"/>
      <c r="H42" s="551">
        <f t="shared" si="0"/>
        <v>5</v>
      </c>
      <c r="I42" s="553">
        <f t="shared" si="1"/>
        <v>1</v>
      </c>
      <c r="J42" s="549" t="s">
        <v>791</v>
      </c>
    </row>
    <row r="43" spans="1:10">
      <c r="A43" s="566">
        <v>43800</v>
      </c>
      <c r="B43" s="544" t="s">
        <v>169</v>
      </c>
      <c r="C43" s="544" t="s">
        <v>797</v>
      </c>
      <c r="D43" s="545">
        <v>10072453</v>
      </c>
      <c r="E43" s="546"/>
      <c r="F43" s="607" t="s">
        <v>779</v>
      </c>
      <c r="G43" s="546"/>
      <c r="H43" s="551">
        <f t="shared" si="0"/>
        <v>5</v>
      </c>
      <c r="I43" s="553">
        <f t="shared" si="1"/>
        <v>1</v>
      </c>
      <c r="J43" s="549" t="s">
        <v>791</v>
      </c>
    </row>
    <row r="44" spans="1:10">
      <c r="A44" s="566">
        <v>43800</v>
      </c>
      <c r="B44" s="544" t="s">
        <v>169</v>
      </c>
      <c r="C44" s="544" t="s">
        <v>798</v>
      </c>
      <c r="D44" s="545">
        <v>10071753</v>
      </c>
      <c r="E44" s="546"/>
      <c r="F44" s="607" t="s">
        <v>779</v>
      </c>
      <c r="G44" s="546"/>
      <c r="H44" s="551">
        <f t="shared" si="0"/>
        <v>5</v>
      </c>
      <c r="I44" s="553">
        <f t="shared" si="1"/>
        <v>1</v>
      </c>
      <c r="J44" s="550" t="s">
        <v>791</v>
      </c>
    </row>
    <row r="45" spans="1:10">
      <c r="A45" s="566">
        <v>43800</v>
      </c>
      <c r="B45" s="544" t="s">
        <v>200</v>
      </c>
      <c r="C45" s="544" t="s">
        <v>511</v>
      </c>
      <c r="D45" s="545">
        <v>10072204</v>
      </c>
      <c r="E45" s="546"/>
      <c r="F45" s="607" t="s">
        <v>779</v>
      </c>
      <c r="G45" s="546"/>
      <c r="H45" s="551">
        <f t="shared" si="0"/>
        <v>5</v>
      </c>
      <c r="I45" s="553">
        <f t="shared" si="1"/>
        <v>1</v>
      </c>
      <c r="J45" s="550" t="s">
        <v>799</v>
      </c>
    </row>
    <row r="46" spans="1:10">
      <c r="A46" s="566">
        <v>43800</v>
      </c>
      <c r="B46" s="544" t="s">
        <v>186</v>
      </c>
      <c r="C46" s="544" t="s">
        <v>800</v>
      </c>
      <c r="D46" s="545">
        <v>10072256</v>
      </c>
      <c r="E46" s="546"/>
      <c r="F46" s="607" t="s">
        <v>779</v>
      </c>
      <c r="G46" s="546"/>
      <c r="H46" s="551">
        <f t="shared" si="0"/>
        <v>5</v>
      </c>
      <c r="I46" s="553">
        <f t="shared" si="1"/>
        <v>1</v>
      </c>
      <c r="J46" s="549" t="s">
        <v>799</v>
      </c>
    </row>
    <row r="47" spans="1:10">
      <c r="A47" s="566">
        <v>43800</v>
      </c>
      <c r="B47" s="544" t="s">
        <v>200</v>
      </c>
      <c r="C47" s="544" t="s">
        <v>801</v>
      </c>
      <c r="D47" s="545">
        <v>10072198</v>
      </c>
      <c r="E47" s="546"/>
      <c r="F47" s="607" t="s">
        <v>779</v>
      </c>
      <c r="G47" s="546"/>
      <c r="H47" s="551">
        <f t="shared" si="0"/>
        <v>5</v>
      </c>
      <c r="I47" s="553">
        <f t="shared" si="1"/>
        <v>1</v>
      </c>
      <c r="J47" s="549" t="s">
        <v>799</v>
      </c>
    </row>
    <row r="48" spans="1:10">
      <c r="A48" s="566">
        <v>43800</v>
      </c>
      <c r="B48" s="544" t="s">
        <v>780</v>
      </c>
      <c r="C48" s="544" t="s">
        <v>537</v>
      </c>
      <c r="D48" s="545">
        <v>10072211</v>
      </c>
      <c r="E48" s="546"/>
      <c r="F48" s="607" t="s">
        <v>779</v>
      </c>
      <c r="G48" s="546"/>
      <c r="H48" s="551">
        <f t="shared" si="0"/>
        <v>5</v>
      </c>
      <c r="I48" s="553">
        <f t="shared" si="1"/>
        <v>1</v>
      </c>
      <c r="J48" s="549" t="s">
        <v>799</v>
      </c>
    </row>
    <row r="49" spans="1:10">
      <c r="A49" s="566">
        <v>43800</v>
      </c>
      <c r="B49" s="544" t="s">
        <v>200</v>
      </c>
      <c r="C49" s="544" t="s">
        <v>443</v>
      </c>
      <c r="D49" s="545">
        <v>10072244</v>
      </c>
      <c r="E49" s="546"/>
      <c r="F49" s="607" t="s">
        <v>779</v>
      </c>
      <c r="G49" s="546"/>
      <c r="H49" s="551">
        <f t="shared" si="0"/>
        <v>5</v>
      </c>
      <c r="I49" s="553">
        <f t="shared" si="1"/>
        <v>1</v>
      </c>
      <c r="J49" s="550" t="s">
        <v>799</v>
      </c>
    </row>
    <row r="50" spans="1:10">
      <c r="A50" s="566">
        <v>43800</v>
      </c>
      <c r="B50" s="544" t="s">
        <v>200</v>
      </c>
      <c r="C50" s="544" t="s">
        <v>497</v>
      </c>
      <c r="D50" s="545">
        <v>10071306</v>
      </c>
      <c r="E50" s="546"/>
      <c r="F50" s="607" t="s">
        <v>779</v>
      </c>
      <c r="G50" s="546"/>
      <c r="H50" s="551">
        <f t="shared" si="0"/>
        <v>5</v>
      </c>
      <c r="I50" s="553">
        <f t="shared" si="1"/>
        <v>1</v>
      </c>
      <c r="J50" s="549" t="s">
        <v>799</v>
      </c>
    </row>
    <row r="51" spans="1:10">
      <c r="A51" s="566">
        <v>43800</v>
      </c>
      <c r="B51" s="544" t="s">
        <v>780</v>
      </c>
      <c r="C51" s="544" t="s">
        <v>525</v>
      </c>
      <c r="D51" s="545">
        <v>10071310</v>
      </c>
      <c r="E51" s="546"/>
      <c r="F51" s="607" t="s">
        <v>779</v>
      </c>
      <c r="G51" s="546"/>
      <c r="H51" s="551">
        <f>IF(COUNTA(D51)&gt;0,5,"")</f>
        <v>5</v>
      </c>
      <c r="I51" s="553">
        <f>IF(H51=5,100%,"-")</f>
        <v>1</v>
      </c>
      <c r="J51" s="549" t="s">
        <v>799</v>
      </c>
    </row>
    <row r="52" spans="1:10">
      <c r="A52" s="566">
        <v>43800</v>
      </c>
      <c r="B52" s="544" t="s">
        <v>200</v>
      </c>
      <c r="C52" s="544" t="s">
        <v>560</v>
      </c>
      <c r="D52" s="545">
        <v>10072445</v>
      </c>
      <c r="E52" s="546"/>
      <c r="F52" s="607" t="s">
        <v>779</v>
      </c>
      <c r="G52" s="546"/>
      <c r="H52" s="551">
        <f>IF(COUNTA(D52)&gt;0,5,"")</f>
        <v>5</v>
      </c>
      <c r="I52" s="553">
        <f>IF(H52=5,100%,"-")</f>
        <v>1</v>
      </c>
      <c r="J52" s="549" t="s">
        <v>799</v>
      </c>
    </row>
    <row r="53" spans="1:10">
      <c r="A53" s="566">
        <v>43800</v>
      </c>
      <c r="B53" s="544" t="s">
        <v>200</v>
      </c>
      <c r="C53" s="544" t="s">
        <v>502</v>
      </c>
      <c r="D53" s="545">
        <v>10072517</v>
      </c>
      <c r="E53" s="546"/>
      <c r="F53" s="607" t="s">
        <v>779</v>
      </c>
      <c r="G53" s="546"/>
      <c r="H53" s="551">
        <f>IF(COUNTA(D53)&gt;0,5,"")</f>
        <v>5</v>
      </c>
      <c r="I53" s="553">
        <f>IF(H53=5,100%,"-")</f>
        <v>1</v>
      </c>
      <c r="J53" s="549" t="s">
        <v>799</v>
      </c>
    </row>
    <row r="54" spans="1:10">
      <c r="A54" s="566">
        <v>43800</v>
      </c>
      <c r="B54" s="544" t="s">
        <v>780</v>
      </c>
      <c r="C54" s="544" t="s">
        <v>532</v>
      </c>
      <c r="D54" s="545">
        <v>10072515</v>
      </c>
      <c r="E54" s="546"/>
      <c r="F54" s="607" t="s">
        <v>779</v>
      </c>
      <c r="G54" s="546"/>
      <c r="H54" s="551">
        <f t="shared" ref="H54:H63" si="2">IF(COUNTA(D54)&gt;0,5,"")</f>
        <v>5</v>
      </c>
      <c r="I54" s="553">
        <f t="shared" ref="I54:I63" si="3">IF(H54=5,100%,"-")</f>
        <v>1</v>
      </c>
      <c r="J54" s="549" t="s">
        <v>799</v>
      </c>
    </row>
    <row r="55" spans="1:10">
      <c r="A55" s="566">
        <v>43800</v>
      </c>
      <c r="B55" s="544" t="s">
        <v>802</v>
      </c>
      <c r="C55" s="544" t="s">
        <v>477</v>
      </c>
      <c r="D55" s="545">
        <v>10071751</v>
      </c>
      <c r="E55" s="546"/>
      <c r="F55" s="546"/>
      <c r="G55" s="607" t="s">
        <v>779</v>
      </c>
      <c r="H55" s="551">
        <f t="shared" si="2"/>
        <v>5</v>
      </c>
      <c r="I55" s="553">
        <f t="shared" si="3"/>
        <v>1</v>
      </c>
      <c r="J55" s="549" t="s">
        <v>803</v>
      </c>
    </row>
    <row r="56" spans="1:10">
      <c r="A56" s="566">
        <v>43800</v>
      </c>
      <c r="B56" s="544" t="s">
        <v>84</v>
      </c>
      <c r="C56" s="544" t="s">
        <v>496</v>
      </c>
      <c r="D56" s="545">
        <v>10071592</v>
      </c>
      <c r="E56" s="546"/>
      <c r="F56" s="546"/>
      <c r="G56" s="607" t="s">
        <v>779</v>
      </c>
      <c r="H56" s="551">
        <f t="shared" si="2"/>
        <v>5</v>
      </c>
      <c r="I56" s="553">
        <f t="shared" si="3"/>
        <v>1</v>
      </c>
      <c r="J56" s="549" t="s">
        <v>803</v>
      </c>
    </row>
    <row r="57" spans="1:10">
      <c r="A57" s="566">
        <v>43800</v>
      </c>
      <c r="B57" s="544" t="s">
        <v>152</v>
      </c>
      <c r="C57" s="544" t="s">
        <v>514</v>
      </c>
      <c r="D57" s="545">
        <v>10071067</v>
      </c>
      <c r="E57" s="546"/>
      <c r="F57" s="546"/>
      <c r="G57" s="607" t="s">
        <v>779</v>
      </c>
      <c r="H57" s="551">
        <f t="shared" si="2"/>
        <v>5</v>
      </c>
      <c r="I57" s="553">
        <f t="shared" si="3"/>
        <v>1</v>
      </c>
      <c r="J57" s="549" t="s">
        <v>803</v>
      </c>
    </row>
    <row r="58" spans="1:10">
      <c r="A58" s="566">
        <v>43800</v>
      </c>
      <c r="B58" s="544" t="s">
        <v>152</v>
      </c>
      <c r="C58" s="544" t="s">
        <v>544</v>
      </c>
      <c r="D58" s="545">
        <v>10070729</v>
      </c>
      <c r="E58" s="546"/>
      <c r="F58" s="546"/>
      <c r="G58" s="607" t="s">
        <v>779</v>
      </c>
      <c r="H58" s="551">
        <f t="shared" si="2"/>
        <v>5</v>
      </c>
      <c r="I58" s="553">
        <f t="shared" si="3"/>
        <v>1</v>
      </c>
      <c r="J58" s="549" t="s">
        <v>803</v>
      </c>
    </row>
    <row r="59" spans="1:10">
      <c r="A59" s="566">
        <v>43800</v>
      </c>
      <c r="B59" s="544" t="s">
        <v>780</v>
      </c>
      <c r="C59" s="544" t="s">
        <v>457</v>
      </c>
      <c r="D59" s="545">
        <v>10071423</v>
      </c>
      <c r="E59" s="546"/>
      <c r="F59" s="546"/>
      <c r="G59" s="607" t="s">
        <v>779</v>
      </c>
      <c r="H59" s="551">
        <f t="shared" si="2"/>
        <v>5</v>
      </c>
      <c r="I59" s="553">
        <f t="shared" si="3"/>
        <v>1</v>
      </c>
      <c r="J59" s="549" t="s">
        <v>803</v>
      </c>
    </row>
    <row r="60" spans="1:10">
      <c r="A60" s="566">
        <v>43800</v>
      </c>
      <c r="B60" s="544" t="s">
        <v>200</v>
      </c>
      <c r="C60" s="544" t="s">
        <v>501</v>
      </c>
      <c r="D60" s="545">
        <v>10071692</v>
      </c>
      <c r="E60" s="546"/>
      <c r="F60" s="546"/>
      <c r="G60" s="607" t="s">
        <v>779</v>
      </c>
      <c r="H60" s="551">
        <f t="shared" si="2"/>
        <v>5</v>
      </c>
      <c r="I60" s="553">
        <f t="shared" si="3"/>
        <v>1</v>
      </c>
      <c r="J60" s="549" t="s">
        <v>803</v>
      </c>
    </row>
    <row r="61" spans="1:10">
      <c r="A61" s="566">
        <v>43800</v>
      </c>
      <c r="B61" s="544" t="s">
        <v>169</v>
      </c>
      <c r="C61" s="544" t="s">
        <v>804</v>
      </c>
      <c r="D61" s="545">
        <v>10071283</v>
      </c>
      <c r="E61" s="546"/>
      <c r="F61" s="546"/>
      <c r="G61" s="607" t="s">
        <v>779</v>
      </c>
      <c r="H61" s="551">
        <f t="shared" si="2"/>
        <v>5</v>
      </c>
      <c r="I61" s="553">
        <f t="shared" si="3"/>
        <v>1</v>
      </c>
      <c r="J61" s="549" t="s">
        <v>803</v>
      </c>
    </row>
    <row r="62" spans="1:10">
      <c r="A62" s="566">
        <v>43800</v>
      </c>
      <c r="B62" s="544" t="s">
        <v>186</v>
      </c>
      <c r="C62" s="544" t="s">
        <v>478</v>
      </c>
      <c r="D62" s="545">
        <v>10072202</v>
      </c>
      <c r="E62" s="546"/>
      <c r="F62" s="546"/>
      <c r="G62" s="607" t="s">
        <v>779</v>
      </c>
      <c r="H62" s="551">
        <f t="shared" si="2"/>
        <v>5</v>
      </c>
      <c r="I62" s="553">
        <f t="shared" si="3"/>
        <v>1</v>
      </c>
      <c r="J62" s="549" t="s">
        <v>803</v>
      </c>
    </row>
    <row r="63" spans="1:10">
      <c r="A63" s="566">
        <v>43800</v>
      </c>
      <c r="B63" s="544" t="s">
        <v>241</v>
      </c>
      <c r="C63" s="544" t="s">
        <v>247</v>
      </c>
      <c r="D63" s="545">
        <v>10072592</v>
      </c>
      <c r="E63" s="547"/>
      <c r="F63" s="547"/>
      <c r="G63" s="607" t="s">
        <v>779</v>
      </c>
      <c r="H63" s="551">
        <f t="shared" si="2"/>
        <v>5</v>
      </c>
      <c r="I63" s="553">
        <f t="shared" si="3"/>
        <v>1</v>
      </c>
      <c r="J63" s="549" t="s">
        <v>805</v>
      </c>
    </row>
    <row r="64" spans="1:10">
      <c r="A64" s="566">
        <v>43800</v>
      </c>
      <c r="B64" s="544" t="s">
        <v>241</v>
      </c>
      <c r="C64" s="544" t="s">
        <v>245</v>
      </c>
      <c r="D64" s="545">
        <v>10072011</v>
      </c>
      <c r="E64" s="547"/>
      <c r="F64" s="547"/>
      <c r="G64" s="607" t="s">
        <v>779</v>
      </c>
      <c r="H64" s="551">
        <f t="shared" ref="H64:H73" si="4">IF(COUNTA(D64)&gt;0,5,"")</f>
        <v>5</v>
      </c>
      <c r="I64" s="553">
        <f t="shared" ref="I64:I73" si="5">IF(H64=5,100%,"-")</f>
        <v>1</v>
      </c>
      <c r="J64" s="549" t="s">
        <v>805</v>
      </c>
    </row>
    <row r="65" spans="1:10">
      <c r="A65" s="566">
        <v>43800</v>
      </c>
      <c r="B65" s="544" t="s">
        <v>227</v>
      </c>
      <c r="C65" s="544" t="s">
        <v>535</v>
      </c>
      <c r="D65" s="545">
        <v>10071151</v>
      </c>
      <c r="E65" s="547"/>
      <c r="F65" s="547"/>
      <c r="G65" s="607" t="s">
        <v>779</v>
      </c>
      <c r="H65" s="551">
        <f t="shared" si="4"/>
        <v>5</v>
      </c>
      <c r="I65" s="553">
        <f t="shared" si="5"/>
        <v>1</v>
      </c>
      <c r="J65" s="549" t="s">
        <v>806</v>
      </c>
    </row>
    <row r="66" spans="1:10">
      <c r="A66" s="566">
        <v>43800</v>
      </c>
      <c r="B66" s="544" t="s">
        <v>227</v>
      </c>
      <c r="C66" s="544" t="s">
        <v>807</v>
      </c>
      <c r="D66" s="545">
        <v>10071356</v>
      </c>
      <c r="E66" s="547"/>
      <c r="F66" s="547"/>
      <c r="G66" s="607" t="s">
        <v>779</v>
      </c>
      <c r="H66" s="551">
        <f t="shared" si="4"/>
        <v>5</v>
      </c>
      <c r="I66" s="553">
        <f t="shared" si="5"/>
        <v>1</v>
      </c>
      <c r="J66" s="549" t="s">
        <v>808</v>
      </c>
    </row>
    <row r="67" spans="1:10">
      <c r="A67" s="566">
        <v>43800</v>
      </c>
      <c r="B67" s="544" t="s">
        <v>227</v>
      </c>
      <c r="C67" s="544" t="s">
        <v>465</v>
      </c>
      <c r="D67" s="545">
        <v>10071908</v>
      </c>
      <c r="E67" s="547"/>
      <c r="F67" s="547"/>
      <c r="G67" s="607" t="s">
        <v>779</v>
      </c>
      <c r="H67" s="551">
        <f t="shared" si="4"/>
        <v>5</v>
      </c>
      <c r="I67" s="553">
        <f t="shared" si="5"/>
        <v>1</v>
      </c>
      <c r="J67" s="549" t="s">
        <v>809</v>
      </c>
    </row>
    <row r="68" spans="1:10">
      <c r="A68" s="566">
        <v>43800</v>
      </c>
      <c r="B68" s="544" t="s">
        <v>227</v>
      </c>
      <c r="C68" s="544" t="s">
        <v>810</v>
      </c>
      <c r="D68" s="545">
        <v>10071600</v>
      </c>
      <c r="E68" s="547"/>
      <c r="F68" s="547"/>
      <c r="G68" s="607" t="s">
        <v>779</v>
      </c>
      <c r="H68" s="551">
        <f t="shared" si="4"/>
        <v>5</v>
      </c>
      <c r="I68" s="553">
        <f t="shared" si="5"/>
        <v>1</v>
      </c>
      <c r="J68" s="549" t="s">
        <v>809</v>
      </c>
    </row>
    <row r="69" spans="1:10">
      <c r="A69" s="566">
        <v>43800</v>
      </c>
      <c r="B69" s="544" t="s">
        <v>227</v>
      </c>
      <c r="C69" s="544" t="s">
        <v>811</v>
      </c>
      <c r="D69" s="545">
        <v>10071411</v>
      </c>
      <c r="E69" s="547"/>
      <c r="F69" s="547"/>
      <c r="G69" s="607" t="s">
        <v>779</v>
      </c>
      <c r="H69" s="551">
        <f t="shared" si="4"/>
        <v>5</v>
      </c>
      <c r="I69" s="553">
        <f t="shared" si="5"/>
        <v>1</v>
      </c>
      <c r="J69" s="549" t="s">
        <v>809</v>
      </c>
    </row>
    <row r="70" spans="1:10">
      <c r="A70" s="566">
        <v>43800</v>
      </c>
      <c r="B70" s="544" t="s">
        <v>227</v>
      </c>
      <c r="C70" s="544" t="s">
        <v>812</v>
      </c>
      <c r="D70" s="545">
        <v>10071729</v>
      </c>
      <c r="E70" s="547"/>
      <c r="F70" s="547"/>
      <c r="G70" s="607" t="s">
        <v>779</v>
      </c>
      <c r="H70" s="551">
        <f t="shared" si="4"/>
        <v>5</v>
      </c>
      <c r="I70" s="553">
        <f t="shared" si="5"/>
        <v>1</v>
      </c>
      <c r="J70" s="549" t="s">
        <v>813</v>
      </c>
    </row>
    <row r="71" spans="1:10">
      <c r="A71" s="566">
        <v>43800</v>
      </c>
      <c r="B71" s="544" t="s">
        <v>124</v>
      </c>
      <c r="C71" s="544" t="s">
        <v>814</v>
      </c>
      <c r="D71" s="545">
        <v>10071198</v>
      </c>
      <c r="E71" s="547"/>
      <c r="F71" s="547"/>
      <c r="G71" s="607" t="s">
        <v>779</v>
      </c>
      <c r="H71" s="551">
        <f t="shared" si="4"/>
        <v>5</v>
      </c>
      <c r="I71" s="553">
        <f t="shared" si="5"/>
        <v>1</v>
      </c>
      <c r="J71" s="549" t="s">
        <v>815</v>
      </c>
    </row>
    <row r="72" spans="1:10">
      <c r="A72" s="566">
        <v>43800</v>
      </c>
      <c r="B72" s="544" t="s">
        <v>124</v>
      </c>
      <c r="C72" s="544" t="s">
        <v>530</v>
      </c>
      <c r="D72" s="545">
        <v>10072452</v>
      </c>
      <c r="E72" s="547"/>
      <c r="F72" s="547"/>
      <c r="G72" s="607" t="s">
        <v>779</v>
      </c>
      <c r="H72" s="551">
        <f t="shared" si="4"/>
        <v>5</v>
      </c>
      <c r="I72" s="553">
        <f t="shared" si="5"/>
        <v>1</v>
      </c>
      <c r="J72" s="549" t="s">
        <v>816</v>
      </c>
    </row>
    <row r="73" spans="1:10">
      <c r="A73" s="566">
        <v>43800</v>
      </c>
      <c r="B73" s="544" t="s">
        <v>124</v>
      </c>
      <c r="C73" s="544" t="s">
        <v>817</v>
      </c>
      <c r="D73" s="545">
        <v>10072207</v>
      </c>
      <c r="E73" s="547"/>
      <c r="F73" s="547"/>
      <c r="G73" s="607" t="s">
        <v>779</v>
      </c>
      <c r="H73" s="551">
        <f t="shared" si="4"/>
        <v>5</v>
      </c>
      <c r="I73" s="553">
        <f t="shared" si="5"/>
        <v>1</v>
      </c>
      <c r="J73" s="549" t="s">
        <v>818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P44"/>
  <sheetViews>
    <sheetView showGridLines="0" zoomScale="85" zoomScaleNormal="85" workbookViewId="0"/>
  </sheetViews>
  <sheetFormatPr defaultRowHeight="15"/>
  <cols>
    <col min="1" max="1" width="19" style="42" customWidth="1"/>
    <col min="2" max="2" width="25.85546875" style="408" bestFit="1" customWidth="1"/>
    <col min="3" max="3" width="14.7109375" style="2" hidden="1" customWidth="1"/>
    <col min="4" max="4" width="20.85546875" style="2" hidden="1" customWidth="1"/>
    <col min="5" max="5" width="15.85546875" style="16" hidden="1" customWidth="1"/>
    <col min="6" max="6" width="19.140625" style="2" hidden="1" customWidth="1"/>
    <col min="7" max="7" width="19.5703125" style="47" bestFit="1" customWidth="1"/>
    <col min="8" max="8" width="31.7109375" style="2" hidden="1" customWidth="1"/>
    <col min="9" max="9" width="39.85546875" style="16" hidden="1" customWidth="1"/>
    <col min="10" max="10" width="25.28515625" style="153" bestFit="1" customWidth="1"/>
    <col min="11" max="13" width="9.140625" style="2"/>
    <col min="14" max="14" width="12.5703125" style="2" hidden="1" customWidth="1"/>
    <col min="15" max="15" width="25.5703125" style="2" hidden="1" customWidth="1"/>
    <col min="16" max="16" width="24.5703125" style="153" hidden="1" customWidth="1"/>
    <col min="17" max="17" width="9.140625" style="2" customWidth="1"/>
    <col min="18" max="16384" width="9.140625" style="2"/>
  </cols>
  <sheetData>
    <row r="1" spans="1:16">
      <c r="A1" s="539">
        <v>10071256</v>
      </c>
      <c r="B1" s="539" t="s">
        <v>227</v>
      </c>
      <c r="C1" s="540">
        <f>SUMIFS(C:C,$J:$J,$B1)</f>
        <v>0</v>
      </c>
      <c r="D1" s="540"/>
      <c r="E1" s="540"/>
      <c r="F1" s="540">
        <f>SUMIFS(F:F,$J:$J,$B1)</f>
        <v>0</v>
      </c>
      <c r="G1" s="541">
        <v>0.99408284023668636</v>
      </c>
    </row>
    <row r="2" spans="1:16">
      <c r="A2" s="539">
        <v>10071245</v>
      </c>
      <c r="B2" s="539" t="s">
        <v>124</v>
      </c>
      <c r="C2" s="540">
        <f>SUMIFS(C:C,$J:$J,$B2)</f>
        <v>0</v>
      </c>
      <c r="D2" s="540"/>
      <c r="E2" s="540"/>
      <c r="F2" s="540">
        <f>SUMIFS(F:F,$J:$J,$B2)</f>
        <v>0</v>
      </c>
      <c r="G2" s="541">
        <v>0.99330655957161984</v>
      </c>
    </row>
    <row r="3" spans="1:16">
      <c r="B3" s="2"/>
    </row>
    <row r="4" spans="1:16">
      <c r="B4" s="2"/>
    </row>
    <row r="5" spans="1:16">
      <c r="A5" s="542">
        <v>10071937</v>
      </c>
      <c r="B5" s="542" t="s">
        <v>58</v>
      </c>
      <c r="C5" s="542">
        <f>SUM(C13:C1048576)</f>
        <v>0</v>
      </c>
      <c r="D5" s="542"/>
      <c r="E5" s="542"/>
      <c r="F5" s="542">
        <f>SUM(F13:F1048576)</f>
        <v>0</v>
      </c>
      <c r="G5" s="543">
        <v>0.99371859296482412</v>
      </c>
      <c r="N5" s="48">
        <v>10071280</v>
      </c>
    </row>
    <row r="6" spans="1:16">
      <c r="B6" s="2"/>
    </row>
    <row r="7" spans="1:16">
      <c r="B7" s="83" t="s">
        <v>819</v>
      </c>
      <c r="C7" s="45"/>
      <c r="D7" s="43"/>
      <c r="E7" s="44"/>
      <c r="F7" s="43"/>
      <c r="G7" s="46"/>
      <c r="H7" s="43"/>
      <c r="I7" s="44"/>
      <c r="N7" s="2" t="s">
        <v>41</v>
      </c>
      <c r="O7" s="2" t="s">
        <v>42</v>
      </c>
    </row>
    <row r="8" spans="1:16">
      <c r="B8" s="45" t="s">
        <v>820</v>
      </c>
      <c r="C8" s="45" t="s">
        <v>821</v>
      </c>
      <c r="D8" s="43"/>
      <c r="E8" s="44"/>
      <c r="F8" s="43"/>
      <c r="G8" s="46"/>
      <c r="H8" s="43"/>
      <c r="I8" s="44"/>
      <c r="N8" s="2">
        <v>10071348</v>
      </c>
      <c r="O8" s="2" t="s">
        <v>822</v>
      </c>
      <c r="P8" s="153" t="s">
        <v>823</v>
      </c>
    </row>
    <row r="9" spans="1:16">
      <c r="B9" s="45" t="s">
        <v>824</v>
      </c>
      <c r="C9" s="45" t="s">
        <v>825</v>
      </c>
      <c r="D9" s="43"/>
      <c r="E9" s="44"/>
      <c r="F9" s="43"/>
      <c r="G9" s="46"/>
      <c r="H9" s="43"/>
      <c r="I9" s="44"/>
      <c r="N9" s="2">
        <v>10071273</v>
      </c>
      <c r="O9" s="2" t="s">
        <v>826</v>
      </c>
      <c r="P9" s="153" t="s">
        <v>827</v>
      </c>
    </row>
    <row r="10" spans="1:16">
      <c r="B10" s="45" t="s">
        <v>828</v>
      </c>
      <c r="C10" s="43" t="s">
        <v>825</v>
      </c>
      <c r="D10" s="43"/>
      <c r="E10" s="44"/>
      <c r="F10" s="43"/>
      <c r="G10" s="46"/>
      <c r="H10" s="43"/>
      <c r="I10" s="44"/>
      <c r="N10" s="2">
        <v>10071182</v>
      </c>
      <c r="O10" s="2" t="s">
        <v>829</v>
      </c>
      <c r="P10" s="153" t="s">
        <v>830</v>
      </c>
    </row>
    <row r="11" spans="1:16">
      <c r="B11" s="2"/>
      <c r="N11" s="2">
        <v>10071217</v>
      </c>
      <c r="O11" s="2" t="s">
        <v>831</v>
      </c>
      <c r="P11" s="153" t="s">
        <v>832</v>
      </c>
    </row>
    <row r="12" spans="1:16">
      <c r="A12" s="535"/>
      <c r="B12" s="536" t="s">
        <v>42</v>
      </c>
      <c r="C12" s="665" t="s">
        <v>833</v>
      </c>
      <c r="D12" s="665"/>
      <c r="E12" s="476"/>
      <c r="F12" s="665" t="s">
        <v>834</v>
      </c>
      <c r="G12" s="506" t="s">
        <v>835</v>
      </c>
      <c r="H12" s="665"/>
      <c r="I12" s="476"/>
      <c r="J12" s="537"/>
      <c r="N12" s="2">
        <v>10071278</v>
      </c>
      <c r="O12" s="2" t="s">
        <v>451</v>
      </c>
      <c r="P12" s="153" t="s">
        <v>836</v>
      </c>
    </row>
    <row r="13" spans="1:16">
      <c r="A13" s="535">
        <f t="shared" ref="A13:A37" si="0">IFERROR(INDEX($N:$N,MATCH($B13,$P:$P,0)),"-")</f>
        <v>10071428</v>
      </c>
      <c r="B13" s="511" t="s">
        <v>837</v>
      </c>
      <c r="C13" s="664"/>
      <c r="D13" s="664"/>
      <c r="E13" s="31"/>
      <c r="F13" s="664"/>
      <c r="G13" s="488">
        <v>1</v>
      </c>
      <c r="H13" s="664"/>
      <c r="I13" s="31"/>
      <c r="J13" s="538" t="str">
        <f>VLOOKUP(A13,RESOURCES!$C:$F,4,0)</f>
        <v>ARPON, Katherine</v>
      </c>
      <c r="N13" s="2">
        <v>10071356</v>
      </c>
      <c r="O13" s="2" t="s">
        <v>454</v>
      </c>
      <c r="P13" s="153" t="s">
        <v>838</v>
      </c>
    </row>
    <row r="14" spans="1:16">
      <c r="A14" s="535">
        <f t="shared" si="0"/>
        <v>10071151</v>
      </c>
      <c r="B14" s="511" t="s">
        <v>839</v>
      </c>
      <c r="C14" s="664"/>
      <c r="D14" s="664"/>
      <c r="E14" s="31"/>
      <c r="F14" s="664"/>
      <c r="G14" s="488">
        <v>1</v>
      </c>
      <c r="H14" s="664"/>
      <c r="I14" s="31"/>
      <c r="J14" s="538" t="str">
        <f>VLOOKUP(A14,RESOURCES!$C:$F,4,0)</f>
        <v>BARRIOS, Renell</v>
      </c>
      <c r="N14" s="2">
        <v>10071034</v>
      </c>
      <c r="O14" s="2" t="s">
        <v>840</v>
      </c>
      <c r="P14" s="153" t="s">
        <v>841</v>
      </c>
    </row>
    <row r="15" spans="1:16">
      <c r="A15" s="535">
        <f t="shared" si="0"/>
        <v>10072032</v>
      </c>
      <c r="B15" s="511" t="s">
        <v>842</v>
      </c>
      <c r="C15" s="664"/>
      <c r="D15" s="664"/>
      <c r="E15" s="31"/>
      <c r="F15" s="664"/>
      <c r="G15" s="488">
        <v>0.98</v>
      </c>
      <c r="H15" s="664"/>
      <c r="I15" s="31"/>
      <c r="J15" s="538" t="str">
        <f>VLOOKUP(A15,RESOURCES!$C:$F,4,0)</f>
        <v>BARRIOS, Renell</v>
      </c>
      <c r="N15" s="2">
        <v>10071345</v>
      </c>
      <c r="O15" s="2" t="s">
        <v>843</v>
      </c>
      <c r="P15" s="153" t="s">
        <v>844</v>
      </c>
    </row>
    <row r="16" spans="1:16">
      <c r="A16" s="535">
        <f t="shared" si="0"/>
        <v>10071356</v>
      </c>
      <c r="B16" s="511" t="s">
        <v>838</v>
      </c>
      <c r="C16" s="664"/>
      <c r="D16" s="664"/>
      <c r="E16" s="31"/>
      <c r="F16" s="664"/>
      <c r="G16" s="488">
        <v>1</v>
      </c>
      <c r="H16" s="664"/>
      <c r="I16" s="31"/>
      <c r="J16" s="538" t="str">
        <f>VLOOKUP(A16,RESOURCES!$C:$F,4,0)</f>
        <v>BARRIOS, Renell</v>
      </c>
      <c r="N16" s="2">
        <v>10071198</v>
      </c>
      <c r="O16" s="2" t="s">
        <v>463</v>
      </c>
      <c r="P16" s="153" t="s">
        <v>845</v>
      </c>
    </row>
    <row r="17" spans="1:16">
      <c r="A17" s="535">
        <f t="shared" si="0"/>
        <v>10071946</v>
      </c>
      <c r="B17" s="511" t="s">
        <v>846</v>
      </c>
      <c r="C17" s="664"/>
      <c r="D17" s="664"/>
      <c r="E17" s="31"/>
      <c r="F17" s="664"/>
      <c r="G17" s="488">
        <v>1</v>
      </c>
      <c r="H17" s="664"/>
      <c r="I17" s="31"/>
      <c r="J17" s="538" t="str">
        <f>VLOOKUP(A17,RESOURCES!$C:$F,4,0)</f>
        <v>BARRIOS, Renell</v>
      </c>
      <c r="N17" s="2">
        <v>10071411</v>
      </c>
      <c r="O17" s="2" t="s">
        <v>466</v>
      </c>
      <c r="P17" s="153" t="s">
        <v>847</v>
      </c>
    </row>
    <row r="18" spans="1:16">
      <c r="A18" s="535">
        <f t="shared" si="0"/>
        <v>10071411</v>
      </c>
      <c r="B18" s="511" t="s">
        <v>847</v>
      </c>
      <c r="C18" s="664"/>
      <c r="D18" s="664"/>
      <c r="E18" s="31"/>
      <c r="F18" s="664"/>
      <c r="G18" s="488">
        <v>0.98412698412698407</v>
      </c>
      <c r="H18" s="664"/>
      <c r="I18" s="31"/>
      <c r="J18" s="538" t="str">
        <f>VLOOKUP(A18,RESOURCES!$C:$F,4,0)</f>
        <v>BARRIOS, Renell</v>
      </c>
      <c r="N18" s="2">
        <v>10071199</v>
      </c>
      <c r="O18" s="2" t="s">
        <v>481</v>
      </c>
      <c r="P18" s="153" t="s">
        <v>848</v>
      </c>
    </row>
    <row r="19" spans="1:16">
      <c r="A19" s="535">
        <f t="shared" si="0"/>
        <v>10072224</v>
      </c>
      <c r="B19" s="511" t="s">
        <v>849</v>
      </c>
      <c r="C19" s="664"/>
      <c r="D19" s="664"/>
      <c r="E19" s="31"/>
      <c r="F19" s="664"/>
      <c r="G19" s="488">
        <v>1</v>
      </c>
      <c r="H19" s="664"/>
      <c r="I19" s="31"/>
      <c r="J19" s="538" t="str">
        <f>VLOOKUP(A19,RESOURCES!$C:$F,4,0)</f>
        <v>BARRIOS, Renell</v>
      </c>
      <c r="N19" s="2">
        <v>10071303</v>
      </c>
      <c r="O19" s="2" t="s">
        <v>850</v>
      </c>
      <c r="P19" s="153" t="s">
        <v>851</v>
      </c>
    </row>
    <row r="20" spans="1:16">
      <c r="A20" s="535">
        <f t="shared" si="0"/>
        <v>10071600</v>
      </c>
      <c r="B20" s="511" t="s">
        <v>852</v>
      </c>
      <c r="C20" s="664"/>
      <c r="D20" s="664"/>
      <c r="E20" s="31"/>
      <c r="F20" s="664"/>
      <c r="G20" s="488">
        <v>1</v>
      </c>
      <c r="H20" s="664"/>
      <c r="I20" s="31"/>
      <c r="J20" s="538" t="str">
        <f>VLOOKUP(A20,RESOURCES!$C:$F,4,0)</f>
        <v>BARRIOS, Renell</v>
      </c>
      <c r="N20" s="2">
        <v>10071323</v>
      </c>
      <c r="O20" s="2" t="s">
        <v>853</v>
      </c>
      <c r="P20" s="153" t="s">
        <v>854</v>
      </c>
    </row>
    <row r="21" spans="1:16">
      <c r="A21" s="535">
        <f t="shared" si="0"/>
        <v>10072439</v>
      </c>
      <c r="B21" s="511" t="s">
        <v>855</v>
      </c>
      <c r="C21" s="664"/>
      <c r="D21" s="664"/>
      <c r="E21" s="31"/>
      <c r="F21" s="664"/>
      <c r="G21" s="488">
        <v>0.98360655737704916</v>
      </c>
      <c r="H21" s="664"/>
      <c r="I21" s="31"/>
      <c r="J21" s="538" t="str">
        <f>VLOOKUP(A21,RESOURCES!$C:$F,4,0)</f>
        <v>BARRIOS, Renell</v>
      </c>
      <c r="N21" s="2">
        <v>10071178</v>
      </c>
      <c r="O21" s="2" t="s">
        <v>531</v>
      </c>
      <c r="P21" s="153" t="s">
        <v>856</v>
      </c>
    </row>
    <row r="22" spans="1:16">
      <c r="A22" s="535">
        <f t="shared" si="0"/>
        <v>10071908</v>
      </c>
      <c r="B22" s="511" t="s">
        <v>857</v>
      </c>
      <c r="C22" s="664"/>
      <c r="D22" s="664"/>
      <c r="E22" s="31"/>
      <c r="F22" s="664"/>
      <c r="G22" s="488">
        <v>1</v>
      </c>
      <c r="H22" s="664"/>
      <c r="I22" s="31"/>
      <c r="J22" s="538" t="str">
        <f>VLOOKUP(A22,RESOURCES!$C:$F,4,0)</f>
        <v>BARRIOS, Renell</v>
      </c>
      <c r="N22" s="2">
        <v>10071439</v>
      </c>
      <c r="O22" s="2" t="s">
        <v>533</v>
      </c>
      <c r="P22" s="153" t="s">
        <v>858</v>
      </c>
    </row>
    <row r="23" spans="1:16">
      <c r="A23" s="535">
        <f t="shared" si="0"/>
        <v>10072220</v>
      </c>
      <c r="B23" s="511" t="s">
        <v>859</v>
      </c>
      <c r="C23" s="664"/>
      <c r="D23" s="664"/>
      <c r="E23" s="31"/>
      <c r="F23" s="664"/>
      <c r="G23" s="488">
        <v>1</v>
      </c>
      <c r="H23" s="664"/>
      <c r="I23" s="31"/>
      <c r="J23" s="538" t="str">
        <f>VLOOKUP(A23,RESOURCES!$C:$F,4,0)</f>
        <v>BARRIOS, Renell</v>
      </c>
      <c r="N23" s="2">
        <v>10071151</v>
      </c>
      <c r="O23" s="2" t="s">
        <v>535</v>
      </c>
      <c r="P23" s="153" t="s">
        <v>839</v>
      </c>
    </row>
    <row r="24" spans="1:16">
      <c r="A24" s="535">
        <f t="shared" si="0"/>
        <v>10071342</v>
      </c>
      <c r="B24" s="511" t="s">
        <v>860</v>
      </c>
      <c r="C24" s="664"/>
      <c r="D24" s="664"/>
      <c r="E24" s="31"/>
      <c r="F24" s="664"/>
      <c r="G24" s="488">
        <v>0.98484848484848486</v>
      </c>
      <c r="H24" s="664"/>
      <c r="I24" s="31"/>
      <c r="J24" s="538" t="str">
        <f>VLOOKUP(A24,RESOURCES!$C:$F,4,0)</f>
        <v>BARRIOS, Renell</v>
      </c>
      <c r="N24" s="2">
        <v>10071428</v>
      </c>
      <c r="O24" s="2" t="s">
        <v>539</v>
      </c>
      <c r="P24" s="153" t="s">
        <v>837</v>
      </c>
    </row>
    <row r="25" spans="1:16">
      <c r="A25" s="535">
        <f t="shared" si="0"/>
        <v>10071729</v>
      </c>
      <c r="B25" s="511" t="s">
        <v>861</v>
      </c>
      <c r="C25" s="664"/>
      <c r="D25" s="664"/>
      <c r="E25" s="31"/>
      <c r="F25" s="664"/>
      <c r="G25" s="488">
        <v>0.98958333333333337</v>
      </c>
      <c r="H25" s="664"/>
      <c r="I25" s="31"/>
      <c r="J25" s="538" t="str">
        <f>VLOOKUP(A25,RESOURCES!$C:$F,4,0)</f>
        <v>BARRIOS, Renell</v>
      </c>
      <c r="N25" s="2">
        <v>10071314</v>
      </c>
      <c r="O25" s="2" t="s">
        <v>556</v>
      </c>
      <c r="P25" s="153" t="s">
        <v>862</v>
      </c>
    </row>
    <row r="26" spans="1:16">
      <c r="A26" s="535">
        <f t="shared" si="0"/>
        <v>10071178</v>
      </c>
      <c r="B26" s="511" t="s">
        <v>856</v>
      </c>
      <c r="C26" s="664"/>
      <c r="D26" s="664"/>
      <c r="E26" s="31"/>
      <c r="F26" s="664"/>
      <c r="G26" s="488">
        <v>0.95890410958904104</v>
      </c>
      <c r="H26" s="664"/>
      <c r="I26" s="31"/>
      <c r="J26" s="538" t="str">
        <f>VLOOKUP(A26,RESOURCES!$C:$F,4,0)</f>
        <v>REGENCIA, Reymark</v>
      </c>
      <c r="N26" s="2">
        <v>10071357</v>
      </c>
      <c r="O26" s="2" t="s">
        <v>863</v>
      </c>
      <c r="P26" s="153" t="s">
        <v>864</v>
      </c>
    </row>
    <row r="27" spans="1:16">
      <c r="A27" s="535">
        <f t="shared" si="0"/>
        <v>10071278</v>
      </c>
      <c r="B27" s="511" t="s">
        <v>836</v>
      </c>
      <c r="C27" s="664"/>
      <c r="D27" s="664"/>
      <c r="E27" s="31"/>
      <c r="F27" s="664"/>
      <c r="G27" s="488">
        <v>1</v>
      </c>
      <c r="H27" s="664"/>
      <c r="I27" s="31"/>
      <c r="J27" s="538" t="str">
        <f>VLOOKUP(A27,RESOURCES!$C:$F,4,0)</f>
        <v>REGENCIA, Reymark</v>
      </c>
      <c r="N27" s="2">
        <v>10072156</v>
      </c>
      <c r="O27" s="2" t="s">
        <v>421</v>
      </c>
      <c r="P27" s="153" t="s">
        <v>865</v>
      </c>
    </row>
    <row r="28" spans="1:16">
      <c r="A28" s="535">
        <f t="shared" si="0"/>
        <v>10072301</v>
      </c>
      <c r="B28" s="511" t="s">
        <v>866</v>
      </c>
      <c r="C28" s="664"/>
      <c r="D28" s="664"/>
      <c r="E28" s="31"/>
      <c r="F28" s="664"/>
      <c r="G28" s="488">
        <v>0.97872340425531912</v>
      </c>
      <c r="H28" s="664"/>
      <c r="I28" s="31"/>
      <c r="J28" s="538" t="str">
        <f>VLOOKUP(A28,RESOURCES!$C:$F,4,0)</f>
        <v>REGENCIA, Reymark</v>
      </c>
      <c r="N28" s="2">
        <v>10072301</v>
      </c>
      <c r="O28" s="2" t="s">
        <v>424</v>
      </c>
      <c r="P28" s="153" t="s">
        <v>866</v>
      </c>
    </row>
    <row r="29" spans="1:16">
      <c r="A29" s="535">
        <f t="shared" si="0"/>
        <v>10071198</v>
      </c>
      <c r="B29" s="511" t="s">
        <v>845</v>
      </c>
      <c r="C29" s="664"/>
      <c r="D29" s="664"/>
      <c r="E29" s="31"/>
      <c r="F29" s="664"/>
      <c r="G29" s="488">
        <v>1</v>
      </c>
      <c r="H29" s="664"/>
      <c r="I29" s="31"/>
      <c r="J29" s="538" t="str">
        <f>VLOOKUP(A29,RESOURCES!$C:$F,4,0)</f>
        <v>REGENCIA, Reymark</v>
      </c>
      <c r="N29" s="2">
        <v>10072512</v>
      </c>
      <c r="O29" s="2" t="s">
        <v>434</v>
      </c>
      <c r="P29" s="153" t="s">
        <v>867</v>
      </c>
    </row>
    <row r="30" spans="1:16">
      <c r="A30" s="535">
        <f t="shared" si="0"/>
        <v>10072452</v>
      </c>
      <c r="B30" s="511" t="s">
        <v>868</v>
      </c>
      <c r="C30" s="664"/>
      <c r="D30" s="664"/>
      <c r="E30" s="31"/>
      <c r="F30" s="664"/>
      <c r="G30" s="488">
        <v>1</v>
      </c>
      <c r="H30" s="664"/>
      <c r="I30" s="31"/>
      <c r="J30" s="538" t="str">
        <f>VLOOKUP(A30,RESOURCES!$C:$F,4,0)</f>
        <v>REGENCIA, Reymark</v>
      </c>
      <c r="N30" s="2">
        <v>10072224</v>
      </c>
      <c r="O30" s="2" t="s">
        <v>440</v>
      </c>
      <c r="P30" s="153" t="s">
        <v>849</v>
      </c>
    </row>
    <row r="31" spans="1:16">
      <c r="A31" s="535">
        <f t="shared" si="0"/>
        <v>10072156</v>
      </c>
      <c r="B31" s="511" t="s">
        <v>865</v>
      </c>
      <c r="C31" s="664"/>
      <c r="D31" s="664"/>
      <c r="E31" s="31"/>
      <c r="F31" s="664"/>
      <c r="G31" s="488">
        <v>1</v>
      </c>
      <c r="H31" s="664"/>
      <c r="I31" s="31"/>
      <c r="J31" s="538" t="str">
        <f>VLOOKUP(A31,RESOURCES!$C:$F,4,0)</f>
        <v>REGENCIA, Reymark</v>
      </c>
      <c r="N31" s="2">
        <v>10072207</v>
      </c>
      <c r="O31" s="2" t="s">
        <v>461</v>
      </c>
      <c r="P31" s="153" t="s">
        <v>869</v>
      </c>
    </row>
    <row r="32" spans="1:16">
      <c r="A32" s="535">
        <f t="shared" si="0"/>
        <v>10072040</v>
      </c>
      <c r="B32" s="511" t="s">
        <v>870</v>
      </c>
      <c r="C32" s="664"/>
      <c r="D32" s="664"/>
      <c r="E32" s="31"/>
      <c r="F32" s="664"/>
      <c r="G32" s="488">
        <v>0.96666666666666667</v>
      </c>
      <c r="H32" s="664"/>
      <c r="I32" s="31"/>
      <c r="J32" s="538" t="str">
        <f>VLOOKUP(A32,RESOURCES!$C:$F,4,0)</f>
        <v>REGENCIA, Reymark</v>
      </c>
      <c r="N32" s="2">
        <v>10072452</v>
      </c>
      <c r="O32" s="2" t="s">
        <v>530</v>
      </c>
      <c r="P32" s="153" t="s">
        <v>868</v>
      </c>
    </row>
    <row r="33" spans="1:16">
      <c r="A33" s="535">
        <f t="shared" si="0"/>
        <v>10071199</v>
      </c>
      <c r="B33" s="511" t="s">
        <v>848</v>
      </c>
      <c r="C33" s="664"/>
      <c r="D33" s="664"/>
      <c r="E33" s="31"/>
      <c r="F33" s="664"/>
      <c r="G33" s="488">
        <v>1</v>
      </c>
      <c r="H33" s="664"/>
      <c r="I33" s="31"/>
      <c r="J33" s="538" t="str">
        <f>VLOOKUP(A33,RESOURCES!$C:$F,4,0)</f>
        <v>REGENCIA, Reymark</v>
      </c>
      <c r="N33" s="2">
        <v>10072439</v>
      </c>
      <c r="O33" s="2" t="s">
        <v>545</v>
      </c>
      <c r="P33" s="153" t="s">
        <v>855</v>
      </c>
    </row>
    <row r="34" spans="1:16">
      <c r="A34" s="535">
        <f t="shared" si="0"/>
        <v>10071904</v>
      </c>
      <c r="B34" s="511" t="s">
        <v>871</v>
      </c>
      <c r="C34" s="664"/>
      <c r="D34" s="664"/>
      <c r="E34" s="31"/>
      <c r="F34" s="664"/>
      <c r="G34" s="488">
        <v>1</v>
      </c>
      <c r="H34" s="664"/>
      <c r="I34" s="31"/>
      <c r="J34" s="538" t="str">
        <f>VLOOKUP(A34,RESOURCES!$C:$F,4,0)</f>
        <v>REGENCIA, Reymark</v>
      </c>
      <c r="N34" s="2">
        <v>10072032</v>
      </c>
      <c r="O34" s="2" t="s">
        <v>456</v>
      </c>
      <c r="P34" s="153" t="s">
        <v>842</v>
      </c>
    </row>
    <row r="35" spans="1:16">
      <c r="A35" s="535">
        <f t="shared" si="0"/>
        <v>10071314</v>
      </c>
      <c r="B35" s="511" t="s">
        <v>862</v>
      </c>
      <c r="C35" s="664"/>
      <c r="D35" s="664"/>
      <c r="E35" s="31"/>
      <c r="F35" s="664"/>
      <c r="G35" s="488">
        <v>1</v>
      </c>
      <c r="H35" s="664"/>
      <c r="I35" s="31"/>
      <c r="J35" s="538" t="str">
        <f>VLOOKUP(A35,RESOURCES!$C:$F,4,0)</f>
        <v>REGENCIA, Reymark</v>
      </c>
      <c r="N35" s="2">
        <v>10071946</v>
      </c>
      <c r="O35" s="2" t="s">
        <v>516</v>
      </c>
      <c r="P35" s="153" t="s">
        <v>846</v>
      </c>
    </row>
    <row r="36" spans="1:16">
      <c r="A36" s="535">
        <f t="shared" si="0"/>
        <v>10072207</v>
      </c>
      <c r="B36" s="511" t="s">
        <v>869</v>
      </c>
      <c r="C36" s="664"/>
      <c r="D36" s="664"/>
      <c r="E36" s="31"/>
      <c r="F36" s="664"/>
      <c r="G36" s="488">
        <v>1</v>
      </c>
      <c r="H36" s="664"/>
      <c r="I36" s="31"/>
      <c r="J36" s="538" t="str">
        <f>VLOOKUP(A36,RESOURCES!$C:$F,4,0)</f>
        <v>REGENCIA, Reymark</v>
      </c>
      <c r="N36" s="2">
        <v>10072008</v>
      </c>
      <c r="O36" s="2" t="s">
        <v>872</v>
      </c>
      <c r="P36" s="153" t="s">
        <v>873</v>
      </c>
    </row>
    <row r="37" spans="1:16">
      <c r="A37" s="535">
        <f t="shared" si="0"/>
        <v>10071439</v>
      </c>
      <c r="B37" s="511" t="s">
        <v>858</v>
      </c>
      <c r="C37" s="664"/>
      <c r="D37" s="664"/>
      <c r="E37" s="31"/>
      <c r="F37" s="664"/>
      <c r="G37" s="488">
        <v>1</v>
      </c>
      <c r="H37" s="664"/>
      <c r="I37" s="31"/>
      <c r="J37" s="538" t="str">
        <f>VLOOKUP(A37,RESOURCES!$C:$F,4,0)</f>
        <v>REGENCIA, Reymark</v>
      </c>
      <c r="N37" s="2">
        <v>10072040</v>
      </c>
      <c r="O37" s="2" t="s">
        <v>474</v>
      </c>
      <c r="P37" s="153" t="s">
        <v>870</v>
      </c>
    </row>
    <row r="38" spans="1:16">
      <c r="A38" s="535"/>
      <c r="B38" s="511"/>
      <c r="C38" s="664"/>
      <c r="D38" s="664"/>
      <c r="E38" s="31"/>
      <c r="F38" s="664"/>
      <c r="G38" s="488"/>
      <c r="H38" s="664"/>
      <c r="I38" s="31"/>
      <c r="J38" s="538"/>
      <c r="N38" s="2">
        <v>10071729</v>
      </c>
      <c r="O38" s="2" t="s">
        <v>524</v>
      </c>
      <c r="P38" s="153" t="s">
        <v>861</v>
      </c>
    </row>
    <row r="39" spans="1:16">
      <c r="A39" s="535"/>
      <c r="B39" s="511"/>
      <c r="C39" s="664"/>
      <c r="D39" s="664"/>
      <c r="E39" s="31"/>
      <c r="F39" s="664"/>
      <c r="G39" s="488"/>
      <c r="H39" s="664"/>
      <c r="I39" s="31"/>
      <c r="J39" s="538"/>
      <c r="N39" s="2">
        <v>10071908</v>
      </c>
      <c r="O39" s="2" t="s">
        <v>465</v>
      </c>
      <c r="P39" s="153" t="s">
        <v>857</v>
      </c>
    </row>
    <row r="40" spans="1:16">
      <c r="N40" s="2">
        <v>10071600</v>
      </c>
      <c r="O40" s="2" t="s">
        <v>522</v>
      </c>
      <c r="P40" s="153" t="s">
        <v>852</v>
      </c>
    </row>
    <row r="41" spans="1:16">
      <c r="N41" s="2">
        <v>10072220</v>
      </c>
      <c r="O41" s="2" t="s">
        <v>498</v>
      </c>
      <c r="P41" s="153" t="s">
        <v>859</v>
      </c>
    </row>
    <row r="42" spans="1:16">
      <c r="N42" s="2">
        <v>10072179</v>
      </c>
      <c r="O42" s="2" t="s">
        <v>435</v>
      </c>
      <c r="P42" s="153" t="s">
        <v>874</v>
      </c>
    </row>
    <row r="43" spans="1:16">
      <c r="N43" s="2">
        <v>10071904</v>
      </c>
      <c r="O43" s="2" t="s">
        <v>438</v>
      </c>
      <c r="P43" s="153" t="s">
        <v>871</v>
      </c>
    </row>
    <row r="44" spans="1:16">
      <c r="N44" s="2">
        <v>10071342</v>
      </c>
      <c r="O44" s="2" t="s">
        <v>510</v>
      </c>
      <c r="P44" s="153" t="s">
        <v>860</v>
      </c>
    </row>
  </sheetData>
  <conditionalFormatting sqref="N1:N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00B0F0"/>
  </sheetPr>
  <dimension ref="A1:S177"/>
  <sheetViews>
    <sheetView showGridLines="0" zoomScale="85" zoomScaleNormal="85" workbookViewId="0"/>
  </sheetViews>
  <sheetFormatPr defaultRowHeight="15"/>
  <cols>
    <col min="1" max="1" width="12.7109375" style="373" bestFit="1" customWidth="1"/>
    <col min="2" max="2" width="24.5703125" style="373" bestFit="1" customWidth="1"/>
    <col min="3" max="3" width="22" style="373" bestFit="1" customWidth="1"/>
    <col min="4" max="4" width="22.7109375" style="373" bestFit="1" customWidth="1"/>
    <col min="5" max="5" width="13.5703125" style="373" bestFit="1" customWidth="1"/>
    <col min="6" max="6" width="17.5703125" style="373" bestFit="1" customWidth="1"/>
    <col min="7" max="7" width="16.28515625" style="373" bestFit="1" customWidth="1"/>
    <col min="8" max="8" width="13.5703125" style="375" bestFit="1" customWidth="1"/>
    <col min="9" max="9" width="9.140625" style="373"/>
    <col min="10" max="10" width="18.85546875" style="373" bestFit="1" customWidth="1"/>
    <col min="11" max="11" width="15.140625" style="373" bestFit="1" customWidth="1"/>
    <col min="12" max="12" width="13.85546875" style="373" bestFit="1" customWidth="1"/>
    <col min="13" max="13" width="12.140625" style="373" bestFit="1" customWidth="1"/>
    <col min="14" max="17" width="9.140625" style="373"/>
    <col min="18" max="18" width="11.5703125" style="373" bestFit="1" customWidth="1"/>
    <col min="19" max="19" width="29.140625" style="373" customWidth="1"/>
    <col min="20" max="16384" width="9.140625" style="373"/>
  </cols>
  <sheetData>
    <row r="1" spans="1:19">
      <c r="A1" s="396" t="s">
        <v>875</v>
      </c>
      <c r="B1" s="397">
        <v>43800</v>
      </c>
      <c r="C1"/>
      <c r="D1" s="789" t="s">
        <v>599</v>
      </c>
      <c r="E1" s="785" t="s">
        <v>876</v>
      </c>
      <c r="F1" s="785" t="s">
        <v>877</v>
      </c>
      <c r="G1" s="785" t="s">
        <v>878</v>
      </c>
      <c r="H1" s="786" t="s">
        <v>879</v>
      </c>
      <c r="J1" s="202" t="s">
        <v>599</v>
      </c>
      <c r="K1" s="202" t="s">
        <v>876</v>
      </c>
      <c r="L1" s="202" t="s">
        <v>877</v>
      </c>
      <c r="M1" s="202" t="s">
        <v>878</v>
      </c>
      <c r="R1" s="748" t="s">
        <v>880</v>
      </c>
      <c r="S1" s="749"/>
    </row>
    <row r="2" spans="1:19">
      <c r="A2" s="396" t="s">
        <v>881</v>
      </c>
      <c r="B2" s="397">
        <v>43830</v>
      </c>
      <c r="C2"/>
      <c r="D2" s="789"/>
      <c r="E2" s="785"/>
      <c r="F2" s="785"/>
      <c r="G2" s="785"/>
      <c r="H2" s="786"/>
      <c r="J2" s="51" t="s">
        <v>227</v>
      </c>
      <c r="K2" s="51">
        <f>SUMIFS(E:E,$D:$D,$J2)</f>
        <v>0</v>
      </c>
      <c r="L2" s="51">
        <f>SUMIFS(F:F,$D:$D,$J2)</f>
        <v>51</v>
      </c>
      <c r="M2" s="242">
        <f>IFERROR(K2/L2,"-")</f>
        <v>0</v>
      </c>
      <c r="R2" s="25" t="s">
        <v>287</v>
      </c>
      <c r="S2" s="25" t="s">
        <v>288</v>
      </c>
    </row>
    <row r="3" spans="1:19">
      <c r="A3" s="398"/>
      <c r="B3" s="398"/>
      <c r="C3"/>
      <c r="D3" s="789"/>
      <c r="E3" s="785"/>
      <c r="F3" s="785"/>
      <c r="G3" s="785"/>
      <c r="H3" s="786"/>
      <c r="J3" s="51" t="s">
        <v>124</v>
      </c>
      <c r="K3" s="51">
        <f>SUMIFS(E:E,$D:$D,$J3)</f>
        <v>0</v>
      </c>
      <c r="L3" s="51">
        <f>SUMIFS(F:F,$D:$D,$J3)</f>
        <v>55</v>
      </c>
      <c r="M3" s="242">
        <f>IFERROR(K3/L3,"-")</f>
        <v>0</v>
      </c>
      <c r="R3" s="332" t="s">
        <v>882</v>
      </c>
      <c r="S3" s="333">
        <v>1</v>
      </c>
    </row>
    <row r="4" spans="1:19">
      <c r="A4" s="398"/>
      <c r="B4" s="398"/>
      <c r="C4"/>
      <c r="D4" s="789"/>
      <c r="E4" s="785"/>
      <c r="F4" s="785"/>
      <c r="G4" s="785"/>
      <c r="H4" s="786"/>
      <c r="J4" s="2"/>
      <c r="K4" s="2"/>
      <c r="L4" s="2"/>
      <c r="M4" s="2"/>
      <c r="R4" s="332" t="s">
        <v>883</v>
      </c>
      <c r="S4" s="333">
        <v>0.9</v>
      </c>
    </row>
    <row r="5" spans="1:19">
      <c r="A5" s="398"/>
      <c r="B5" s="398"/>
      <c r="C5"/>
      <c r="D5" s="672" t="s">
        <v>152</v>
      </c>
      <c r="E5" s="416">
        <v>39</v>
      </c>
      <c r="F5" s="416">
        <v>235</v>
      </c>
      <c r="G5" s="417">
        <v>0.16600000000000001</v>
      </c>
      <c r="H5" s="375">
        <f>IF($F5=0,"NO SCORE",IF(G5&lt;=4.99%,100%,IF(G5&lt;=14.99%,90%,IF(G5&lt;=24.99%,80%,IF(G5&lt;=29.99%,70%,0%)))))</f>
        <v>0.8</v>
      </c>
      <c r="J5" s="2"/>
      <c r="K5" s="2"/>
      <c r="L5" s="2"/>
      <c r="M5" s="2"/>
      <c r="R5" s="332" t="s">
        <v>884</v>
      </c>
      <c r="S5" s="333">
        <v>0.8</v>
      </c>
    </row>
    <row r="6" spans="1:19">
      <c r="A6" s="398"/>
      <c r="B6" s="398"/>
      <c r="C6"/>
      <c r="D6" s="672" t="s">
        <v>137</v>
      </c>
      <c r="E6" s="416">
        <v>32</v>
      </c>
      <c r="F6" s="416">
        <v>247</v>
      </c>
      <c r="G6" s="417">
        <v>0.12959999999999999</v>
      </c>
      <c r="H6" s="375">
        <f t="shared" ref="H6:H15" si="0">IF($F6=0,"NO SCORE",IF(G6&lt;=4.99%,100%,IF(G6&lt;=14.99%,90%,IF(G6&lt;=24.99%,80%,IF(G6&lt;=29.99%,70%,0%)))))</f>
        <v>0.9</v>
      </c>
      <c r="J6" s="202" t="s">
        <v>313</v>
      </c>
      <c r="K6" s="51">
        <f>SUM(K2:K5)</f>
        <v>0</v>
      </c>
      <c r="L6" s="51">
        <f>SUM(L2:L5)</f>
        <v>106</v>
      </c>
      <c r="M6" s="242">
        <f>IFERROR(K6/L6,"-")</f>
        <v>0</v>
      </c>
      <c r="N6" s="375">
        <f>IF($L6=0,"NO SCORE",IF(M6&lt;=4.99%,100%,IF(M6&lt;=14.99%,90%,IF(M6&lt;=24.99%,80%,IF(M6&lt;=29.99%,70%,0%)))))</f>
        <v>1</v>
      </c>
      <c r="R6" s="332" t="s">
        <v>885</v>
      </c>
      <c r="S6" s="333">
        <v>0.7</v>
      </c>
    </row>
    <row r="7" spans="1:19">
      <c r="A7" s="398"/>
      <c r="B7" s="398"/>
      <c r="C7"/>
      <c r="D7" s="672" t="s">
        <v>84</v>
      </c>
      <c r="E7" s="416">
        <v>31</v>
      </c>
      <c r="F7" s="416">
        <v>212</v>
      </c>
      <c r="G7" s="417">
        <v>0.1462</v>
      </c>
      <c r="H7" s="375">
        <f t="shared" si="0"/>
        <v>0.9</v>
      </c>
      <c r="R7" s="332" t="s">
        <v>886</v>
      </c>
      <c r="S7" s="333">
        <v>0</v>
      </c>
    </row>
    <row r="8" spans="1:19">
      <c r="A8" s="398"/>
      <c r="B8" s="398"/>
      <c r="C8"/>
      <c r="D8" s="672" t="s">
        <v>227</v>
      </c>
      <c r="E8" s="416">
        <v>0</v>
      </c>
      <c r="F8" s="416">
        <v>51</v>
      </c>
      <c r="G8" s="417">
        <v>0</v>
      </c>
      <c r="H8" s="375">
        <f t="shared" si="0"/>
        <v>1</v>
      </c>
      <c r="R8"/>
      <c r="S8"/>
    </row>
    <row r="9" spans="1:19">
      <c r="A9" s="398"/>
      <c r="B9" s="398"/>
      <c r="C9"/>
      <c r="D9" s="672" t="s">
        <v>124</v>
      </c>
      <c r="E9" s="416">
        <v>0</v>
      </c>
      <c r="F9" s="416">
        <v>55</v>
      </c>
      <c r="G9" s="417">
        <v>0</v>
      </c>
      <c r="H9" s="375">
        <f t="shared" si="0"/>
        <v>1</v>
      </c>
      <c r="R9"/>
      <c r="S9"/>
    </row>
    <row r="10" spans="1:19">
      <c r="A10" s="398"/>
      <c r="B10" s="398"/>
      <c r="C10"/>
      <c r="D10" s="672" t="s">
        <v>214</v>
      </c>
      <c r="E10" s="416">
        <v>31</v>
      </c>
      <c r="F10" s="416">
        <v>225</v>
      </c>
      <c r="G10" s="417">
        <v>0.13780000000000001</v>
      </c>
      <c r="H10" s="375">
        <f t="shared" si="0"/>
        <v>0.9</v>
      </c>
      <c r="R10"/>
      <c r="S10"/>
    </row>
    <row r="11" spans="1:19">
      <c r="A11" s="398"/>
      <c r="B11" s="398"/>
      <c r="C11"/>
      <c r="D11" s="672" t="s">
        <v>200</v>
      </c>
      <c r="E11" s="416">
        <v>32</v>
      </c>
      <c r="F11" s="416">
        <v>208</v>
      </c>
      <c r="G11" s="417">
        <v>0.15379999999999999</v>
      </c>
      <c r="H11" s="375">
        <f t="shared" si="0"/>
        <v>0.8</v>
      </c>
    </row>
    <row r="12" spans="1:19">
      <c r="A12" s="398"/>
      <c r="B12" s="398"/>
      <c r="C12"/>
      <c r="D12" s="672" t="s">
        <v>186</v>
      </c>
      <c r="E12" s="416">
        <v>18</v>
      </c>
      <c r="F12" s="416">
        <v>236</v>
      </c>
      <c r="G12" s="417">
        <v>7.6300000000000007E-2</v>
      </c>
      <c r="H12" s="375">
        <f t="shared" si="0"/>
        <v>0.9</v>
      </c>
    </row>
    <row r="13" spans="1:19">
      <c r="A13" s="398"/>
      <c r="B13" s="398"/>
      <c r="C13"/>
      <c r="D13" s="672" t="s">
        <v>169</v>
      </c>
      <c r="E13" s="416">
        <v>47</v>
      </c>
      <c r="F13" s="416">
        <v>268</v>
      </c>
      <c r="G13" s="417">
        <v>0.1754</v>
      </c>
      <c r="H13" s="375">
        <f t="shared" si="0"/>
        <v>0.8</v>
      </c>
    </row>
    <row r="14" spans="1:19">
      <c r="A14" s="398"/>
      <c r="B14" s="398"/>
      <c r="C14"/>
      <c r="D14" s="672" t="s">
        <v>241</v>
      </c>
      <c r="E14" s="416">
        <v>0</v>
      </c>
      <c r="F14" s="416">
        <v>0</v>
      </c>
      <c r="G14" s="417" t="s">
        <v>14</v>
      </c>
      <c r="H14" s="375" t="str">
        <f t="shared" si="0"/>
        <v>NO SCORE</v>
      </c>
    </row>
    <row r="15" spans="1:19">
      <c r="A15" s="398"/>
      <c r="B15" s="398"/>
      <c r="C15"/>
      <c r="D15" s="672"/>
      <c r="E15" s="416"/>
      <c r="F15" s="416"/>
      <c r="G15" s="417"/>
      <c r="H15" s="375" t="str">
        <f t="shared" si="0"/>
        <v>NO SCORE</v>
      </c>
    </row>
    <row r="17" spans="1:8" ht="15.75" thickBot="1">
      <c r="A17" s="395"/>
      <c r="B17" s="418"/>
      <c r="C17" s="789" t="s">
        <v>608</v>
      </c>
      <c r="D17" s="789"/>
      <c r="E17" s="785" t="s">
        <v>876</v>
      </c>
      <c r="F17" s="785" t="s">
        <v>877</v>
      </c>
      <c r="G17" s="785" t="s">
        <v>878</v>
      </c>
    </row>
    <row r="18" spans="1:8" ht="15.75" thickBot="1">
      <c r="A18" s="374"/>
      <c r="B18" s="419"/>
      <c r="C18" s="789"/>
      <c r="D18" s="789"/>
      <c r="E18" s="785"/>
      <c r="F18" s="785"/>
      <c r="G18" s="785"/>
    </row>
    <row r="19" spans="1:8" ht="15.75" thickBot="1">
      <c r="A19" s="374"/>
      <c r="B19" s="419"/>
      <c r="C19" s="789"/>
      <c r="D19" s="789"/>
      <c r="E19" s="785"/>
      <c r="F19" s="785"/>
      <c r="G19" s="785"/>
    </row>
    <row r="20" spans="1:8" ht="15.75" thickBot="1">
      <c r="A20" s="374"/>
      <c r="B20" s="419"/>
      <c r="C20" s="789"/>
      <c r="D20" s="789"/>
      <c r="E20" s="785"/>
      <c r="F20" s="785"/>
      <c r="G20" s="785"/>
    </row>
    <row r="21" spans="1:8" ht="15.75" thickBot="1">
      <c r="A21" s="374"/>
      <c r="B21" s="419"/>
      <c r="C21" s="787" t="s">
        <v>85</v>
      </c>
      <c r="D21" s="787"/>
      <c r="E21" s="416">
        <v>102</v>
      </c>
      <c r="F21" s="416">
        <v>694</v>
      </c>
      <c r="G21" s="417">
        <v>0.14699999999999999</v>
      </c>
      <c r="H21" s="375">
        <f>IF($F21=0,"NO SCORE",IF(G21&lt;=4.99%,100%,IF(G21&lt;=14.99%,90%,IF(G21&lt;=24.99%,80%,IF(G21&lt;=29.99%,70%,0%)))))</f>
        <v>0.9</v>
      </c>
    </row>
    <row r="22" spans="1:8" ht="15.75" thickBot="1">
      <c r="A22" s="374"/>
      <c r="B22" s="419"/>
      <c r="C22" s="787" t="s">
        <v>170</v>
      </c>
      <c r="D22" s="787"/>
      <c r="E22" s="416">
        <v>128</v>
      </c>
      <c r="F22" s="416">
        <v>937</v>
      </c>
      <c r="G22" s="417">
        <v>0.1366</v>
      </c>
      <c r="H22" s="375">
        <f>IF($F22=0,"NO SCORE",IF(G22&lt;=4.99%,100%,IF(G22&lt;=14.99%,90%,IF(G22&lt;=24.99%,80%,IF(G22&lt;=29.99%,70%,0%)))))</f>
        <v>0.9</v>
      </c>
    </row>
    <row r="23" spans="1:8" ht="15.75" thickBot="1">
      <c r="A23" s="374"/>
      <c r="B23" s="419"/>
      <c r="C23" s="787" t="s">
        <v>106</v>
      </c>
      <c r="D23" s="787"/>
      <c r="E23" s="416">
        <v>0</v>
      </c>
      <c r="F23" s="416">
        <v>106</v>
      </c>
      <c r="G23" s="417">
        <v>0</v>
      </c>
      <c r="H23" s="375">
        <f>IF($F23=0,"NO SCORE",IF(G23&lt;=4.99%,100%,IF(G23&lt;=14.99%,90%,IF(G23&lt;=24.99%,80%,IF(G23&lt;=29.99%,70%,0%)))))</f>
        <v>1</v>
      </c>
    </row>
    <row r="24" spans="1:8" ht="16.5" thickBot="1">
      <c r="A24" s="374"/>
      <c r="B24" s="419"/>
      <c r="C24" s="788" t="s">
        <v>274</v>
      </c>
      <c r="D24" s="788"/>
      <c r="E24" s="673">
        <v>230</v>
      </c>
      <c r="F24" s="673">
        <v>1737</v>
      </c>
      <c r="G24" s="420">
        <v>0.13239999999999999</v>
      </c>
      <c r="H24" s="375">
        <f>IF($F24=0,"NO SCORE",IF(G24&lt;=4.99%,100%,IF(G24&lt;=14.99%,90%,IF(G24&lt;=24.99%,80%,IF(G24&lt;=29.99%,70%,0%)))))</f>
        <v>0.9</v>
      </c>
    </row>
    <row r="26" spans="1:8">
      <c r="A26" s="789" t="s">
        <v>593</v>
      </c>
      <c r="B26" s="789" t="s">
        <v>887</v>
      </c>
      <c r="C26" s="789" t="s">
        <v>44</v>
      </c>
      <c r="D26" s="789" t="s">
        <v>275</v>
      </c>
      <c r="E26" s="785" t="s">
        <v>876</v>
      </c>
      <c r="F26" s="785" t="s">
        <v>877</v>
      </c>
      <c r="G26" s="785" t="s">
        <v>878</v>
      </c>
    </row>
    <row r="27" spans="1:8">
      <c r="A27" s="789"/>
      <c r="B27" s="789"/>
      <c r="C27" s="789"/>
      <c r="D27" s="789"/>
      <c r="E27" s="785"/>
      <c r="F27" s="785"/>
      <c r="G27" s="785"/>
    </row>
    <row r="28" spans="1:8">
      <c r="A28" s="789"/>
      <c r="B28" s="789"/>
      <c r="C28" s="789"/>
      <c r="D28" s="789"/>
      <c r="E28" s="785"/>
      <c r="F28" s="785"/>
      <c r="G28" s="785"/>
    </row>
    <row r="29" spans="1:8">
      <c r="A29" s="789"/>
      <c r="B29" s="789"/>
      <c r="C29" s="789"/>
      <c r="D29" s="789"/>
      <c r="E29" s="785"/>
      <c r="F29" s="785"/>
      <c r="G29" s="785"/>
    </row>
    <row r="30" spans="1:8">
      <c r="A30" s="421">
        <v>10071908</v>
      </c>
      <c r="B30" s="422" t="s">
        <v>465</v>
      </c>
      <c r="C30" s="421" t="s">
        <v>227</v>
      </c>
      <c r="D30" s="422" t="s">
        <v>106</v>
      </c>
      <c r="E30" s="416">
        <v>0</v>
      </c>
      <c r="F30" s="416">
        <v>6</v>
      </c>
      <c r="G30" s="417">
        <v>0</v>
      </c>
      <c r="H30" s="375">
        <f t="shared" ref="H30:H93" si="1">IF($F30=0,"NO SCORE",IF(G30&lt;=4.99%,100%,IF(G30&lt;=14.99%,90%,IF(G30&lt;=24.99%,80%,IF(G30&lt;=29.99%,70%,0%)))))</f>
        <v>1</v>
      </c>
    </row>
    <row r="31" spans="1:8">
      <c r="A31" s="423">
        <v>10071600</v>
      </c>
      <c r="B31" s="416" t="s">
        <v>522</v>
      </c>
      <c r="C31" s="423" t="s">
        <v>227</v>
      </c>
      <c r="D31" s="416" t="s">
        <v>106</v>
      </c>
      <c r="E31" s="416">
        <v>0</v>
      </c>
      <c r="F31" s="416">
        <v>2</v>
      </c>
      <c r="G31" s="417">
        <v>0</v>
      </c>
      <c r="H31" s="375">
        <f t="shared" si="1"/>
        <v>1</v>
      </c>
    </row>
    <row r="32" spans="1:8">
      <c r="A32" s="421">
        <v>10072220</v>
      </c>
      <c r="B32" s="422" t="s">
        <v>498</v>
      </c>
      <c r="C32" s="421" t="s">
        <v>227</v>
      </c>
      <c r="D32" s="422" t="s">
        <v>106</v>
      </c>
      <c r="E32" s="416">
        <v>0</v>
      </c>
      <c r="F32" s="416">
        <v>2</v>
      </c>
      <c r="G32" s="417">
        <v>0</v>
      </c>
      <c r="H32" s="375">
        <f t="shared" si="1"/>
        <v>1</v>
      </c>
    </row>
    <row r="33" spans="1:8">
      <c r="A33" s="423">
        <v>10072512</v>
      </c>
      <c r="B33" s="416" t="s">
        <v>434</v>
      </c>
      <c r="C33" s="423" t="s">
        <v>227</v>
      </c>
      <c r="D33" s="416" t="s">
        <v>106</v>
      </c>
      <c r="E33" s="416">
        <v>0</v>
      </c>
      <c r="F33" s="416">
        <v>0</v>
      </c>
      <c r="G33" s="417" t="s">
        <v>14</v>
      </c>
      <c r="H33" s="375" t="str">
        <f t="shared" si="1"/>
        <v>NO SCORE</v>
      </c>
    </row>
    <row r="34" spans="1:8">
      <c r="A34" s="421">
        <v>10072224</v>
      </c>
      <c r="B34" s="422" t="s">
        <v>440</v>
      </c>
      <c r="C34" s="421" t="s">
        <v>227</v>
      </c>
      <c r="D34" s="422" t="s">
        <v>106</v>
      </c>
      <c r="E34" s="416">
        <v>0</v>
      </c>
      <c r="F34" s="416">
        <v>3</v>
      </c>
      <c r="G34" s="417">
        <v>0</v>
      </c>
      <c r="H34" s="375">
        <f t="shared" si="1"/>
        <v>1</v>
      </c>
    </row>
    <row r="35" spans="1:8">
      <c r="A35" s="423">
        <v>10071356</v>
      </c>
      <c r="B35" s="416" t="s">
        <v>454</v>
      </c>
      <c r="C35" s="423" t="s">
        <v>227</v>
      </c>
      <c r="D35" s="416" t="s">
        <v>106</v>
      </c>
      <c r="E35" s="416">
        <v>0</v>
      </c>
      <c r="F35" s="416">
        <v>5</v>
      </c>
      <c r="G35" s="417">
        <v>0</v>
      </c>
      <c r="H35" s="375">
        <f t="shared" si="1"/>
        <v>1</v>
      </c>
    </row>
    <row r="36" spans="1:8">
      <c r="A36" s="421">
        <v>10072032</v>
      </c>
      <c r="B36" s="422" t="s">
        <v>456</v>
      </c>
      <c r="C36" s="421" t="s">
        <v>227</v>
      </c>
      <c r="D36" s="422" t="s">
        <v>106</v>
      </c>
      <c r="E36" s="416">
        <v>0</v>
      </c>
      <c r="F36" s="416">
        <v>7</v>
      </c>
      <c r="G36" s="417">
        <v>0</v>
      </c>
      <c r="H36" s="375">
        <f t="shared" si="1"/>
        <v>1</v>
      </c>
    </row>
    <row r="37" spans="1:8">
      <c r="A37" s="423">
        <v>10071411</v>
      </c>
      <c r="B37" s="416" t="s">
        <v>466</v>
      </c>
      <c r="C37" s="423" t="s">
        <v>227</v>
      </c>
      <c r="D37" s="416" t="s">
        <v>106</v>
      </c>
      <c r="E37" s="416">
        <v>0</v>
      </c>
      <c r="F37" s="416">
        <v>15</v>
      </c>
      <c r="G37" s="417">
        <v>0</v>
      </c>
      <c r="H37" s="375">
        <f t="shared" si="1"/>
        <v>1</v>
      </c>
    </row>
    <row r="38" spans="1:8">
      <c r="A38" s="421">
        <v>10071946</v>
      </c>
      <c r="B38" s="422" t="s">
        <v>516</v>
      </c>
      <c r="C38" s="421" t="s">
        <v>227</v>
      </c>
      <c r="D38" s="422" t="s">
        <v>106</v>
      </c>
      <c r="E38" s="416">
        <v>0</v>
      </c>
      <c r="F38" s="416">
        <v>0</v>
      </c>
      <c r="G38" s="417" t="s">
        <v>14</v>
      </c>
      <c r="H38" s="375" t="str">
        <f t="shared" si="1"/>
        <v>NO SCORE</v>
      </c>
    </row>
    <row r="39" spans="1:8">
      <c r="A39" s="423">
        <v>10071729</v>
      </c>
      <c r="B39" s="416" t="s">
        <v>524</v>
      </c>
      <c r="C39" s="423" t="s">
        <v>227</v>
      </c>
      <c r="D39" s="416" t="s">
        <v>106</v>
      </c>
      <c r="E39" s="416">
        <v>0</v>
      </c>
      <c r="F39" s="416">
        <v>5</v>
      </c>
      <c r="G39" s="417">
        <v>0</v>
      </c>
      <c r="H39" s="375">
        <f t="shared" si="1"/>
        <v>1</v>
      </c>
    </row>
    <row r="40" spans="1:8">
      <c r="A40" s="421">
        <v>10071151</v>
      </c>
      <c r="B40" s="422" t="s">
        <v>535</v>
      </c>
      <c r="C40" s="421" t="s">
        <v>227</v>
      </c>
      <c r="D40" s="422" t="s">
        <v>106</v>
      </c>
      <c r="E40" s="416">
        <v>0</v>
      </c>
      <c r="F40" s="416">
        <v>2</v>
      </c>
      <c r="G40" s="417">
        <v>0</v>
      </c>
      <c r="H40" s="375">
        <f t="shared" si="1"/>
        <v>1</v>
      </c>
    </row>
    <row r="41" spans="1:8">
      <c r="A41" s="423">
        <v>10072439</v>
      </c>
      <c r="B41" s="416" t="s">
        <v>545</v>
      </c>
      <c r="C41" s="423" t="s">
        <v>227</v>
      </c>
      <c r="D41" s="416" t="s">
        <v>106</v>
      </c>
      <c r="E41" s="416">
        <v>0</v>
      </c>
      <c r="F41" s="416">
        <v>4</v>
      </c>
      <c r="G41" s="417">
        <v>0</v>
      </c>
      <c r="H41" s="375">
        <f t="shared" si="1"/>
        <v>1</v>
      </c>
    </row>
    <row r="42" spans="1:8">
      <c r="A42" s="421">
        <v>10071423</v>
      </c>
      <c r="B42" s="422" t="s">
        <v>457</v>
      </c>
      <c r="C42" s="421" t="s">
        <v>214</v>
      </c>
      <c r="D42" s="422" t="s">
        <v>170</v>
      </c>
      <c r="E42" s="416">
        <v>0</v>
      </c>
      <c r="F42" s="416">
        <v>13</v>
      </c>
      <c r="G42" s="417">
        <v>0</v>
      </c>
      <c r="H42" s="375">
        <f t="shared" si="1"/>
        <v>1</v>
      </c>
    </row>
    <row r="43" spans="1:8">
      <c r="A43" s="423">
        <v>10071301</v>
      </c>
      <c r="B43" s="416" t="s">
        <v>469</v>
      </c>
      <c r="C43" s="423" t="s">
        <v>214</v>
      </c>
      <c r="D43" s="416" t="s">
        <v>170</v>
      </c>
      <c r="E43" s="416">
        <v>1</v>
      </c>
      <c r="F43" s="416">
        <v>15</v>
      </c>
      <c r="G43" s="417">
        <v>6.6699999999999995E-2</v>
      </c>
      <c r="H43" s="375">
        <f t="shared" si="1"/>
        <v>0.9</v>
      </c>
    </row>
    <row r="44" spans="1:8">
      <c r="A44" s="421">
        <v>10072245</v>
      </c>
      <c r="B44" s="422" t="s">
        <v>482</v>
      </c>
      <c r="C44" s="421" t="s">
        <v>214</v>
      </c>
      <c r="D44" s="422" t="s">
        <v>170</v>
      </c>
      <c r="E44" s="416">
        <v>5</v>
      </c>
      <c r="F44" s="416">
        <v>26</v>
      </c>
      <c r="G44" s="417">
        <v>0.1923</v>
      </c>
      <c r="H44" s="375">
        <f t="shared" si="1"/>
        <v>0.8</v>
      </c>
    </row>
    <row r="45" spans="1:8">
      <c r="A45" s="423">
        <v>10072160</v>
      </c>
      <c r="B45" s="416" t="s">
        <v>488</v>
      </c>
      <c r="C45" s="423" t="s">
        <v>214</v>
      </c>
      <c r="D45" s="416" t="s">
        <v>170</v>
      </c>
      <c r="E45" s="416">
        <v>4</v>
      </c>
      <c r="F45" s="416">
        <v>18</v>
      </c>
      <c r="G45" s="417">
        <v>0.22220000000000001</v>
      </c>
      <c r="H45" s="375">
        <f t="shared" si="1"/>
        <v>0.8</v>
      </c>
    </row>
    <row r="46" spans="1:8">
      <c r="A46" s="421">
        <v>10071252</v>
      </c>
      <c r="B46" s="422" t="s">
        <v>507</v>
      </c>
      <c r="C46" s="421" t="s">
        <v>214</v>
      </c>
      <c r="D46" s="422" t="s">
        <v>170</v>
      </c>
      <c r="E46" s="416">
        <v>3</v>
      </c>
      <c r="F46" s="416">
        <v>12</v>
      </c>
      <c r="G46" s="417">
        <v>0.25</v>
      </c>
      <c r="H46" s="375">
        <f t="shared" si="1"/>
        <v>0.7</v>
      </c>
    </row>
    <row r="47" spans="1:8">
      <c r="A47" s="423">
        <v>10072457</v>
      </c>
      <c r="B47" s="416" t="s">
        <v>515</v>
      </c>
      <c r="C47" s="423" t="s">
        <v>214</v>
      </c>
      <c r="D47" s="416" t="s">
        <v>170</v>
      </c>
      <c r="E47" s="416">
        <v>0</v>
      </c>
      <c r="F47" s="416">
        <v>16</v>
      </c>
      <c r="G47" s="417">
        <v>0</v>
      </c>
      <c r="H47" s="375">
        <f t="shared" si="1"/>
        <v>1</v>
      </c>
    </row>
    <row r="48" spans="1:8">
      <c r="A48" s="421">
        <v>10070728</v>
      </c>
      <c r="B48" s="422" t="s">
        <v>519</v>
      </c>
      <c r="C48" s="421" t="s">
        <v>214</v>
      </c>
      <c r="D48" s="422" t="s">
        <v>170</v>
      </c>
      <c r="E48" s="416">
        <v>4</v>
      </c>
      <c r="F48" s="416">
        <v>27</v>
      </c>
      <c r="G48" s="417">
        <v>0.14810000000000001</v>
      </c>
      <c r="H48" s="375">
        <f t="shared" si="1"/>
        <v>0.9</v>
      </c>
    </row>
    <row r="49" spans="1:8">
      <c r="A49" s="423">
        <v>10071310</v>
      </c>
      <c r="B49" s="416" t="s">
        <v>525</v>
      </c>
      <c r="C49" s="423" t="s">
        <v>214</v>
      </c>
      <c r="D49" s="416" t="s">
        <v>170</v>
      </c>
      <c r="E49" s="416">
        <v>7</v>
      </c>
      <c r="F49" s="416">
        <v>29</v>
      </c>
      <c r="G49" s="417">
        <v>0.2414</v>
      </c>
      <c r="H49" s="375">
        <f t="shared" si="1"/>
        <v>0.8</v>
      </c>
    </row>
    <row r="50" spans="1:8">
      <c r="A50" s="421">
        <v>10072515</v>
      </c>
      <c r="B50" s="422" t="s">
        <v>532</v>
      </c>
      <c r="C50" s="421" t="s">
        <v>214</v>
      </c>
      <c r="D50" s="422" t="s">
        <v>170</v>
      </c>
      <c r="E50" s="416">
        <v>1</v>
      </c>
      <c r="F50" s="416">
        <v>18</v>
      </c>
      <c r="G50" s="417">
        <v>5.5599999999999997E-2</v>
      </c>
      <c r="H50" s="375">
        <f t="shared" si="1"/>
        <v>0.9</v>
      </c>
    </row>
    <row r="51" spans="1:8">
      <c r="A51" s="423">
        <v>10072211</v>
      </c>
      <c r="B51" s="416" t="s">
        <v>537</v>
      </c>
      <c r="C51" s="423" t="s">
        <v>214</v>
      </c>
      <c r="D51" s="416" t="s">
        <v>170</v>
      </c>
      <c r="E51" s="416">
        <v>5</v>
      </c>
      <c r="F51" s="416">
        <v>28</v>
      </c>
      <c r="G51" s="417">
        <v>0.17860000000000001</v>
      </c>
      <c r="H51" s="375">
        <f t="shared" si="1"/>
        <v>0.8</v>
      </c>
    </row>
    <row r="52" spans="1:8">
      <c r="A52" s="421">
        <v>10072244</v>
      </c>
      <c r="B52" s="422" t="s">
        <v>443</v>
      </c>
      <c r="C52" s="421" t="s">
        <v>200</v>
      </c>
      <c r="D52" s="422" t="s">
        <v>170</v>
      </c>
      <c r="E52" s="416">
        <v>5</v>
      </c>
      <c r="F52" s="416">
        <v>20</v>
      </c>
      <c r="G52" s="417">
        <v>0.25</v>
      </c>
      <c r="H52" s="375">
        <f t="shared" si="1"/>
        <v>0.7</v>
      </c>
    </row>
    <row r="53" spans="1:8">
      <c r="A53" s="423">
        <v>10072449</v>
      </c>
      <c r="B53" s="416" t="s">
        <v>483</v>
      </c>
      <c r="C53" s="423" t="s">
        <v>200</v>
      </c>
      <c r="D53" s="416" t="s">
        <v>170</v>
      </c>
      <c r="E53" s="416">
        <v>3</v>
      </c>
      <c r="F53" s="416">
        <v>15</v>
      </c>
      <c r="G53" s="417">
        <v>0.2</v>
      </c>
      <c r="H53" s="375">
        <f t="shared" si="1"/>
        <v>0.8</v>
      </c>
    </row>
    <row r="54" spans="1:8">
      <c r="A54" s="421">
        <v>10071692</v>
      </c>
      <c r="B54" s="422" t="s">
        <v>501</v>
      </c>
      <c r="C54" s="421" t="s">
        <v>200</v>
      </c>
      <c r="D54" s="422" t="s">
        <v>170</v>
      </c>
      <c r="E54" s="416">
        <v>1</v>
      </c>
      <c r="F54" s="416">
        <v>12</v>
      </c>
      <c r="G54" s="417">
        <v>8.3299999999999999E-2</v>
      </c>
      <c r="H54" s="375">
        <f t="shared" si="1"/>
        <v>0.9</v>
      </c>
    </row>
    <row r="55" spans="1:8">
      <c r="A55" s="423">
        <v>10072180</v>
      </c>
      <c r="B55" s="416" t="s">
        <v>541</v>
      </c>
      <c r="C55" s="423" t="s">
        <v>200</v>
      </c>
      <c r="D55" s="416" t="s">
        <v>170</v>
      </c>
      <c r="E55" s="416">
        <v>2</v>
      </c>
      <c r="F55" s="416">
        <v>8</v>
      </c>
      <c r="G55" s="417">
        <v>0.25</v>
      </c>
      <c r="H55" s="375">
        <f t="shared" si="1"/>
        <v>0.7</v>
      </c>
    </row>
    <row r="56" spans="1:8">
      <c r="A56" s="421">
        <v>10072198</v>
      </c>
      <c r="B56" s="422" t="s">
        <v>419</v>
      </c>
      <c r="C56" s="421" t="s">
        <v>200</v>
      </c>
      <c r="D56" s="422" t="s">
        <v>170</v>
      </c>
      <c r="E56" s="416">
        <v>3</v>
      </c>
      <c r="F56" s="416">
        <v>15</v>
      </c>
      <c r="G56" s="417">
        <v>0.2</v>
      </c>
      <c r="H56" s="375">
        <f t="shared" si="1"/>
        <v>0.8</v>
      </c>
    </row>
    <row r="57" spans="1:8">
      <c r="A57" s="423">
        <v>10072442</v>
      </c>
      <c r="B57" s="416" t="s">
        <v>441</v>
      </c>
      <c r="C57" s="423" t="s">
        <v>200</v>
      </c>
      <c r="D57" s="416" t="s">
        <v>170</v>
      </c>
      <c r="E57" s="416">
        <v>0</v>
      </c>
      <c r="F57" s="416">
        <v>0</v>
      </c>
      <c r="G57" s="417" t="s">
        <v>14</v>
      </c>
      <c r="H57" s="375" t="str">
        <f t="shared" si="1"/>
        <v>NO SCORE</v>
      </c>
    </row>
    <row r="58" spans="1:8">
      <c r="A58" s="421">
        <v>10072444</v>
      </c>
      <c r="B58" s="422" t="s">
        <v>464</v>
      </c>
      <c r="C58" s="421" t="s">
        <v>200</v>
      </c>
      <c r="D58" s="422" t="s">
        <v>170</v>
      </c>
      <c r="E58" s="416">
        <v>1</v>
      </c>
      <c r="F58" s="416">
        <v>13</v>
      </c>
      <c r="G58" s="417">
        <v>7.6899999999999996E-2</v>
      </c>
      <c r="H58" s="375">
        <f t="shared" si="1"/>
        <v>0.9</v>
      </c>
    </row>
    <row r="59" spans="1:8">
      <c r="A59" s="423">
        <v>10071306</v>
      </c>
      <c r="B59" s="416" t="s">
        <v>497</v>
      </c>
      <c r="C59" s="423" t="s">
        <v>200</v>
      </c>
      <c r="D59" s="416" t="s">
        <v>170</v>
      </c>
      <c r="E59" s="416">
        <v>5</v>
      </c>
      <c r="F59" s="416">
        <v>21</v>
      </c>
      <c r="G59" s="417">
        <v>0.23810000000000001</v>
      </c>
      <c r="H59" s="375">
        <f t="shared" si="1"/>
        <v>0.8</v>
      </c>
    </row>
    <row r="60" spans="1:8">
      <c r="A60" s="421">
        <v>10072517</v>
      </c>
      <c r="B60" s="422" t="s">
        <v>502</v>
      </c>
      <c r="C60" s="421" t="s">
        <v>200</v>
      </c>
      <c r="D60" s="422" t="s">
        <v>170</v>
      </c>
      <c r="E60" s="416">
        <v>4</v>
      </c>
      <c r="F60" s="416">
        <v>21</v>
      </c>
      <c r="G60" s="417">
        <v>0.1905</v>
      </c>
      <c r="H60" s="375">
        <f t="shared" si="1"/>
        <v>0.8</v>
      </c>
    </row>
    <row r="61" spans="1:8">
      <c r="A61" s="423">
        <v>10072204</v>
      </c>
      <c r="B61" s="416" t="s">
        <v>511</v>
      </c>
      <c r="C61" s="423" t="s">
        <v>200</v>
      </c>
      <c r="D61" s="416" t="s">
        <v>170</v>
      </c>
      <c r="E61" s="416">
        <v>0</v>
      </c>
      <c r="F61" s="416">
        <v>8</v>
      </c>
      <c r="G61" s="417">
        <v>0</v>
      </c>
      <c r="H61" s="375">
        <f t="shared" si="1"/>
        <v>1</v>
      </c>
    </row>
    <row r="62" spans="1:8">
      <c r="A62" s="421">
        <v>10072445</v>
      </c>
      <c r="B62" s="422" t="s">
        <v>560</v>
      </c>
      <c r="C62" s="421" t="s">
        <v>200</v>
      </c>
      <c r="D62" s="422" t="s">
        <v>170</v>
      </c>
      <c r="E62" s="416">
        <v>2</v>
      </c>
      <c r="F62" s="416">
        <v>17</v>
      </c>
      <c r="G62" s="417">
        <v>0.1176</v>
      </c>
      <c r="H62" s="375">
        <f t="shared" si="1"/>
        <v>0.9</v>
      </c>
    </row>
    <row r="63" spans="1:8">
      <c r="A63" s="423">
        <v>10071728</v>
      </c>
      <c r="B63" s="416" t="s">
        <v>210</v>
      </c>
      <c r="C63" s="423" t="s">
        <v>200</v>
      </c>
      <c r="D63" s="416" t="s">
        <v>170</v>
      </c>
      <c r="E63" s="416">
        <v>1</v>
      </c>
      <c r="F63" s="416">
        <v>17</v>
      </c>
      <c r="G63" s="417">
        <v>5.8799999999999998E-2</v>
      </c>
      <c r="H63" s="375">
        <f t="shared" si="1"/>
        <v>0.9</v>
      </c>
    </row>
    <row r="64" spans="1:8">
      <c r="A64" s="421">
        <v>10072458</v>
      </c>
      <c r="B64" s="422" t="s">
        <v>430</v>
      </c>
      <c r="C64" s="421" t="s">
        <v>186</v>
      </c>
      <c r="D64" s="422" t="s">
        <v>170</v>
      </c>
      <c r="E64" s="416">
        <v>4</v>
      </c>
      <c r="F64" s="416">
        <v>22</v>
      </c>
      <c r="G64" s="417">
        <v>0.18179999999999999</v>
      </c>
      <c r="H64" s="375">
        <f t="shared" si="1"/>
        <v>0.8</v>
      </c>
    </row>
    <row r="65" spans="1:9">
      <c r="A65" s="423">
        <v>10071322</v>
      </c>
      <c r="B65" s="416" t="s">
        <v>449</v>
      </c>
      <c r="C65" s="423" t="s">
        <v>186</v>
      </c>
      <c r="D65" s="416" t="s">
        <v>170</v>
      </c>
      <c r="E65" s="416">
        <v>0</v>
      </c>
      <c r="F65" s="416">
        <v>12</v>
      </c>
      <c r="G65" s="417">
        <v>0</v>
      </c>
      <c r="H65" s="375">
        <f t="shared" si="1"/>
        <v>1</v>
      </c>
      <c r="I65" s="606"/>
    </row>
    <row r="66" spans="1:9">
      <c r="A66" s="421">
        <v>10071429</v>
      </c>
      <c r="B66" s="422" t="s">
        <v>453</v>
      </c>
      <c r="C66" s="421" t="s">
        <v>186</v>
      </c>
      <c r="D66" s="422" t="s">
        <v>170</v>
      </c>
      <c r="E66" s="416">
        <v>0</v>
      </c>
      <c r="F66" s="416">
        <v>3</v>
      </c>
      <c r="G66" s="417">
        <v>0</v>
      </c>
      <c r="H66" s="375">
        <f t="shared" si="1"/>
        <v>1</v>
      </c>
      <c r="I66" s="606"/>
    </row>
    <row r="67" spans="1:9">
      <c r="A67" s="423">
        <v>10071430</v>
      </c>
      <c r="B67" s="416" t="s">
        <v>468</v>
      </c>
      <c r="C67" s="423" t="s">
        <v>186</v>
      </c>
      <c r="D67" s="416" t="s">
        <v>170</v>
      </c>
      <c r="E67" s="416">
        <v>1</v>
      </c>
      <c r="F67" s="416">
        <v>20</v>
      </c>
      <c r="G67" s="417">
        <v>0.05</v>
      </c>
      <c r="H67" s="375">
        <f t="shared" si="1"/>
        <v>0.9</v>
      </c>
    </row>
    <row r="68" spans="1:9">
      <c r="A68" s="421">
        <v>10072202</v>
      </c>
      <c r="B68" s="422" t="s">
        <v>478</v>
      </c>
      <c r="C68" s="421" t="s">
        <v>186</v>
      </c>
      <c r="D68" s="422" t="s">
        <v>170</v>
      </c>
      <c r="E68" s="416">
        <v>0</v>
      </c>
      <c r="F68" s="416">
        <v>19</v>
      </c>
      <c r="G68" s="417">
        <v>0</v>
      </c>
      <c r="H68" s="375">
        <f t="shared" si="1"/>
        <v>1</v>
      </c>
    </row>
    <row r="69" spans="1:9">
      <c r="A69" s="423">
        <v>10072205</v>
      </c>
      <c r="B69" s="416" t="s">
        <v>723</v>
      </c>
      <c r="C69" s="423" t="s">
        <v>186</v>
      </c>
      <c r="D69" s="416" t="s">
        <v>170</v>
      </c>
      <c r="E69" s="416">
        <v>2</v>
      </c>
      <c r="F69" s="416">
        <v>21</v>
      </c>
      <c r="G69" s="417">
        <v>9.5200000000000007E-2</v>
      </c>
      <c r="H69" s="375">
        <f t="shared" si="1"/>
        <v>0.9</v>
      </c>
    </row>
    <row r="70" spans="1:9">
      <c r="A70" s="421">
        <v>10072256</v>
      </c>
      <c r="B70" s="422" t="s">
        <v>489</v>
      </c>
      <c r="C70" s="421" t="s">
        <v>186</v>
      </c>
      <c r="D70" s="422" t="s">
        <v>170</v>
      </c>
      <c r="E70" s="416">
        <v>2</v>
      </c>
      <c r="F70" s="416">
        <v>19</v>
      </c>
      <c r="G70" s="417">
        <v>0.1053</v>
      </c>
      <c r="H70" s="375">
        <f t="shared" si="1"/>
        <v>0.9</v>
      </c>
    </row>
    <row r="71" spans="1:9">
      <c r="A71" s="423">
        <v>10071811</v>
      </c>
      <c r="B71" s="416" t="s">
        <v>494</v>
      </c>
      <c r="C71" s="423" t="s">
        <v>186</v>
      </c>
      <c r="D71" s="416" t="s">
        <v>170</v>
      </c>
      <c r="E71" s="416">
        <v>0</v>
      </c>
      <c r="F71" s="416">
        <v>25</v>
      </c>
      <c r="G71" s="417">
        <v>0</v>
      </c>
      <c r="H71" s="375">
        <f t="shared" si="1"/>
        <v>1</v>
      </c>
    </row>
    <row r="72" spans="1:9">
      <c r="A72" s="421">
        <v>10072516</v>
      </c>
      <c r="B72" s="422" t="s">
        <v>503</v>
      </c>
      <c r="C72" s="421" t="s">
        <v>186</v>
      </c>
      <c r="D72" s="422" t="s">
        <v>170</v>
      </c>
      <c r="E72" s="416">
        <v>2</v>
      </c>
      <c r="F72" s="416">
        <v>17</v>
      </c>
      <c r="G72" s="417">
        <v>0.1176</v>
      </c>
      <c r="H72" s="375">
        <f t="shared" si="1"/>
        <v>0.9</v>
      </c>
    </row>
    <row r="73" spans="1:9">
      <c r="A73" s="423">
        <v>10072243</v>
      </c>
      <c r="B73" s="416" t="s">
        <v>548</v>
      </c>
      <c r="C73" s="423" t="s">
        <v>186</v>
      </c>
      <c r="D73" s="416" t="s">
        <v>170</v>
      </c>
      <c r="E73" s="416">
        <v>0</v>
      </c>
      <c r="F73" s="416">
        <v>26</v>
      </c>
      <c r="G73" s="417">
        <v>0</v>
      </c>
      <c r="H73" s="375">
        <f t="shared" si="1"/>
        <v>1</v>
      </c>
    </row>
    <row r="74" spans="1:9">
      <c r="A74" s="421">
        <v>10072096</v>
      </c>
      <c r="B74" s="422" t="s">
        <v>553</v>
      </c>
      <c r="C74" s="421" t="s">
        <v>186</v>
      </c>
      <c r="D74" s="422" t="s">
        <v>170</v>
      </c>
      <c r="E74" s="416">
        <v>3</v>
      </c>
      <c r="F74" s="416">
        <v>22</v>
      </c>
      <c r="G74" s="417">
        <v>0.13639999999999999</v>
      </c>
      <c r="H74" s="375">
        <f t="shared" si="1"/>
        <v>0.9</v>
      </c>
    </row>
    <row r="75" spans="1:9">
      <c r="A75" s="423">
        <v>10071432</v>
      </c>
      <c r="B75" s="416" t="s">
        <v>490</v>
      </c>
      <c r="C75" s="423" t="s">
        <v>186</v>
      </c>
      <c r="D75" s="416" t="s">
        <v>170</v>
      </c>
      <c r="E75" s="416">
        <v>0</v>
      </c>
      <c r="F75" s="416">
        <v>25</v>
      </c>
      <c r="G75" s="417">
        <v>0</v>
      </c>
      <c r="H75" s="375">
        <f t="shared" si="1"/>
        <v>1</v>
      </c>
    </row>
    <row r="76" spans="1:9">
      <c r="A76" s="421">
        <v>10071188</v>
      </c>
      <c r="B76" s="422" t="s">
        <v>198</v>
      </c>
      <c r="C76" s="421" t="s">
        <v>186</v>
      </c>
      <c r="D76" s="422" t="s">
        <v>170</v>
      </c>
      <c r="E76" s="416">
        <v>4</v>
      </c>
      <c r="F76" s="416">
        <v>21</v>
      </c>
      <c r="G76" s="417">
        <v>0.1905</v>
      </c>
      <c r="H76" s="375">
        <f t="shared" si="1"/>
        <v>0.8</v>
      </c>
    </row>
    <row r="77" spans="1:9">
      <c r="A77" s="423">
        <v>10072177</v>
      </c>
      <c r="B77" s="416" t="s">
        <v>458</v>
      </c>
      <c r="C77" s="423" t="s">
        <v>169</v>
      </c>
      <c r="D77" s="416" t="s">
        <v>170</v>
      </c>
      <c r="E77" s="416">
        <v>4</v>
      </c>
      <c r="F77" s="416">
        <v>20</v>
      </c>
      <c r="G77" s="417">
        <v>0.2</v>
      </c>
      <c r="H77" s="375">
        <f t="shared" si="1"/>
        <v>0.8</v>
      </c>
    </row>
    <row r="78" spans="1:9">
      <c r="A78" s="421">
        <v>10071358</v>
      </c>
      <c r="B78" s="422" t="s">
        <v>433</v>
      </c>
      <c r="C78" s="421" t="s">
        <v>169</v>
      </c>
      <c r="D78" s="422" t="s">
        <v>170</v>
      </c>
      <c r="E78" s="416">
        <v>2</v>
      </c>
      <c r="F78" s="416">
        <v>15</v>
      </c>
      <c r="G78" s="417">
        <v>0.1333</v>
      </c>
      <c r="H78" s="375">
        <f t="shared" si="1"/>
        <v>0.9</v>
      </c>
    </row>
    <row r="79" spans="1:9">
      <c r="A79" s="423">
        <v>10071910</v>
      </c>
      <c r="B79" s="416" t="s">
        <v>436</v>
      </c>
      <c r="C79" s="423" t="s">
        <v>169</v>
      </c>
      <c r="D79" s="416" t="s">
        <v>170</v>
      </c>
      <c r="E79" s="416">
        <v>2</v>
      </c>
      <c r="F79" s="416">
        <v>15</v>
      </c>
      <c r="G79" s="417">
        <v>0.1333</v>
      </c>
      <c r="H79" s="375">
        <f t="shared" si="1"/>
        <v>0.9</v>
      </c>
    </row>
    <row r="80" spans="1:9">
      <c r="A80" s="421">
        <v>10071433</v>
      </c>
      <c r="B80" s="422" t="s">
        <v>444</v>
      </c>
      <c r="C80" s="421" t="s">
        <v>169</v>
      </c>
      <c r="D80" s="422" t="s">
        <v>170</v>
      </c>
      <c r="E80" s="416">
        <v>5</v>
      </c>
      <c r="F80" s="416">
        <v>22</v>
      </c>
      <c r="G80" s="417">
        <v>0.2273</v>
      </c>
      <c r="H80" s="375">
        <f t="shared" si="1"/>
        <v>0.8</v>
      </c>
    </row>
    <row r="81" spans="1:8">
      <c r="A81" s="423">
        <v>10072437</v>
      </c>
      <c r="B81" s="416" t="s">
        <v>448</v>
      </c>
      <c r="C81" s="423" t="s">
        <v>169</v>
      </c>
      <c r="D81" s="416" t="s">
        <v>170</v>
      </c>
      <c r="E81" s="416">
        <v>6</v>
      </c>
      <c r="F81" s="416">
        <v>28</v>
      </c>
      <c r="G81" s="417">
        <v>0.21429999999999999</v>
      </c>
      <c r="H81" s="375">
        <f t="shared" si="1"/>
        <v>0.8</v>
      </c>
    </row>
    <row r="82" spans="1:8">
      <c r="A82" s="421">
        <v>10072453</v>
      </c>
      <c r="B82" s="422" t="s">
        <v>486</v>
      </c>
      <c r="C82" s="421" t="s">
        <v>169</v>
      </c>
      <c r="D82" s="422" t="s">
        <v>170</v>
      </c>
      <c r="E82" s="416">
        <v>6</v>
      </c>
      <c r="F82" s="416">
        <v>28</v>
      </c>
      <c r="G82" s="417">
        <v>0.21429999999999999</v>
      </c>
      <c r="H82" s="375">
        <f t="shared" si="1"/>
        <v>0.8</v>
      </c>
    </row>
    <row r="83" spans="1:8">
      <c r="A83" s="423">
        <v>10071603</v>
      </c>
      <c r="B83" s="416" t="s">
        <v>508</v>
      </c>
      <c r="C83" s="423" t="s">
        <v>169</v>
      </c>
      <c r="D83" s="416" t="s">
        <v>170</v>
      </c>
      <c r="E83" s="416">
        <v>0</v>
      </c>
      <c r="F83" s="416">
        <v>0</v>
      </c>
      <c r="G83" s="417" t="s">
        <v>14</v>
      </c>
      <c r="H83" s="375" t="str">
        <f t="shared" si="1"/>
        <v>NO SCORE</v>
      </c>
    </row>
    <row r="84" spans="1:8">
      <c r="A84" s="421">
        <v>10071268</v>
      </c>
      <c r="B84" s="422" t="s">
        <v>520</v>
      </c>
      <c r="C84" s="421" t="s">
        <v>169</v>
      </c>
      <c r="D84" s="422" t="s">
        <v>170</v>
      </c>
      <c r="E84" s="416">
        <v>2</v>
      </c>
      <c r="F84" s="416">
        <v>20</v>
      </c>
      <c r="G84" s="417">
        <v>0.1</v>
      </c>
      <c r="H84" s="375">
        <f t="shared" si="1"/>
        <v>0.9</v>
      </c>
    </row>
    <row r="85" spans="1:8">
      <c r="A85" s="423">
        <v>10071296</v>
      </c>
      <c r="B85" s="416" t="s">
        <v>540</v>
      </c>
      <c r="C85" s="423" t="s">
        <v>169</v>
      </c>
      <c r="D85" s="416" t="s">
        <v>170</v>
      </c>
      <c r="E85" s="416">
        <v>4</v>
      </c>
      <c r="F85" s="416">
        <v>28</v>
      </c>
      <c r="G85" s="417">
        <v>0.1429</v>
      </c>
      <c r="H85" s="375">
        <f t="shared" si="1"/>
        <v>0.9</v>
      </c>
    </row>
    <row r="86" spans="1:8">
      <c r="A86" s="421">
        <v>10071972</v>
      </c>
      <c r="B86" s="422" t="s">
        <v>543</v>
      </c>
      <c r="C86" s="421" t="s">
        <v>169</v>
      </c>
      <c r="D86" s="422" t="s">
        <v>170</v>
      </c>
      <c r="E86" s="416">
        <v>0</v>
      </c>
      <c r="F86" s="416">
        <v>0</v>
      </c>
      <c r="G86" s="417" t="s">
        <v>14</v>
      </c>
      <c r="H86" s="375" t="str">
        <f t="shared" si="1"/>
        <v>NO SCORE</v>
      </c>
    </row>
    <row r="87" spans="1:8">
      <c r="A87" s="423">
        <v>10071283</v>
      </c>
      <c r="B87" s="416" t="s">
        <v>549</v>
      </c>
      <c r="C87" s="423" t="s">
        <v>169</v>
      </c>
      <c r="D87" s="416" t="s">
        <v>170</v>
      </c>
      <c r="E87" s="416">
        <v>4</v>
      </c>
      <c r="F87" s="416">
        <v>21</v>
      </c>
      <c r="G87" s="417">
        <v>0.1905</v>
      </c>
      <c r="H87" s="375">
        <f t="shared" si="1"/>
        <v>0.8</v>
      </c>
    </row>
    <row r="88" spans="1:8">
      <c r="A88" s="421">
        <v>10071753</v>
      </c>
      <c r="B88" s="422" t="s">
        <v>182</v>
      </c>
      <c r="C88" s="421" t="s">
        <v>169</v>
      </c>
      <c r="D88" s="422" t="s">
        <v>170</v>
      </c>
      <c r="E88" s="416">
        <v>6</v>
      </c>
      <c r="F88" s="416">
        <v>28</v>
      </c>
      <c r="G88" s="417">
        <v>0.21429999999999999</v>
      </c>
      <c r="H88" s="375">
        <f t="shared" si="1"/>
        <v>0.8</v>
      </c>
    </row>
    <row r="89" spans="1:8">
      <c r="A89" s="423">
        <v>10072155</v>
      </c>
      <c r="B89" s="416" t="s">
        <v>432</v>
      </c>
      <c r="C89" s="423" t="s">
        <v>152</v>
      </c>
      <c r="D89" s="416" t="s">
        <v>85</v>
      </c>
      <c r="E89" s="416">
        <v>3</v>
      </c>
      <c r="F89" s="416">
        <v>14</v>
      </c>
      <c r="G89" s="417">
        <v>0.21429999999999999</v>
      </c>
      <c r="H89" s="375">
        <f t="shared" si="1"/>
        <v>0.8</v>
      </c>
    </row>
    <row r="90" spans="1:8">
      <c r="A90" s="421">
        <v>10072451</v>
      </c>
      <c r="B90" s="422" t="s">
        <v>460</v>
      </c>
      <c r="C90" s="421" t="s">
        <v>152</v>
      </c>
      <c r="D90" s="422" t="s">
        <v>85</v>
      </c>
      <c r="E90" s="416">
        <v>4</v>
      </c>
      <c r="F90" s="416">
        <v>22</v>
      </c>
      <c r="G90" s="417">
        <v>0.18179999999999999</v>
      </c>
      <c r="H90" s="375">
        <f t="shared" si="1"/>
        <v>0.8</v>
      </c>
    </row>
    <row r="91" spans="1:8">
      <c r="A91" s="423">
        <v>10071201</v>
      </c>
      <c r="B91" s="416" t="s">
        <v>431</v>
      </c>
      <c r="C91" s="423" t="s">
        <v>152</v>
      </c>
      <c r="D91" s="416" t="s">
        <v>85</v>
      </c>
      <c r="E91" s="416">
        <v>2</v>
      </c>
      <c r="F91" s="416">
        <v>10</v>
      </c>
      <c r="G91" s="417">
        <v>0.2</v>
      </c>
      <c r="H91" s="375">
        <f t="shared" si="1"/>
        <v>0.8</v>
      </c>
    </row>
    <row r="92" spans="1:8">
      <c r="A92" s="421">
        <v>10072241</v>
      </c>
      <c r="B92" s="422" t="s">
        <v>467</v>
      </c>
      <c r="C92" s="421" t="s">
        <v>152</v>
      </c>
      <c r="D92" s="422" t="s">
        <v>85</v>
      </c>
      <c r="E92" s="416">
        <v>2</v>
      </c>
      <c r="F92" s="416">
        <v>22</v>
      </c>
      <c r="G92" s="417">
        <v>9.0899999999999995E-2</v>
      </c>
      <c r="H92" s="375">
        <f t="shared" si="1"/>
        <v>0.9</v>
      </c>
    </row>
    <row r="93" spans="1:8">
      <c r="A93" s="423">
        <v>10072237</v>
      </c>
      <c r="B93" s="416" t="s">
        <v>492</v>
      </c>
      <c r="C93" s="423" t="s">
        <v>152</v>
      </c>
      <c r="D93" s="416" t="s">
        <v>85</v>
      </c>
      <c r="E93" s="416">
        <v>2</v>
      </c>
      <c r="F93" s="416">
        <v>12</v>
      </c>
      <c r="G93" s="417">
        <v>0.16669999999999999</v>
      </c>
      <c r="H93" s="375">
        <f t="shared" si="1"/>
        <v>0.8</v>
      </c>
    </row>
    <row r="94" spans="1:8">
      <c r="A94" s="421">
        <v>10072249</v>
      </c>
      <c r="B94" s="422" t="s">
        <v>500</v>
      </c>
      <c r="C94" s="421" t="s">
        <v>152</v>
      </c>
      <c r="D94" s="422" t="s">
        <v>85</v>
      </c>
      <c r="E94" s="416">
        <v>3</v>
      </c>
      <c r="F94" s="416">
        <v>15</v>
      </c>
      <c r="G94" s="417">
        <v>0.2</v>
      </c>
      <c r="H94" s="375">
        <f t="shared" ref="H94:H157" si="2">IF($F94=0,"NO SCORE",IF(G94&lt;=4.99%,100%,IF(G94&lt;=14.99%,90%,IF(G94&lt;=24.99%,80%,IF(G94&lt;=29.99%,70%,0%)))))</f>
        <v>0.8</v>
      </c>
    </row>
    <row r="95" spans="1:8">
      <c r="A95" s="423">
        <v>10071067</v>
      </c>
      <c r="B95" s="416" t="s">
        <v>514</v>
      </c>
      <c r="C95" s="423" t="s">
        <v>152</v>
      </c>
      <c r="D95" s="416" t="s">
        <v>85</v>
      </c>
      <c r="E95" s="416">
        <v>5</v>
      </c>
      <c r="F95" s="416">
        <v>22</v>
      </c>
      <c r="G95" s="417">
        <v>0.2273</v>
      </c>
      <c r="H95" s="375">
        <f t="shared" si="2"/>
        <v>0.8</v>
      </c>
    </row>
    <row r="96" spans="1:8">
      <c r="A96" s="421">
        <v>10071420</v>
      </c>
      <c r="B96" s="422" t="s">
        <v>518</v>
      </c>
      <c r="C96" s="421" t="s">
        <v>152</v>
      </c>
      <c r="D96" s="422" t="s">
        <v>85</v>
      </c>
      <c r="E96" s="416">
        <v>4</v>
      </c>
      <c r="F96" s="416">
        <v>20</v>
      </c>
      <c r="G96" s="417">
        <v>0.2</v>
      </c>
      <c r="H96" s="375">
        <f t="shared" si="2"/>
        <v>0.8</v>
      </c>
    </row>
    <row r="97" spans="1:9">
      <c r="A97" s="423">
        <v>10071677</v>
      </c>
      <c r="B97" s="416" t="s">
        <v>529</v>
      </c>
      <c r="C97" s="423" t="s">
        <v>152</v>
      </c>
      <c r="D97" s="416" t="s">
        <v>85</v>
      </c>
      <c r="E97" s="416">
        <v>3</v>
      </c>
      <c r="F97" s="416">
        <v>27</v>
      </c>
      <c r="G97" s="417">
        <v>0.1111</v>
      </c>
      <c r="H97" s="375">
        <f t="shared" si="2"/>
        <v>0.9</v>
      </c>
    </row>
    <row r="98" spans="1:9">
      <c r="A98" s="421">
        <v>10071253</v>
      </c>
      <c r="B98" s="422" t="s">
        <v>534</v>
      </c>
      <c r="C98" s="421" t="s">
        <v>152</v>
      </c>
      <c r="D98" s="422" t="s">
        <v>85</v>
      </c>
      <c r="E98" s="416">
        <v>0</v>
      </c>
      <c r="F98" s="416">
        <v>18</v>
      </c>
      <c r="G98" s="417">
        <v>0</v>
      </c>
      <c r="H98" s="375">
        <f t="shared" si="2"/>
        <v>1</v>
      </c>
    </row>
    <row r="99" spans="1:9">
      <c r="A99" s="423">
        <v>10072450</v>
      </c>
      <c r="B99" s="416" t="s">
        <v>546</v>
      </c>
      <c r="C99" s="423" t="s">
        <v>152</v>
      </c>
      <c r="D99" s="416" t="s">
        <v>85</v>
      </c>
      <c r="E99" s="416">
        <v>5</v>
      </c>
      <c r="F99" s="416">
        <v>22</v>
      </c>
      <c r="G99" s="417">
        <v>0.2273</v>
      </c>
      <c r="H99" s="375">
        <f t="shared" si="2"/>
        <v>0.8</v>
      </c>
    </row>
    <row r="100" spans="1:9">
      <c r="A100" s="421">
        <v>10072440</v>
      </c>
      <c r="B100" s="422" t="s">
        <v>554</v>
      </c>
      <c r="C100" s="421" t="s">
        <v>152</v>
      </c>
      <c r="D100" s="422" t="s">
        <v>85</v>
      </c>
      <c r="E100" s="416">
        <v>1</v>
      </c>
      <c r="F100" s="416">
        <v>12</v>
      </c>
      <c r="G100" s="417">
        <v>8.3333333333333329E-2</v>
      </c>
      <c r="H100" s="375">
        <f t="shared" si="2"/>
        <v>0.9</v>
      </c>
      <c r="I100" s="606"/>
    </row>
    <row r="101" spans="1:9">
      <c r="A101" s="423">
        <v>10072255</v>
      </c>
      <c r="B101" s="416" t="s">
        <v>166</v>
      </c>
      <c r="C101" s="423" t="s">
        <v>152</v>
      </c>
      <c r="D101" s="416" t="s">
        <v>85</v>
      </c>
      <c r="E101" s="416">
        <v>5</v>
      </c>
      <c r="F101" s="416">
        <v>17</v>
      </c>
      <c r="G101" s="417">
        <v>0.29409999999999997</v>
      </c>
      <c r="H101" s="375">
        <f t="shared" si="2"/>
        <v>0.7</v>
      </c>
    </row>
    <row r="102" spans="1:9">
      <c r="A102" s="421">
        <v>10072201</v>
      </c>
      <c r="B102" s="422" t="s">
        <v>425</v>
      </c>
      <c r="C102" s="421" t="s">
        <v>137</v>
      </c>
      <c r="D102" s="422" t="s">
        <v>85</v>
      </c>
      <c r="E102" s="416">
        <v>0</v>
      </c>
      <c r="F102" s="416">
        <v>1</v>
      </c>
      <c r="G102" s="417">
        <v>0</v>
      </c>
      <c r="H102" s="375">
        <f t="shared" si="2"/>
        <v>1</v>
      </c>
    </row>
    <row r="103" spans="1:9">
      <c r="A103" s="423">
        <v>10071631</v>
      </c>
      <c r="B103" s="416" t="s">
        <v>426</v>
      </c>
      <c r="C103" s="423" t="s">
        <v>137</v>
      </c>
      <c r="D103" s="416" t="s">
        <v>85</v>
      </c>
      <c r="E103" s="416">
        <v>3</v>
      </c>
      <c r="F103" s="416">
        <v>23</v>
      </c>
      <c r="G103" s="417">
        <v>0.13039999999999999</v>
      </c>
      <c r="H103" s="375">
        <f t="shared" si="2"/>
        <v>0.9</v>
      </c>
    </row>
    <row r="104" spans="1:9">
      <c r="A104" s="421">
        <v>10072157</v>
      </c>
      <c r="B104" s="422" t="s">
        <v>437</v>
      </c>
      <c r="C104" s="421" t="s">
        <v>137</v>
      </c>
      <c r="D104" s="422" t="s">
        <v>85</v>
      </c>
      <c r="E104" s="416">
        <v>3</v>
      </c>
      <c r="F104" s="416">
        <v>25</v>
      </c>
      <c r="G104" s="417">
        <v>0.12</v>
      </c>
      <c r="H104" s="375">
        <f t="shared" si="2"/>
        <v>0.9</v>
      </c>
    </row>
    <row r="105" spans="1:9">
      <c r="A105" s="423">
        <v>10071958</v>
      </c>
      <c r="B105" s="416" t="s">
        <v>442</v>
      </c>
      <c r="C105" s="423" t="s">
        <v>137</v>
      </c>
      <c r="D105" s="416" t="s">
        <v>85</v>
      </c>
      <c r="E105" s="416">
        <v>4</v>
      </c>
      <c r="F105" s="416">
        <v>24</v>
      </c>
      <c r="G105" s="417">
        <v>0.16669999999999999</v>
      </c>
      <c r="H105" s="375">
        <f t="shared" si="2"/>
        <v>0.8</v>
      </c>
    </row>
    <row r="106" spans="1:9">
      <c r="A106" s="421">
        <v>10071039</v>
      </c>
      <c r="B106" s="422" t="s">
        <v>470</v>
      </c>
      <c r="C106" s="421" t="s">
        <v>137</v>
      </c>
      <c r="D106" s="422" t="s">
        <v>85</v>
      </c>
      <c r="E106" s="416">
        <v>0</v>
      </c>
      <c r="F106" s="416">
        <v>14</v>
      </c>
      <c r="G106" s="417">
        <v>0</v>
      </c>
      <c r="H106" s="375">
        <f t="shared" si="2"/>
        <v>1</v>
      </c>
    </row>
    <row r="107" spans="1:9">
      <c r="A107" s="423">
        <v>10071261</v>
      </c>
      <c r="B107" s="416" t="s">
        <v>476</v>
      </c>
      <c r="C107" s="423" t="s">
        <v>137</v>
      </c>
      <c r="D107" s="416" t="s">
        <v>85</v>
      </c>
      <c r="E107" s="416">
        <v>1</v>
      </c>
      <c r="F107" s="416">
        <v>11</v>
      </c>
      <c r="G107" s="417">
        <v>9.0899999999999995E-2</v>
      </c>
      <c r="H107" s="375">
        <f t="shared" si="2"/>
        <v>0.9</v>
      </c>
    </row>
    <row r="108" spans="1:9">
      <c r="A108" s="421">
        <v>10071751</v>
      </c>
      <c r="B108" s="422" t="s">
        <v>477</v>
      </c>
      <c r="C108" s="421" t="s">
        <v>137</v>
      </c>
      <c r="D108" s="422" t="s">
        <v>85</v>
      </c>
      <c r="E108" s="416">
        <v>4</v>
      </c>
      <c r="F108" s="416">
        <v>26</v>
      </c>
      <c r="G108" s="417">
        <v>0.15379999999999999</v>
      </c>
      <c r="H108" s="375">
        <f t="shared" si="2"/>
        <v>0.8</v>
      </c>
    </row>
    <row r="109" spans="1:9">
      <c r="A109" s="423">
        <v>10072238</v>
      </c>
      <c r="B109" s="416" t="s">
        <v>487</v>
      </c>
      <c r="C109" s="423" t="s">
        <v>137</v>
      </c>
      <c r="D109" s="416" t="s">
        <v>85</v>
      </c>
      <c r="E109" s="416">
        <v>5</v>
      </c>
      <c r="F109" s="416">
        <v>28</v>
      </c>
      <c r="G109" s="417">
        <v>0.17860000000000001</v>
      </c>
      <c r="H109" s="375">
        <f t="shared" si="2"/>
        <v>0.8</v>
      </c>
    </row>
    <row r="110" spans="1:9">
      <c r="A110" s="421">
        <v>10071275</v>
      </c>
      <c r="B110" s="422" t="s">
        <v>495</v>
      </c>
      <c r="C110" s="421" t="s">
        <v>137</v>
      </c>
      <c r="D110" s="422" t="s">
        <v>85</v>
      </c>
      <c r="E110" s="416">
        <v>0</v>
      </c>
      <c r="F110" s="416">
        <v>6</v>
      </c>
      <c r="G110" s="417">
        <v>0</v>
      </c>
      <c r="H110" s="375">
        <f t="shared" si="2"/>
        <v>1</v>
      </c>
    </row>
    <row r="111" spans="1:9">
      <c r="A111" s="423">
        <v>10072233</v>
      </c>
      <c r="B111" s="416" t="s">
        <v>523</v>
      </c>
      <c r="C111" s="423" t="s">
        <v>137</v>
      </c>
      <c r="D111" s="416" t="s">
        <v>85</v>
      </c>
      <c r="E111" s="416">
        <v>5</v>
      </c>
      <c r="F111" s="416">
        <v>31</v>
      </c>
      <c r="G111" s="417">
        <v>0.1613</v>
      </c>
      <c r="H111" s="375">
        <f t="shared" si="2"/>
        <v>0.8</v>
      </c>
    </row>
    <row r="112" spans="1:9">
      <c r="A112" s="421">
        <v>10072031</v>
      </c>
      <c r="B112" s="422" t="s">
        <v>475</v>
      </c>
      <c r="C112" s="421" t="s">
        <v>84</v>
      </c>
      <c r="D112" s="422" t="s">
        <v>85</v>
      </c>
      <c r="E112" s="416">
        <v>2</v>
      </c>
      <c r="F112" s="416">
        <v>22</v>
      </c>
      <c r="G112" s="417">
        <v>9.0899999999999995E-2</v>
      </c>
      <c r="H112" s="375">
        <f t="shared" si="2"/>
        <v>0.9</v>
      </c>
    </row>
    <row r="113" spans="1:8">
      <c r="A113" s="423">
        <v>10070976</v>
      </c>
      <c r="B113" s="416" t="s">
        <v>557</v>
      </c>
      <c r="C113" s="423" t="s">
        <v>84</v>
      </c>
      <c r="D113" s="416" t="s">
        <v>85</v>
      </c>
      <c r="E113" s="416">
        <v>2</v>
      </c>
      <c r="F113" s="416">
        <v>14</v>
      </c>
      <c r="G113" s="417">
        <v>0.1429</v>
      </c>
      <c r="H113" s="375">
        <f t="shared" si="2"/>
        <v>0.9</v>
      </c>
    </row>
    <row r="114" spans="1:8">
      <c r="A114" s="421">
        <v>10072438</v>
      </c>
      <c r="B114" s="422" t="s">
        <v>423</v>
      </c>
      <c r="C114" s="421" t="s">
        <v>200</v>
      </c>
      <c r="D114" s="422" t="s">
        <v>170</v>
      </c>
      <c r="E114" s="416">
        <v>4</v>
      </c>
      <c r="F114" s="416">
        <v>27</v>
      </c>
      <c r="G114" s="417">
        <v>0.14810000000000001</v>
      </c>
      <c r="H114" s="375">
        <f t="shared" si="2"/>
        <v>0.9</v>
      </c>
    </row>
    <row r="115" spans="1:8">
      <c r="A115" s="423">
        <v>10071803</v>
      </c>
      <c r="B115" s="416" t="s">
        <v>439</v>
      </c>
      <c r="C115" s="423" t="s">
        <v>169</v>
      </c>
      <c r="D115" s="416" t="s">
        <v>170</v>
      </c>
      <c r="E115" s="416">
        <v>3</v>
      </c>
      <c r="F115" s="416">
        <v>24</v>
      </c>
      <c r="G115" s="417">
        <v>0.125</v>
      </c>
      <c r="H115" s="375">
        <f t="shared" si="2"/>
        <v>0.9</v>
      </c>
    </row>
    <row r="116" spans="1:8">
      <c r="A116" s="421">
        <v>10072460</v>
      </c>
      <c r="B116" s="422" t="s">
        <v>455</v>
      </c>
      <c r="C116" s="421" t="s">
        <v>214</v>
      </c>
      <c r="D116" s="422" t="s">
        <v>170</v>
      </c>
      <c r="E116" s="416">
        <v>1</v>
      </c>
      <c r="F116" s="416">
        <v>8</v>
      </c>
      <c r="G116" s="417">
        <v>0.125</v>
      </c>
      <c r="H116" s="375">
        <f t="shared" si="2"/>
        <v>0.9</v>
      </c>
    </row>
    <row r="117" spans="1:8">
      <c r="A117" s="423">
        <v>10072063</v>
      </c>
      <c r="B117" s="416" t="s">
        <v>472</v>
      </c>
      <c r="C117" s="423" t="s">
        <v>84</v>
      </c>
      <c r="D117" s="416" t="s">
        <v>85</v>
      </c>
      <c r="E117" s="416">
        <v>3</v>
      </c>
      <c r="F117" s="416">
        <v>23</v>
      </c>
      <c r="G117" s="417">
        <v>0.13039999999999999</v>
      </c>
      <c r="H117" s="375">
        <f t="shared" si="2"/>
        <v>0.9</v>
      </c>
    </row>
    <row r="118" spans="1:8">
      <c r="A118" s="421">
        <v>10072076</v>
      </c>
      <c r="B118" s="422" t="s">
        <v>473</v>
      </c>
      <c r="C118" s="421" t="s">
        <v>169</v>
      </c>
      <c r="D118" s="422" t="s">
        <v>170</v>
      </c>
      <c r="E118" s="416">
        <v>3</v>
      </c>
      <c r="F118" s="416">
        <v>19</v>
      </c>
      <c r="G118" s="417">
        <v>0.15790000000000001</v>
      </c>
      <c r="H118" s="375">
        <f t="shared" si="2"/>
        <v>0.8</v>
      </c>
    </row>
    <row r="119" spans="1:8">
      <c r="A119" s="423">
        <v>10072026</v>
      </c>
      <c r="B119" s="416" t="s">
        <v>491</v>
      </c>
      <c r="C119" s="423" t="s">
        <v>137</v>
      </c>
      <c r="D119" s="416" t="s">
        <v>85</v>
      </c>
      <c r="E119" s="416">
        <v>4</v>
      </c>
      <c r="F119" s="416">
        <v>29</v>
      </c>
      <c r="G119" s="417">
        <v>0.13789999999999999</v>
      </c>
      <c r="H119" s="375">
        <f t="shared" si="2"/>
        <v>0.9</v>
      </c>
    </row>
    <row r="120" spans="1:8">
      <c r="A120" s="421">
        <v>10072073</v>
      </c>
      <c r="B120" s="422" t="s">
        <v>724</v>
      </c>
      <c r="C120" s="421" t="s">
        <v>200</v>
      </c>
      <c r="D120" s="422" t="s">
        <v>170</v>
      </c>
      <c r="E120" s="416">
        <v>1</v>
      </c>
      <c r="F120" s="416">
        <v>14</v>
      </c>
      <c r="G120" s="417">
        <v>7.1400000000000005E-2</v>
      </c>
      <c r="H120" s="375">
        <f t="shared" si="2"/>
        <v>0.9</v>
      </c>
    </row>
    <row r="121" spans="1:8">
      <c r="A121" s="423">
        <v>10070729</v>
      </c>
      <c r="B121" s="416" t="s">
        <v>544</v>
      </c>
      <c r="C121" s="423" t="s">
        <v>152</v>
      </c>
      <c r="D121" s="416" t="s">
        <v>85</v>
      </c>
      <c r="E121" s="416">
        <v>1</v>
      </c>
      <c r="F121" s="416">
        <v>14</v>
      </c>
      <c r="G121" s="417">
        <v>7.1400000000000005E-2</v>
      </c>
      <c r="H121" s="375">
        <f t="shared" si="2"/>
        <v>0.9</v>
      </c>
    </row>
    <row r="122" spans="1:8">
      <c r="A122" s="421">
        <v>10071903</v>
      </c>
      <c r="B122" s="422" t="s">
        <v>551</v>
      </c>
      <c r="C122" s="421" t="s">
        <v>214</v>
      </c>
      <c r="D122" s="422" t="s">
        <v>170</v>
      </c>
      <c r="E122" s="416">
        <v>0</v>
      </c>
      <c r="F122" s="416">
        <v>15</v>
      </c>
      <c r="G122" s="417">
        <v>0</v>
      </c>
      <c r="H122" s="375">
        <f t="shared" si="2"/>
        <v>1</v>
      </c>
    </row>
    <row r="123" spans="1:8">
      <c r="A123" s="423">
        <v>10071750</v>
      </c>
      <c r="B123" s="416" t="s">
        <v>561</v>
      </c>
      <c r="C123" s="423" t="s">
        <v>84</v>
      </c>
      <c r="D123" s="416" t="s">
        <v>85</v>
      </c>
      <c r="E123" s="416">
        <v>2</v>
      </c>
      <c r="F123" s="416">
        <v>17</v>
      </c>
      <c r="G123" s="417">
        <v>0.1176</v>
      </c>
      <c r="H123" s="375">
        <f t="shared" si="2"/>
        <v>0.9</v>
      </c>
    </row>
    <row r="124" spans="1:8">
      <c r="A124" s="421">
        <v>10072159</v>
      </c>
      <c r="B124" s="422" t="s">
        <v>150</v>
      </c>
      <c r="C124" s="421" t="s">
        <v>137</v>
      </c>
      <c r="D124" s="422" t="s">
        <v>85</v>
      </c>
      <c r="E124" s="416">
        <v>2</v>
      </c>
      <c r="F124" s="416">
        <v>17</v>
      </c>
      <c r="G124" s="417">
        <v>0.1176</v>
      </c>
      <c r="H124" s="375">
        <f t="shared" si="2"/>
        <v>0.9</v>
      </c>
    </row>
    <row r="125" spans="1:8">
      <c r="A125" s="423">
        <v>10072179</v>
      </c>
      <c r="B125" s="416" t="s">
        <v>435</v>
      </c>
      <c r="C125" s="423" t="s">
        <v>137</v>
      </c>
      <c r="D125" s="416" t="s">
        <v>85</v>
      </c>
      <c r="E125" s="416">
        <v>1</v>
      </c>
      <c r="F125" s="416">
        <v>23</v>
      </c>
      <c r="G125" s="417">
        <v>4.3499999999999997E-2</v>
      </c>
      <c r="H125" s="375">
        <f t="shared" si="2"/>
        <v>1</v>
      </c>
    </row>
    <row r="126" spans="1:8">
      <c r="A126" s="421">
        <v>10072156</v>
      </c>
      <c r="B126" s="422" t="s">
        <v>421</v>
      </c>
      <c r="C126" s="421" t="s">
        <v>124</v>
      </c>
      <c r="D126" s="422" t="s">
        <v>106</v>
      </c>
      <c r="E126" s="416">
        <v>0</v>
      </c>
      <c r="F126" s="416">
        <v>3</v>
      </c>
      <c r="G126" s="417">
        <v>0</v>
      </c>
      <c r="H126" s="375">
        <f t="shared" si="2"/>
        <v>1</v>
      </c>
    </row>
    <row r="127" spans="1:8">
      <c r="A127" s="423">
        <v>10072301</v>
      </c>
      <c r="B127" s="416" t="s">
        <v>424</v>
      </c>
      <c r="C127" s="423" t="s">
        <v>124</v>
      </c>
      <c r="D127" s="416" t="s">
        <v>106</v>
      </c>
      <c r="E127" s="416">
        <v>0</v>
      </c>
      <c r="F127" s="416">
        <v>23</v>
      </c>
      <c r="G127" s="417">
        <v>0</v>
      </c>
      <c r="H127" s="375">
        <f t="shared" si="2"/>
        <v>1</v>
      </c>
    </row>
    <row r="128" spans="1:8">
      <c r="A128" s="421">
        <v>10071278</v>
      </c>
      <c r="B128" s="422" t="s">
        <v>451</v>
      </c>
      <c r="C128" s="421" t="s">
        <v>124</v>
      </c>
      <c r="D128" s="422" t="s">
        <v>106</v>
      </c>
      <c r="E128" s="416">
        <v>0</v>
      </c>
      <c r="F128" s="416">
        <v>4</v>
      </c>
      <c r="G128" s="417">
        <v>0</v>
      </c>
      <c r="H128" s="375">
        <f t="shared" si="2"/>
        <v>1</v>
      </c>
    </row>
    <row r="129" spans="1:10">
      <c r="A129" s="423">
        <v>10072207</v>
      </c>
      <c r="B129" s="416" t="s">
        <v>461</v>
      </c>
      <c r="C129" s="423" t="s">
        <v>124</v>
      </c>
      <c r="D129" s="416" t="s">
        <v>106</v>
      </c>
      <c r="E129" s="416">
        <v>0</v>
      </c>
      <c r="F129" s="416">
        <v>8</v>
      </c>
      <c r="G129" s="417">
        <v>0</v>
      </c>
      <c r="H129" s="375">
        <f t="shared" si="2"/>
        <v>1</v>
      </c>
    </row>
    <row r="130" spans="1:10">
      <c r="A130" s="421">
        <v>10071198</v>
      </c>
      <c r="B130" s="422" t="s">
        <v>463</v>
      </c>
      <c r="C130" s="421" t="s">
        <v>124</v>
      </c>
      <c r="D130" s="422" t="s">
        <v>106</v>
      </c>
      <c r="E130" s="416">
        <v>0</v>
      </c>
      <c r="F130" s="416">
        <v>6</v>
      </c>
      <c r="G130" s="417">
        <v>0</v>
      </c>
      <c r="H130" s="375">
        <f t="shared" si="2"/>
        <v>1</v>
      </c>
    </row>
    <row r="131" spans="1:10">
      <c r="A131" s="423">
        <v>10072040</v>
      </c>
      <c r="B131" s="416" t="s">
        <v>474</v>
      </c>
      <c r="C131" s="423" t="s">
        <v>124</v>
      </c>
      <c r="D131" s="416" t="s">
        <v>106</v>
      </c>
      <c r="E131" s="416">
        <v>0</v>
      </c>
      <c r="F131" s="416">
        <v>0</v>
      </c>
      <c r="G131" s="417" t="s">
        <v>14</v>
      </c>
      <c r="H131" s="375" t="str">
        <f t="shared" si="2"/>
        <v>NO SCORE</v>
      </c>
    </row>
    <row r="132" spans="1:10">
      <c r="A132" s="421">
        <v>10071199</v>
      </c>
      <c r="B132" s="422" t="s">
        <v>481</v>
      </c>
      <c r="C132" s="421" t="s">
        <v>124</v>
      </c>
      <c r="D132" s="422" t="s">
        <v>106</v>
      </c>
      <c r="E132" s="416">
        <v>0</v>
      </c>
      <c r="F132" s="416">
        <v>3</v>
      </c>
      <c r="G132" s="417">
        <v>0</v>
      </c>
      <c r="H132" s="375">
        <f t="shared" si="2"/>
        <v>1</v>
      </c>
    </row>
    <row r="133" spans="1:10">
      <c r="A133" s="423">
        <v>10072452</v>
      </c>
      <c r="B133" s="416" t="s">
        <v>530</v>
      </c>
      <c r="C133" s="423" t="s">
        <v>124</v>
      </c>
      <c r="D133" s="416" t="s">
        <v>106</v>
      </c>
      <c r="E133" s="416">
        <v>0</v>
      </c>
      <c r="F133" s="416">
        <v>0</v>
      </c>
      <c r="G133" s="417" t="s">
        <v>14</v>
      </c>
      <c r="H133" s="375" t="str">
        <f t="shared" si="2"/>
        <v>NO SCORE</v>
      </c>
    </row>
    <row r="134" spans="1:10">
      <c r="A134" s="421">
        <v>10071178</v>
      </c>
      <c r="B134" s="422" t="s">
        <v>531</v>
      </c>
      <c r="C134" s="421" t="s">
        <v>124</v>
      </c>
      <c r="D134" s="422" t="s">
        <v>106</v>
      </c>
      <c r="E134" s="416">
        <v>0</v>
      </c>
      <c r="F134" s="416">
        <v>0</v>
      </c>
      <c r="G134" s="417" t="s">
        <v>14</v>
      </c>
      <c r="H134" s="375" t="str">
        <f t="shared" si="2"/>
        <v>NO SCORE</v>
      </c>
    </row>
    <row r="135" spans="1:10">
      <c r="A135" s="423">
        <v>10071439</v>
      </c>
      <c r="B135" s="416" t="s">
        <v>533</v>
      </c>
      <c r="C135" s="423" t="s">
        <v>124</v>
      </c>
      <c r="D135" s="416" t="s">
        <v>106</v>
      </c>
      <c r="E135" s="416">
        <v>0</v>
      </c>
      <c r="F135" s="416">
        <v>0</v>
      </c>
      <c r="G135" s="417" t="s">
        <v>14</v>
      </c>
      <c r="H135" s="375" t="str">
        <f t="shared" si="2"/>
        <v>NO SCORE</v>
      </c>
      <c r="J135" s="485"/>
    </row>
    <row r="136" spans="1:10">
      <c r="A136" s="421">
        <v>10071314</v>
      </c>
      <c r="B136" s="422" t="s">
        <v>556</v>
      </c>
      <c r="C136" s="421" t="s">
        <v>124</v>
      </c>
      <c r="D136" s="422" t="s">
        <v>106</v>
      </c>
      <c r="E136" s="416">
        <v>0</v>
      </c>
      <c r="F136" s="416">
        <v>2</v>
      </c>
      <c r="G136" s="417">
        <v>0</v>
      </c>
      <c r="H136" s="375">
        <f t="shared" si="2"/>
        <v>1</v>
      </c>
    </row>
    <row r="137" spans="1:10">
      <c r="A137" s="423">
        <v>10071904</v>
      </c>
      <c r="B137" s="416" t="s">
        <v>438</v>
      </c>
      <c r="C137" s="423" t="s">
        <v>124</v>
      </c>
      <c r="D137" s="416" t="s">
        <v>106</v>
      </c>
      <c r="E137" s="416">
        <v>0</v>
      </c>
      <c r="F137" s="416">
        <v>6</v>
      </c>
      <c r="G137" s="417">
        <v>0</v>
      </c>
      <c r="H137" s="375">
        <f t="shared" si="2"/>
        <v>1</v>
      </c>
    </row>
    <row r="138" spans="1:10">
      <c r="A138" s="421">
        <v>10071775</v>
      </c>
      <c r="B138" s="422" t="s">
        <v>471</v>
      </c>
      <c r="C138" s="421" t="s">
        <v>84</v>
      </c>
      <c r="D138" s="422" t="s">
        <v>85</v>
      </c>
      <c r="E138" s="416">
        <v>1</v>
      </c>
      <c r="F138" s="416">
        <v>16</v>
      </c>
      <c r="G138" s="417">
        <v>6.25E-2</v>
      </c>
      <c r="H138" s="375">
        <f t="shared" si="2"/>
        <v>0.9</v>
      </c>
    </row>
    <row r="139" spans="1:10">
      <c r="A139" s="423">
        <v>10072158</v>
      </c>
      <c r="B139" s="416" t="s">
        <v>446</v>
      </c>
      <c r="C139" s="423" t="s">
        <v>84</v>
      </c>
      <c r="D139" s="416" t="s">
        <v>85</v>
      </c>
      <c r="E139" s="416">
        <v>2</v>
      </c>
      <c r="F139" s="416">
        <v>15</v>
      </c>
      <c r="G139" s="417">
        <v>0.1333</v>
      </c>
      <c r="H139" s="375">
        <f t="shared" si="2"/>
        <v>0.9</v>
      </c>
    </row>
    <row r="140" spans="1:10">
      <c r="A140" s="421">
        <v>10071899</v>
      </c>
      <c r="B140" s="422" t="s">
        <v>447</v>
      </c>
      <c r="C140" s="421" t="s">
        <v>84</v>
      </c>
      <c r="D140" s="422" t="s">
        <v>85</v>
      </c>
      <c r="E140" s="416">
        <v>2</v>
      </c>
      <c r="F140" s="416">
        <v>9</v>
      </c>
      <c r="G140" s="417">
        <v>0.22220000000000001</v>
      </c>
      <c r="H140" s="375">
        <f t="shared" si="2"/>
        <v>0.8</v>
      </c>
    </row>
    <row r="141" spans="1:10">
      <c r="A141" s="423">
        <v>10071594</v>
      </c>
      <c r="B141" s="416" t="s">
        <v>462</v>
      </c>
      <c r="C141" s="423" t="s">
        <v>84</v>
      </c>
      <c r="D141" s="416" t="s">
        <v>85</v>
      </c>
      <c r="E141" s="416">
        <v>2</v>
      </c>
      <c r="F141" s="416">
        <v>20</v>
      </c>
      <c r="G141" s="417">
        <v>0.1</v>
      </c>
      <c r="H141" s="375">
        <f t="shared" si="2"/>
        <v>0.9</v>
      </c>
    </row>
    <row r="142" spans="1:10">
      <c r="A142" s="421">
        <v>10071592</v>
      </c>
      <c r="B142" s="422" t="s">
        <v>496</v>
      </c>
      <c r="C142" s="421" t="s">
        <v>84</v>
      </c>
      <c r="D142" s="422" t="s">
        <v>85</v>
      </c>
      <c r="E142" s="416">
        <v>2</v>
      </c>
      <c r="F142" s="416">
        <v>11</v>
      </c>
      <c r="G142" s="417">
        <v>0.18179999999999999</v>
      </c>
      <c r="H142" s="375">
        <f t="shared" si="2"/>
        <v>0.8</v>
      </c>
    </row>
    <row r="143" spans="1:10">
      <c r="A143" s="423">
        <v>10072228</v>
      </c>
      <c r="B143" s="416" t="s">
        <v>499</v>
      </c>
      <c r="C143" s="423" t="s">
        <v>84</v>
      </c>
      <c r="D143" s="416" t="s">
        <v>85</v>
      </c>
      <c r="E143" s="416">
        <v>0</v>
      </c>
      <c r="F143" s="416">
        <v>11</v>
      </c>
      <c r="G143" s="417">
        <v>0</v>
      </c>
      <c r="H143" s="375">
        <f t="shared" si="2"/>
        <v>1</v>
      </c>
    </row>
    <row r="144" spans="1:10">
      <c r="A144" s="421">
        <v>10072161</v>
      </c>
      <c r="B144" s="422" t="s">
        <v>504</v>
      </c>
      <c r="C144" s="421" t="s">
        <v>84</v>
      </c>
      <c r="D144" s="422" t="s">
        <v>85</v>
      </c>
      <c r="E144" s="416">
        <v>0</v>
      </c>
      <c r="F144" s="416">
        <v>0</v>
      </c>
      <c r="G144" s="417" t="s">
        <v>14</v>
      </c>
      <c r="H144" s="375" t="str">
        <f t="shared" si="2"/>
        <v>NO SCORE</v>
      </c>
    </row>
    <row r="145" spans="1:8">
      <c r="A145" s="423">
        <v>10071342</v>
      </c>
      <c r="B145" s="416" t="s">
        <v>510</v>
      </c>
      <c r="C145" s="423" t="s">
        <v>227</v>
      </c>
      <c r="D145" s="416" t="s">
        <v>106</v>
      </c>
      <c r="E145" s="416">
        <v>0</v>
      </c>
      <c r="F145" s="416">
        <v>0</v>
      </c>
      <c r="G145" s="417" t="s">
        <v>14</v>
      </c>
      <c r="H145" s="375" t="str">
        <f t="shared" si="2"/>
        <v>NO SCORE</v>
      </c>
    </row>
    <row r="146" spans="1:8">
      <c r="A146" s="421">
        <v>10071147</v>
      </c>
      <c r="B146" s="422" t="s">
        <v>513</v>
      </c>
      <c r="C146" s="421" t="s">
        <v>84</v>
      </c>
      <c r="D146" s="422" t="s">
        <v>85</v>
      </c>
      <c r="E146" s="416">
        <v>2</v>
      </c>
      <c r="F146" s="416">
        <v>12</v>
      </c>
      <c r="G146" s="417">
        <v>0.16669999999999999</v>
      </c>
      <c r="H146" s="375">
        <f t="shared" si="2"/>
        <v>0.8</v>
      </c>
    </row>
    <row r="147" spans="1:8">
      <c r="A147" s="423">
        <v>10072105</v>
      </c>
      <c r="B147" s="416" t="s">
        <v>559</v>
      </c>
      <c r="C147" s="423" t="s">
        <v>84</v>
      </c>
      <c r="D147" s="416" t="s">
        <v>85</v>
      </c>
      <c r="E147" s="416">
        <v>8</v>
      </c>
      <c r="F147" s="416">
        <v>20</v>
      </c>
      <c r="G147" s="417">
        <v>0.4</v>
      </c>
      <c r="H147" s="375">
        <f t="shared" si="2"/>
        <v>0</v>
      </c>
    </row>
    <row r="148" spans="1:8">
      <c r="A148" s="421">
        <v>10072206</v>
      </c>
      <c r="B148" s="422" t="s">
        <v>99</v>
      </c>
      <c r="C148" s="421" t="s">
        <v>84</v>
      </c>
      <c r="D148" s="422" t="s">
        <v>85</v>
      </c>
      <c r="E148" s="416">
        <v>3</v>
      </c>
      <c r="F148" s="416">
        <v>22</v>
      </c>
      <c r="G148" s="417">
        <v>0.13639999999999999</v>
      </c>
      <c r="H148" s="375">
        <f t="shared" si="2"/>
        <v>0.9</v>
      </c>
    </row>
    <row r="149" spans="1:8">
      <c r="A149" s="423"/>
      <c r="B149" s="416"/>
      <c r="C149" s="423"/>
      <c r="D149" s="416"/>
      <c r="E149" s="416"/>
      <c r="F149" s="416"/>
      <c r="G149" s="417"/>
      <c r="H149" s="375" t="str">
        <f t="shared" si="2"/>
        <v>NO SCORE</v>
      </c>
    </row>
    <row r="150" spans="1:8">
      <c r="A150" s="421"/>
      <c r="B150" s="422"/>
      <c r="C150" s="421"/>
      <c r="D150" s="422"/>
      <c r="E150" s="416"/>
      <c r="F150" s="416"/>
      <c r="G150" s="417"/>
      <c r="H150" s="375" t="str">
        <f t="shared" si="2"/>
        <v>NO SCORE</v>
      </c>
    </row>
    <row r="151" spans="1:8">
      <c r="A151" s="423"/>
      <c r="B151" s="416"/>
      <c r="C151" s="423"/>
      <c r="D151" s="416"/>
      <c r="E151" s="416"/>
      <c r="F151" s="416"/>
      <c r="G151" s="417"/>
      <c r="H151" s="375" t="str">
        <f t="shared" si="2"/>
        <v>NO SCORE</v>
      </c>
    </row>
    <row r="152" spans="1:8">
      <c r="A152" s="421"/>
      <c r="B152" s="422"/>
      <c r="C152" s="421"/>
      <c r="D152" s="422"/>
      <c r="E152" s="416"/>
      <c r="F152" s="416"/>
      <c r="G152" s="417"/>
      <c r="H152" s="375" t="str">
        <f t="shared" si="2"/>
        <v>NO SCORE</v>
      </c>
    </row>
    <row r="153" spans="1:8">
      <c r="A153" s="423"/>
      <c r="B153" s="416"/>
      <c r="C153" s="423"/>
      <c r="D153" s="416"/>
      <c r="E153" s="416"/>
      <c r="F153" s="416"/>
      <c r="G153" s="417"/>
      <c r="H153" s="375" t="str">
        <f t="shared" si="2"/>
        <v>NO SCORE</v>
      </c>
    </row>
    <row r="154" spans="1:8">
      <c r="A154" s="421"/>
      <c r="B154" s="422"/>
      <c r="C154" s="421"/>
      <c r="D154" s="422"/>
      <c r="E154" s="416"/>
      <c r="F154" s="416"/>
      <c r="G154" s="417"/>
      <c r="H154" s="375" t="str">
        <f t="shared" si="2"/>
        <v>NO SCORE</v>
      </c>
    </row>
    <row r="155" spans="1:8">
      <c r="A155" s="423"/>
      <c r="B155" s="416"/>
      <c r="C155" s="423"/>
      <c r="D155" s="416"/>
      <c r="E155" s="416"/>
      <c r="F155" s="416"/>
      <c r="G155" s="417"/>
      <c r="H155" s="375" t="str">
        <f t="shared" si="2"/>
        <v>NO SCORE</v>
      </c>
    </row>
    <row r="156" spans="1:8">
      <c r="A156" s="421"/>
      <c r="B156" s="422"/>
      <c r="C156" s="421"/>
      <c r="D156" s="422"/>
      <c r="E156" s="416"/>
      <c r="F156" s="416"/>
      <c r="G156" s="417"/>
      <c r="H156" s="375" t="str">
        <f t="shared" si="2"/>
        <v>NO SCORE</v>
      </c>
    </row>
    <row r="157" spans="1:8">
      <c r="A157" s="423"/>
      <c r="B157" s="416"/>
      <c r="C157" s="423"/>
      <c r="D157" s="416"/>
      <c r="E157" s="416"/>
      <c r="F157" s="416"/>
      <c r="G157" s="417"/>
      <c r="H157" s="375" t="str">
        <f t="shared" si="2"/>
        <v>NO SCORE</v>
      </c>
    </row>
    <row r="158" spans="1:8">
      <c r="A158" s="421"/>
      <c r="B158" s="422"/>
      <c r="C158" s="421"/>
      <c r="D158" s="422"/>
      <c r="E158" s="416"/>
      <c r="F158" s="416"/>
      <c r="G158" s="417"/>
      <c r="H158" s="375" t="str">
        <f t="shared" ref="H158:H177" si="3">IF($F158=0,"NO SCORE",IF(G158&lt;=4.99%,100%,IF(G158&lt;=14.99%,90%,IF(G158&lt;=24.99%,80%,IF(G158&lt;=29.99%,70%,0%)))))</f>
        <v>NO SCORE</v>
      </c>
    </row>
    <row r="159" spans="1:8">
      <c r="A159" s="423"/>
      <c r="B159" s="416"/>
      <c r="C159" s="423"/>
      <c r="D159" s="416"/>
      <c r="E159" s="416"/>
      <c r="F159" s="416"/>
      <c r="G159" s="417"/>
      <c r="H159" s="375" t="str">
        <f t="shared" si="3"/>
        <v>NO SCORE</v>
      </c>
    </row>
    <row r="160" spans="1:8">
      <c r="A160" s="421"/>
      <c r="B160" s="422"/>
      <c r="C160" s="421"/>
      <c r="D160" s="422"/>
      <c r="E160" s="416"/>
      <c r="F160" s="416"/>
      <c r="G160" s="417"/>
      <c r="H160" s="375" t="str">
        <f t="shared" si="3"/>
        <v>NO SCORE</v>
      </c>
    </row>
    <row r="161" spans="1:8">
      <c r="A161" s="423"/>
      <c r="B161" s="416"/>
      <c r="C161" s="423"/>
      <c r="D161" s="416"/>
      <c r="E161" s="416"/>
      <c r="F161" s="416"/>
      <c r="G161" s="417"/>
      <c r="H161" s="375" t="str">
        <f t="shared" si="3"/>
        <v>NO SCORE</v>
      </c>
    </row>
    <row r="162" spans="1:8">
      <c r="A162" s="421"/>
      <c r="B162" s="422"/>
      <c r="C162" s="421"/>
      <c r="D162" s="422"/>
      <c r="E162" s="416"/>
      <c r="F162" s="416"/>
      <c r="G162" s="417"/>
      <c r="H162" s="375" t="str">
        <f t="shared" si="3"/>
        <v>NO SCORE</v>
      </c>
    </row>
    <row r="163" spans="1:8">
      <c r="A163" s="423"/>
      <c r="B163" s="416"/>
      <c r="C163" s="423"/>
      <c r="D163" s="416"/>
      <c r="E163" s="416"/>
      <c r="F163" s="416"/>
      <c r="G163" s="417"/>
      <c r="H163" s="375" t="str">
        <f t="shared" si="3"/>
        <v>NO SCORE</v>
      </c>
    </row>
    <row r="164" spans="1:8">
      <c r="A164" s="421"/>
      <c r="B164" s="422"/>
      <c r="C164" s="421"/>
      <c r="D164" s="422"/>
      <c r="E164" s="416"/>
      <c r="F164" s="416"/>
      <c r="G164" s="417"/>
      <c r="H164" s="375" t="str">
        <f t="shared" si="3"/>
        <v>NO SCORE</v>
      </c>
    </row>
    <row r="165" spans="1:8">
      <c r="A165" s="423"/>
      <c r="B165" s="416"/>
      <c r="C165" s="423"/>
      <c r="D165" s="416"/>
      <c r="E165" s="416"/>
      <c r="F165" s="416"/>
      <c r="G165" s="417"/>
      <c r="H165" s="375" t="str">
        <f t="shared" si="3"/>
        <v>NO SCORE</v>
      </c>
    </row>
    <row r="166" spans="1:8">
      <c r="A166" s="421"/>
      <c r="B166" s="422"/>
      <c r="C166" s="421"/>
      <c r="D166" s="422"/>
      <c r="E166" s="416"/>
      <c r="F166" s="416"/>
      <c r="G166" s="424"/>
      <c r="H166" s="375" t="str">
        <f t="shared" si="3"/>
        <v>NO SCORE</v>
      </c>
    </row>
    <row r="167" spans="1:8">
      <c r="A167" s="423"/>
      <c r="B167" s="416"/>
      <c r="C167" s="423"/>
      <c r="D167" s="416"/>
      <c r="E167" s="416"/>
      <c r="F167" s="416"/>
      <c r="G167" s="424"/>
      <c r="H167" s="375" t="str">
        <f t="shared" si="3"/>
        <v>NO SCORE</v>
      </c>
    </row>
    <row r="168" spans="1:8">
      <c r="A168" s="421"/>
      <c r="B168" s="422"/>
      <c r="C168" s="421"/>
      <c r="D168" s="422"/>
      <c r="E168" s="416"/>
      <c r="F168" s="416"/>
      <c r="G168" s="417"/>
      <c r="H168" s="375" t="str">
        <f t="shared" si="3"/>
        <v>NO SCORE</v>
      </c>
    </row>
    <row r="169" spans="1:8">
      <c r="A169" s="423"/>
      <c r="B169" s="416"/>
      <c r="C169" s="423"/>
      <c r="D169" s="416"/>
      <c r="E169" s="416"/>
      <c r="F169" s="416"/>
      <c r="G169" s="417"/>
      <c r="H169" s="375" t="str">
        <f t="shared" si="3"/>
        <v>NO SCORE</v>
      </c>
    </row>
    <row r="170" spans="1:8">
      <c r="A170" s="421"/>
      <c r="B170" s="422"/>
      <c r="C170" s="421"/>
      <c r="D170" s="422"/>
      <c r="E170" s="416"/>
      <c r="F170" s="416"/>
      <c r="G170" s="417"/>
      <c r="H170" s="375" t="str">
        <f t="shared" si="3"/>
        <v>NO SCORE</v>
      </c>
    </row>
    <row r="171" spans="1:8">
      <c r="A171" s="423"/>
      <c r="B171" s="416"/>
      <c r="C171" s="423"/>
      <c r="D171" s="416"/>
      <c r="E171" s="416"/>
      <c r="F171" s="416"/>
      <c r="G171" s="417"/>
      <c r="H171" s="375" t="str">
        <f t="shared" si="3"/>
        <v>NO SCORE</v>
      </c>
    </row>
    <row r="172" spans="1:8">
      <c r="A172" s="421"/>
      <c r="B172" s="422"/>
      <c r="C172" s="421"/>
      <c r="D172" s="422"/>
      <c r="E172" s="416"/>
      <c r="F172" s="416"/>
      <c r="G172" s="417"/>
      <c r="H172" s="375" t="str">
        <f t="shared" si="3"/>
        <v>NO SCORE</v>
      </c>
    </row>
    <row r="173" spans="1:8">
      <c r="A173" s="423"/>
      <c r="B173" s="416"/>
      <c r="C173" s="423"/>
      <c r="D173" s="416"/>
      <c r="E173" s="416"/>
      <c r="F173" s="416"/>
      <c r="G173" s="417"/>
      <c r="H173" s="375" t="str">
        <f t="shared" si="3"/>
        <v>NO SCORE</v>
      </c>
    </row>
    <row r="174" spans="1:8">
      <c r="A174" s="421"/>
      <c r="B174" s="422"/>
      <c r="C174" s="421"/>
      <c r="D174" s="422"/>
      <c r="E174" s="416"/>
      <c r="F174" s="416"/>
      <c r="G174" s="417"/>
      <c r="H174" s="375" t="str">
        <f t="shared" si="3"/>
        <v>NO SCORE</v>
      </c>
    </row>
    <row r="175" spans="1:8">
      <c r="A175" s="423"/>
      <c r="B175" s="416"/>
      <c r="C175" s="423"/>
      <c r="D175" s="416"/>
      <c r="E175" s="416"/>
      <c r="F175" s="416"/>
      <c r="G175" s="417"/>
      <c r="H175" s="375" t="str">
        <f t="shared" si="3"/>
        <v>NO SCORE</v>
      </c>
    </row>
    <row r="176" spans="1:8">
      <c r="A176" s="421"/>
      <c r="B176" s="422"/>
      <c r="C176" s="421"/>
      <c r="D176" s="422"/>
      <c r="E176" s="416"/>
      <c r="F176" s="416"/>
      <c r="G176" s="417"/>
      <c r="H176" s="375" t="str">
        <f t="shared" si="3"/>
        <v>NO SCORE</v>
      </c>
    </row>
    <row r="177" spans="1:8">
      <c r="A177" s="421"/>
      <c r="B177" s="422"/>
      <c r="C177" s="421"/>
      <c r="D177" s="422"/>
      <c r="E177" s="416"/>
      <c r="F177" s="416"/>
      <c r="G177" s="417"/>
      <c r="H177" s="375" t="str">
        <f t="shared" si="3"/>
        <v>NO SCORE</v>
      </c>
    </row>
  </sheetData>
  <autoFilter ref="A26:J177"/>
  <mergeCells count="21">
    <mergeCell ref="C17:D20"/>
    <mergeCell ref="E17:E20"/>
    <mergeCell ref="F17:F20"/>
    <mergeCell ref="G17:G20"/>
    <mergeCell ref="D1:D4"/>
    <mergeCell ref="E1:E4"/>
    <mergeCell ref="F1:F4"/>
    <mergeCell ref="G1:G4"/>
    <mergeCell ref="C21:D21"/>
    <mergeCell ref="C22:D22"/>
    <mergeCell ref="C23:D23"/>
    <mergeCell ref="C24:D24"/>
    <mergeCell ref="A26:A29"/>
    <mergeCell ref="B26:B29"/>
    <mergeCell ref="C26:C29"/>
    <mergeCell ref="D26:D29"/>
    <mergeCell ref="E26:E29"/>
    <mergeCell ref="F26:F29"/>
    <mergeCell ref="G26:G29"/>
    <mergeCell ref="R1:S1"/>
    <mergeCell ref="H1:H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showGridLines="0" showRowColHeaders="0" tabSelected="1" topLeftCell="A2" workbookViewId="0">
      <pane xSplit="29" ySplit="38" topLeftCell="AD40" activePane="bottomRight" state="frozen"/>
      <selection pane="topRight" activeCell="AD2" sqref="AD2"/>
      <selection pane="bottomLeft" activeCell="A40" sqref="A40"/>
      <selection pane="bottomRight" activeCell="AD40" sqref="AD40"/>
    </sheetView>
  </sheetViews>
  <sheetFormatPr defaultRowHeight="15"/>
  <cols>
    <col min="1" max="16384" width="9.140625" style="608"/>
  </cols>
  <sheetData/>
  <sheetProtection algorithmName="SHA-512" hashValue="jP2AxnKgf8GYT+dmL2y1M0BzdK0+q44ZzCfOYajH66OGTT+ET70SJyM1nDbWixS6jrwCMJL62Lv4jno9WhOy2w==" saltValue="KvYT02IUTUltgQ+lYX0wcw==" spinCount="100000" sheet="1" objects="1" scenarios="1" selectLockedCells="1" autoFilter="0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V293"/>
  <sheetViews>
    <sheetView showGridLines="0" topLeftCell="B1" zoomScale="85" zoomScaleNormal="85" workbookViewId="0">
      <pane xSplit="5" ySplit="3" topLeftCell="U10" activePane="bottomRight" state="frozen"/>
      <selection pane="topRight" activeCell="G1" sqref="G1"/>
      <selection pane="bottomLeft" activeCell="B3" sqref="B3"/>
      <selection pane="bottomRight" activeCell="B3" sqref="B3"/>
    </sheetView>
  </sheetViews>
  <sheetFormatPr defaultRowHeight="15"/>
  <cols>
    <col min="1" max="1" width="13.42578125" style="10" hidden="1" customWidth="1"/>
    <col min="2" max="2" width="9.7109375" style="633" bestFit="1" customWidth="1"/>
    <col min="3" max="3" width="17.85546875" style="633" bestFit="1" customWidth="1"/>
    <col min="4" max="4" width="32" style="633" bestFit="1" customWidth="1"/>
    <col min="5" max="5" width="27.5703125" style="633" customWidth="1"/>
    <col min="6" max="6" width="25.28515625" style="633" customWidth="1"/>
    <col min="7" max="7" width="22.7109375" style="633" customWidth="1"/>
    <col min="8" max="8" width="30" style="633" hidden="1" customWidth="1"/>
    <col min="9" max="9" width="20.42578125" style="633" hidden="1" customWidth="1"/>
    <col min="10" max="10" width="15.5703125" style="634" hidden="1" customWidth="1"/>
    <col min="11" max="11" width="18.140625" style="633" hidden="1" customWidth="1"/>
    <col min="12" max="12" width="13.42578125" style="635" hidden="1" customWidth="1"/>
    <col min="13" max="14" width="14.28515625" style="54" customWidth="1"/>
    <col min="15" max="15" width="13.7109375" style="54" bestFit="1" customWidth="1"/>
    <col min="16" max="16" width="15.7109375" style="54" bestFit="1" customWidth="1"/>
    <col min="17" max="17" width="14.7109375" style="54" bestFit="1" customWidth="1"/>
    <col min="18" max="18" width="12.85546875" style="54" customWidth="1"/>
    <col min="19" max="19" width="12.5703125" style="54" customWidth="1"/>
    <col min="20" max="20" width="11" style="54" customWidth="1"/>
    <col min="21" max="21" width="13.140625" style="54" customWidth="1"/>
    <col min="22" max="22" width="13.7109375" style="54" customWidth="1"/>
    <col min="23" max="23" width="19.140625" style="633" bestFit="1" customWidth="1"/>
    <col min="24" max="24" width="14.140625" style="633" customWidth="1"/>
    <col min="25" max="25" width="13.7109375" style="633" bestFit="1" customWidth="1"/>
    <col min="26" max="26" width="20.7109375" style="633" bestFit="1" customWidth="1"/>
    <col min="27" max="27" width="14.7109375" style="633" bestFit="1" customWidth="1"/>
    <col min="28" max="28" width="18" style="633" bestFit="1" customWidth="1"/>
    <col min="29" max="29" width="15.7109375" style="633" customWidth="1"/>
    <col min="30" max="30" width="11.5703125" style="633" customWidth="1"/>
    <col min="31" max="31" width="9.85546875" style="633" customWidth="1"/>
    <col min="32" max="32" width="12.7109375" style="633" bestFit="1" customWidth="1"/>
    <col min="33" max="33" width="17.28515625" style="633" customWidth="1"/>
    <col min="34" max="34" width="11.42578125" style="51" bestFit="1" customWidth="1"/>
    <col min="35" max="35" width="10.5703125" style="51" customWidth="1"/>
    <col min="36" max="36" width="12.7109375" style="51" customWidth="1"/>
    <col min="37" max="37" width="27.42578125" style="325" bestFit="1" customWidth="1"/>
    <col min="38" max="38" width="14.28515625" style="633" bestFit="1" customWidth="1"/>
    <col min="39" max="39" width="18.5703125" style="518" bestFit="1" customWidth="1"/>
    <col min="40" max="40" width="20.42578125" style="455" bestFit="1" customWidth="1"/>
    <col min="41" max="41" width="20.42578125" style="600" bestFit="1" customWidth="1"/>
    <col min="42" max="42" width="19.85546875" style="600" bestFit="1" customWidth="1"/>
    <col min="43" max="43" width="27.7109375" style="600" customWidth="1"/>
    <col min="44" max="44" width="19.140625" style="600" customWidth="1"/>
    <col min="45" max="45" width="5.7109375" style="600" customWidth="1"/>
    <col min="46" max="46" width="12" style="600" customWidth="1"/>
    <col min="47" max="47" width="9.140625" style="600" customWidth="1"/>
    <col min="48" max="48" width="9.140625" style="636" customWidth="1"/>
    <col min="49" max="53" width="9.140625" style="600" customWidth="1"/>
    <col min="54" max="54" width="9.28515625" style="600" customWidth="1"/>
    <col min="55" max="55" width="21.28515625" style="600" customWidth="1"/>
    <col min="56" max="57" width="19" style="600" customWidth="1"/>
    <col min="58" max="58" width="16.140625" style="600" customWidth="1"/>
    <col min="59" max="226" width="9.140625" style="600" customWidth="1"/>
    <col min="227" max="16384" width="9.140625" style="600"/>
  </cols>
  <sheetData>
    <row r="1" spans="1:44" hidden="1">
      <c r="B1" s="633" t="s">
        <v>40</v>
      </c>
      <c r="C1" s="633" t="s">
        <v>41</v>
      </c>
      <c r="D1" s="633" t="s">
        <v>42</v>
      </c>
      <c r="E1" s="633" t="s">
        <v>43</v>
      </c>
      <c r="F1" s="633" t="s">
        <v>44</v>
      </c>
      <c r="G1" s="633" t="s">
        <v>45</v>
      </c>
      <c r="W1" s="633" t="s">
        <v>3</v>
      </c>
      <c r="X1" s="633" t="s">
        <v>6</v>
      </c>
      <c r="Y1" s="633" t="s">
        <v>59</v>
      </c>
      <c r="AA1" s="633" t="s">
        <v>60</v>
      </c>
      <c r="AB1" s="633" t="s">
        <v>4</v>
      </c>
      <c r="AC1" s="633" t="s">
        <v>5</v>
      </c>
      <c r="AD1" s="633" t="s">
        <v>61</v>
      </c>
      <c r="AE1" s="633" t="s">
        <v>62</v>
      </c>
      <c r="AF1" s="633" t="s">
        <v>63</v>
      </c>
    </row>
    <row r="2" spans="1:44" ht="17.100000000000001" customHeight="1">
      <c r="M2" s="677" t="s">
        <v>64</v>
      </c>
      <c r="N2" s="677"/>
      <c r="O2" s="677"/>
      <c r="P2" s="677"/>
      <c r="Q2" s="677"/>
      <c r="R2" s="677"/>
      <c r="S2" s="677"/>
      <c r="T2" s="677"/>
      <c r="U2" s="677"/>
      <c r="V2" s="677"/>
      <c r="W2" s="678" t="s">
        <v>65</v>
      </c>
      <c r="X2" s="678"/>
      <c r="Y2" s="678"/>
      <c r="Z2" s="678"/>
      <c r="AA2" s="678"/>
      <c r="AB2" s="678"/>
      <c r="AC2" s="678"/>
      <c r="AD2" s="678"/>
      <c r="AE2" s="678"/>
      <c r="AF2" s="678"/>
      <c r="AG2" s="679" t="s">
        <v>66</v>
      </c>
      <c r="AH2" s="681" t="s">
        <v>67</v>
      </c>
      <c r="AI2" s="681"/>
      <c r="AJ2" s="681"/>
    </row>
    <row r="3" spans="1:44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1" t="s">
        <v>71</v>
      </c>
      <c r="K3" s="1" t="s">
        <v>72</v>
      </c>
      <c r="L3" s="1" t="s">
        <v>73</v>
      </c>
      <c r="M3" s="55" t="s">
        <v>3</v>
      </c>
      <c r="N3" s="55" t="s">
        <v>6</v>
      </c>
      <c r="O3" s="55" t="s">
        <v>59</v>
      </c>
      <c r="P3" s="55" t="s">
        <v>74</v>
      </c>
      <c r="Q3" s="55" t="s">
        <v>60</v>
      </c>
      <c r="R3" s="55" t="s">
        <v>4</v>
      </c>
      <c r="S3" s="55" t="s">
        <v>5</v>
      </c>
      <c r="T3" s="55" t="s">
        <v>61</v>
      </c>
      <c r="U3" s="55" t="s">
        <v>62</v>
      </c>
      <c r="V3" s="55" t="s">
        <v>63</v>
      </c>
      <c r="W3" s="13" t="s">
        <v>3</v>
      </c>
      <c r="X3" s="13" t="s">
        <v>6</v>
      </c>
      <c r="Y3" s="13" t="s">
        <v>59</v>
      </c>
      <c r="Z3" s="13" t="s">
        <v>74</v>
      </c>
      <c r="AA3" s="13" t="s">
        <v>60</v>
      </c>
      <c r="AB3" s="13" t="s">
        <v>4</v>
      </c>
      <c r="AC3" s="13" t="s">
        <v>5</v>
      </c>
      <c r="AD3" s="13" t="s">
        <v>61</v>
      </c>
      <c r="AE3" s="13" t="s">
        <v>62</v>
      </c>
      <c r="AF3" s="13" t="s">
        <v>63</v>
      </c>
      <c r="AG3" s="680"/>
      <c r="AH3" s="659" t="s">
        <v>75</v>
      </c>
      <c r="AI3" s="659" t="s">
        <v>76</v>
      </c>
      <c r="AJ3" s="659" t="s">
        <v>77</v>
      </c>
      <c r="AK3" s="327" t="s">
        <v>78</v>
      </c>
      <c r="AL3" s="327" t="s">
        <v>79</v>
      </c>
      <c r="AM3" s="327" t="s">
        <v>80</v>
      </c>
      <c r="AR3" s="600" t="s">
        <v>8</v>
      </c>
    </row>
    <row r="4" spans="1:44">
      <c r="A4" s="10" t="s">
        <v>81</v>
      </c>
      <c r="B4" s="637">
        <v>1</v>
      </c>
      <c r="C4" s="93">
        <v>10071775</v>
      </c>
      <c r="D4" s="93" t="s">
        <v>82</v>
      </c>
      <c r="E4" s="88" t="s">
        <v>83</v>
      </c>
      <c r="F4" s="88" t="s">
        <v>84</v>
      </c>
      <c r="G4" s="88" t="s">
        <v>85</v>
      </c>
      <c r="H4" s="88" t="s">
        <v>85</v>
      </c>
      <c r="I4" s="88" t="s">
        <v>86</v>
      </c>
      <c r="J4" s="638"/>
      <c r="K4" s="638">
        <v>43739</v>
      </c>
      <c r="L4" s="639" t="str">
        <f>IF(((K4-J4)/(365))*12&lt;=2.99,"Beginner",IF(((K4-J4)/(365))*12&lt;=5.99,"Intermediate","Expert"))</f>
        <v>Expert</v>
      </c>
      <c r="M4" s="53">
        <f>IFERROR(VLOOKUP($E4,KPI!$B:$T,MATCH(RESOURCES!M$3,KPI!$B$1:$T$1,0),FALSE),"-")</f>
        <v>0.25</v>
      </c>
      <c r="N4" s="53">
        <f>IFERROR(VLOOKUP($E4,KPI!$B:$T,MATCH(RESOURCES!N$3,KPI!$B$1:$T$1,0),FALSE),"-")</f>
        <v>0.25</v>
      </c>
      <c r="O4" s="53">
        <f>IFERROR(VLOOKUP($E4,KPI!$B:$T,MATCH(RESOURCES!O$3,KPI!$B$1:$T$1,0),FALSE),"-")</f>
        <v>0.1</v>
      </c>
      <c r="P4" s="53" t="str">
        <f>IFERROR(VLOOKUP($E4,KPI!$B:$T,MATCH(RESOURCES!P$3,KPI!$B$1:$T$1,0),FALSE),"-")</f>
        <v>-</v>
      </c>
      <c r="Q4" s="53" t="str">
        <f>IFERROR(VLOOKUP($E4,KPI!$B:$T,MATCH(RESOURCES!Q$3,KPI!$B$1:$T$1,0),FALSE),"-")</f>
        <v>-</v>
      </c>
      <c r="R4" s="53">
        <f>IFERROR(VLOOKUP($E4,KPI!$B:$T,MATCH(RESOURCES!R$3,KPI!$B$1:$T$1,0),FALSE),"-")</f>
        <v>0.15</v>
      </c>
      <c r="S4" s="53">
        <f>IFERROR(VLOOKUP($E4,KPI!$B:$T,MATCH(RESOURCES!S$3,KPI!$B$1:$T$1,0),FALSE),"-")</f>
        <v>0.2</v>
      </c>
      <c r="T4" s="53" t="str">
        <f>IFERROR(VLOOKUP($E4,KPI!$B:$T,MATCH(RESOURCES!T$3,KPI!$B$1:$T$1,0),FALSE),"-")</f>
        <v>-</v>
      </c>
      <c r="U4" s="53" t="str">
        <f>IFERROR(VLOOKUP($E4,KPI!$B:$T,MATCH(RESOURCES!U$3,KPI!$B$1:$T$1,0),FALSE),"-")</f>
        <v>-</v>
      </c>
      <c r="V4" s="53">
        <f>IFERROR(VLOOKUP($E4,KPI!$B:$T,MATCH(RESOURCES!V$3,KPI!$B$1:$T$1,0),FALSE),"-")</f>
        <v>0.05</v>
      </c>
      <c r="W4" s="50">
        <f>IFERROR(VLOOKUP($C4,'PRODUCTIVITY RAW'!$B:$Q,16,FALSE),"-")</f>
        <v>1</v>
      </c>
      <c r="X4" s="50">
        <f>IFERROR(VLOOKUP($C4,'CHURN RAW'!$A:$H,8,FALSE),"-")</f>
        <v>0.9</v>
      </c>
      <c r="Y4" s="50">
        <f>IFERROR(IF(AVERAGEIFS('QA RAW'!$G:$G,'QA RAW'!$E:$E,RESOURCES!$C4)=0,"-",AVERAGEIFS('QA RAW'!$G:$G,'QA RAW'!$E:$E,RESOURCES!$C4)),"-")</f>
        <v>0.99909999999999999</v>
      </c>
      <c r="Z4" s="50" t="str">
        <f>IFERROR(VLOOKUP($C4,'PR CALIBRATION RAW'!$K:$S,MATCH(RESOURCES!Z$3,'PR CALIBRATION RAW'!$K$1:$S$1,0),FALSE),"-")</f>
        <v>-</v>
      </c>
      <c r="AA4" s="50" t="str">
        <f>IFERROR(VLOOKUP($C4,'DISPUTES RAW (VQA)'!$N:$U,8,FALSE),"-")</f>
        <v>-</v>
      </c>
      <c r="AB4" s="50">
        <f>IFERROR(VLOOKUP($C4,'ATTENDANCE RAW'!$E:$R,13,FALSE),"-")</f>
        <v>1</v>
      </c>
      <c r="AC4" s="50">
        <f>IFERROR(IF($E4="Voice QA",IF(AVERAGEIFS('KC RAW'!$J:$J,'KC RAW'!$B:$B,RESOURCES!$C4)=0,"-",AVERAGEIFS('KC RAW'!$J:$J,'KC RAW'!$B:$B,RESOURCES!$C4)),IF(AVERAGEIFS('KC RAW'!$H:$H,'KC RAW'!$B:$B,RESOURCES!$C4)=0,"-",AVERAGEIFS('KC RAW'!$H:$H,'KC RAW'!$B:$B,RESOURCES!$C4))),"-")</f>
        <v>0.6</v>
      </c>
      <c r="AD4" s="50" t="str">
        <f>IFERROR(AVERAGEIFS('CE RAW'!$G:$G,'CE RAW'!$E:$E,RESOURCES!$C4),"-")</f>
        <v>-</v>
      </c>
      <c r="AE4" s="50" t="str">
        <f>IFERROR(VLOOKUP($C4,'FCR RAW'!$A:$I,7,FALSE),"-")</f>
        <v>-</v>
      </c>
      <c r="AF4" s="50">
        <f>IFERROR(IF(VLOOKUP($C4,'BONUS RAW'!$D:$I,6,FALSE)=100%,100%,"-"),"-")</f>
        <v>1</v>
      </c>
      <c r="AG4" s="52">
        <f>IFERROR(IF(AF4="-",SUMPRODUCT(M4:U4,W4:AE4)/SUM(M4:U4),SUMPRODUCT(M4:V4,W4:AF4)/SUM(M4:V4)),"-")</f>
        <v>0.89491000000000009</v>
      </c>
      <c r="AH4" s="56">
        <f t="shared" ref="AH4:AH67" si="0">IFERROR(_xlfn.RANK.EQ($AG4,$AG$4:$AG$491),"-")</f>
        <v>91</v>
      </c>
      <c r="AI4" s="57">
        <f>IFERROR(SUMPRODUCT(W4:AE4,M4:U4)/SUM(M4:U4),"-")</f>
        <v>0.88937894736842116</v>
      </c>
      <c r="AJ4" s="57">
        <f>IFERROR(SUMPRODUCT(W4:AF4,M4:V4)/SUM(M4:V4),"-")</f>
        <v>0.89491000000000009</v>
      </c>
      <c r="AK4" s="325" t="str">
        <f>IFERROR(VLOOKUP($C4,'ATTRITION RAW'!$E:$J,6,FALSE),"-")</f>
        <v>-</v>
      </c>
      <c r="AL4" s="176" t="str">
        <f>IF($AK4="-",$AK4,"resign")</f>
        <v>-</v>
      </c>
      <c r="AM4" s="454">
        <f>IFERROR(VLOOKUP($C4,'CHURN RAW'!$A:$G,7,FALSE),"-")</f>
        <v>6.25E-2</v>
      </c>
      <c r="AN4" s="456" t="str">
        <f t="shared" ref="AN4:AN67" si="1">IFERROR(VLOOKUP($E4,$AQ:$AR,2,FALSE),$AR$3)</f>
        <v>QUALITY - DESIGNERS</v>
      </c>
      <c r="AQ4" s="600" t="s">
        <v>87</v>
      </c>
      <c r="AR4" s="600" t="s">
        <v>9</v>
      </c>
    </row>
    <row r="5" spans="1:44">
      <c r="A5" s="10" t="s">
        <v>88</v>
      </c>
      <c r="B5" s="637">
        <f>B4+1</f>
        <v>2</v>
      </c>
      <c r="C5" s="93">
        <v>10072158</v>
      </c>
      <c r="D5" s="93" t="s">
        <v>89</v>
      </c>
      <c r="E5" s="88" t="s">
        <v>83</v>
      </c>
      <c r="F5" s="88" t="s">
        <v>84</v>
      </c>
      <c r="G5" s="88" t="s">
        <v>85</v>
      </c>
      <c r="H5" s="88" t="s">
        <v>85</v>
      </c>
      <c r="I5" s="88" t="s">
        <v>86</v>
      </c>
      <c r="J5" s="638"/>
      <c r="K5" s="638">
        <f>$K$4</f>
        <v>43739</v>
      </c>
      <c r="L5" s="639" t="str">
        <f t="shared" ref="L5:L68" si="2">IF(((K5-J5)/(365))*12&lt;=2.99,"Beginner",IF(((K5-J5)/(365))*12&lt;=5.99,"Intermediate","Expert"))</f>
        <v>Expert</v>
      </c>
      <c r="M5" s="53">
        <f>IFERROR(VLOOKUP($E5,KPI!$B:$T,MATCH(RESOURCES!M$3,KPI!$B$1:$T$1,0),FALSE),"-")</f>
        <v>0.25</v>
      </c>
      <c r="N5" s="53">
        <f>IFERROR(VLOOKUP($E5,KPI!$B:$T,MATCH(RESOURCES!N$3,KPI!$B$1:$T$1,0),FALSE),"-")</f>
        <v>0.25</v>
      </c>
      <c r="O5" s="53">
        <f>IFERROR(VLOOKUP($E5,KPI!$B:$T,MATCH(RESOURCES!O$3,KPI!$B$1:$T$1,0),FALSE),"-")</f>
        <v>0.1</v>
      </c>
      <c r="P5" s="53" t="str">
        <f>IFERROR(VLOOKUP($E5,KPI!$B:$T,MATCH(RESOURCES!P$3,KPI!$B$1:$T$1,0),FALSE),"-")</f>
        <v>-</v>
      </c>
      <c r="Q5" s="53" t="str">
        <f>IFERROR(VLOOKUP($E5,KPI!$B:$T,MATCH(RESOURCES!Q$3,KPI!$B$1:$T$1,0),FALSE),"-")</f>
        <v>-</v>
      </c>
      <c r="R5" s="53">
        <f>IFERROR(VLOOKUP($E5,KPI!$B:$T,MATCH(RESOURCES!R$3,KPI!$B$1:$T$1,0),FALSE),"-")</f>
        <v>0.15</v>
      </c>
      <c r="S5" s="53">
        <f>IFERROR(VLOOKUP($E5,KPI!$B:$T,MATCH(RESOURCES!S$3,KPI!$B$1:$T$1,0),FALSE),"-")</f>
        <v>0.2</v>
      </c>
      <c r="T5" s="53" t="str">
        <f>IFERROR(VLOOKUP($E5,KPI!$B:$T,MATCH(RESOURCES!T$3,KPI!$B$1:$T$1,0),FALSE),"-")</f>
        <v>-</v>
      </c>
      <c r="U5" s="53" t="str">
        <f>IFERROR(VLOOKUP($E5,KPI!$B:$T,MATCH(RESOURCES!U$3,KPI!$B$1:$T$1,0),FALSE),"-")</f>
        <v>-</v>
      </c>
      <c r="V5" s="53">
        <f>IFERROR(VLOOKUP($E5,KPI!$B:$T,MATCH(RESOURCES!V$3,KPI!$B$1:$T$1,0),FALSE),"-")</f>
        <v>0.05</v>
      </c>
      <c r="W5" s="50">
        <f>IFERROR(VLOOKUP($C5,'PRODUCTIVITY RAW'!$B:$Q,16,FALSE),"-")</f>
        <v>1</v>
      </c>
      <c r="X5" s="50">
        <f>IFERROR(VLOOKUP($C5,'CHURN RAW'!$A:$H,8,FALSE),"-")</f>
        <v>0.9</v>
      </c>
      <c r="Y5" s="50">
        <f>IFERROR(IF(AVERAGEIFS('QA RAW'!$G:$G,'QA RAW'!$E:$E,RESOURCES!$C5)=0,"-",AVERAGEIFS('QA RAW'!$G:$G,'QA RAW'!$E:$E,RESOURCES!$C5)),"-")</f>
        <v>0.99709999999999999</v>
      </c>
      <c r="Z5" s="50" t="str">
        <f>IFERROR(VLOOKUP($C5,'PR CALIBRATION RAW'!$K:$S,MATCH(RESOURCES!Z$3,'PR CALIBRATION RAW'!$K$1:$S$1,0),FALSE),"-")</f>
        <v>-</v>
      </c>
      <c r="AA5" s="50" t="str">
        <f>IFERROR(VLOOKUP($C5,'DISPUTES RAW (VQA)'!$N:$U,8,FALSE),"-")</f>
        <v>-</v>
      </c>
      <c r="AB5" s="50">
        <f>IFERROR(VLOOKUP($C5,'ATTENDANCE RAW'!$E:$R,13,FALSE),"-")</f>
        <v>1</v>
      </c>
      <c r="AC5" s="50">
        <f>IFERROR(IF($E5="Voice QA",IF(AVERAGEIFS('KC RAW'!$J:$J,'KC RAW'!$B:$B,RESOURCES!$C5)=0,"-",AVERAGEIFS('KC RAW'!$J:$J,'KC RAW'!$B:$B,RESOURCES!$C5)),IF(AVERAGEIFS('KC RAW'!$H:$H,'KC RAW'!$B:$B,RESOURCES!$C5)=0,"-",AVERAGEIFS('KC RAW'!$H:$H,'KC RAW'!$B:$B,RESOURCES!$C5))),"-")</f>
        <v>0.75</v>
      </c>
      <c r="AD5" s="50" t="str">
        <f>IFERROR(AVERAGEIFS('CE RAW'!$G:$G,'CE RAW'!$E:$E,RESOURCES!$C5),"-")</f>
        <v>-</v>
      </c>
      <c r="AE5" s="50" t="str">
        <f>IFERROR(VLOOKUP($C5,'FCR RAW'!$A:$I,7,FALSE),"-")</f>
        <v>-</v>
      </c>
      <c r="AF5" s="50" t="str">
        <f>IFERROR(IF(VLOOKUP($C5,'BONUS RAW'!$D:$I,6,FALSE)=100%,100%,"-"),"-")</f>
        <v>-</v>
      </c>
      <c r="AG5" s="52">
        <f t="shared" ref="AG5:AG68" si="3">IFERROR(IF(AF5="-",SUMPRODUCT(M5:U5,W5:AE5)/SUM(M5:U5),SUMPRODUCT(M5:V5,W5:AF5)/SUM(M5:V5)),"-")</f>
        <v>0.92074736842105265</v>
      </c>
      <c r="AH5" s="56">
        <f t="shared" si="0"/>
        <v>59</v>
      </c>
      <c r="AI5" s="57">
        <f t="shared" ref="AI5:AI68" si="4">IFERROR(SUMPRODUCT(W5:AE5,M5:U5)/SUM(M5:U5),"-")</f>
        <v>0.92074736842105265</v>
      </c>
      <c r="AJ5" s="57">
        <f t="shared" ref="AJ5:AJ68" si="5">IFERROR(SUMPRODUCT(W5:AF5,M5:V5)/SUM(M5:V5),"-")</f>
        <v>0.87470999999999999</v>
      </c>
      <c r="AK5" s="325" t="str">
        <f>IFERROR(VLOOKUP($C5,'ATTRITION RAW'!$E:$J,6,FALSE),"-")</f>
        <v>-</v>
      </c>
      <c r="AL5" s="176" t="str">
        <f t="shared" ref="AL5:AL68" si="6">IF($AK5="-",$AK5,"resign")</f>
        <v>-</v>
      </c>
      <c r="AM5" s="454">
        <f>IFERROR(VLOOKUP($C5,'CHURN RAW'!$A:$G,7,FALSE),"-")</f>
        <v>0.1333</v>
      </c>
      <c r="AN5" s="456" t="str">
        <f t="shared" si="1"/>
        <v>QUALITY - DESIGNERS</v>
      </c>
      <c r="AQ5" s="600" t="s">
        <v>90</v>
      </c>
      <c r="AR5" s="600" t="s">
        <v>10</v>
      </c>
    </row>
    <row r="6" spans="1:44">
      <c r="A6" s="10" t="s">
        <v>91</v>
      </c>
      <c r="B6" s="637">
        <f t="shared" ref="B6:B69" si="7">B5+1</f>
        <v>3</v>
      </c>
      <c r="C6" s="93">
        <v>10071899</v>
      </c>
      <c r="D6" s="93" t="s">
        <v>92</v>
      </c>
      <c r="E6" s="88" t="s">
        <v>83</v>
      </c>
      <c r="F6" s="88" t="s">
        <v>84</v>
      </c>
      <c r="G6" s="88" t="s">
        <v>85</v>
      </c>
      <c r="H6" s="88" t="s">
        <v>85</v>
      </c>
      <c r="I6" s="88" t="s">
        <v>86</v>
      </c>
      <c r="J6" s="638"/>
      <c r="K6" s="638">
        <f t="shared" ref="K6:K69" si="8">$K$4</f>
        <v>43739</v>
      </c>
      <c r="L6" s="639" t="str">
        <f t="shared" si="2"/>
        <v>Expert</v>
      </c>
      <c r="M6" s="53">
        <f>IFERROR(VLOOKUP($E6,KPI!$B:$T,MATCH(RESOURCES!M$3,KPI!$B$1:$T$1,0),FALSE),"-")</f>
        <v>0.25</v>
      </c>
      <c r="N6" s="53">
        <f>IFERROR(VLOOKUP($E6,KPI!$B:$T,MATCH(RESOURCES!N$3,KPI!$B$1:$T$1,0),FALSE),"-")</f>
        <v>0.25</v>
      </c>
      <c r="O6" s="53">
        <f>IFERROR(VLOOKUP($E6,KPI!$B:$T,MATCH(RESOURCES!O$3,KPI!$B$1:$T$1,0),FALSE),"-")</f>
        <v>0.1</v>
      </c>
      <c r="P6" s="53" t="str">
        <f>IFERROR(VLOOKUP($E6,KPI!$B:$T,MATCH(RESOURCES!P$3,KPI!$B$1:$T$1,0),FALSE),"-")</f>
        <v>-</v>
      </c>
      <c r="Q6" s="53" t="str">
        <f>IFERROR(VLOOKUP($E6,KPI!$B:$T,MATCH(RESOURCES!Q$3,KPI!$B$1:$T$1,0),FALSE),"-")</f>
        <v>-</v>
      </c>
      <c r="R6" s="53">
        <f>IFERROR(VLOOKUP($E6,KPI!$B:$T,MATCH(RESOURCES!R$3,KPI!$B$1:$T$1,0),FALSE),"-")</f>
        <v>0.15</v>
      </c>
      <c r="S6" s="53">
        <f>IFERROR(VLOOKUP($E6,KPI!$B:$T,MATCH(RESOURCES!S$3,KPI!$B$1:$T$1,0),FALSE),"-")</f>
        <v>0.2</v>
      </c>
      <c r="T6" s="53" t="str">
        <f>IFERROR(VLOOKUP($E6,KPI!$B:$T,MATCH(RESOURCES!T$3,KPI!$B$1:$T$1,0),FALSE),"-")</f>
        <v>-</v>
      </c>
      <c r="U6" s="53" t="str">
        <f>IFERROR(VLOOKUP($E6,KPI!$B:$T,MATCH(RESOURCES!U$3,KPI!$B$1:$T$1,0),FALSE),"-")</f>
        <v>-</v>
      </c>
      <c r="V6" s="53">
        <f>IFERROR(VLOOKUP($E6,KPI!$B:$T,MATCH(RESOURCES!V$3,KPI!$B$1:$T$1,0),FALSE),"-")</f>
        <v>0.05</v>
      </c>
      <c r="W6" s="50">
        <f>IFERROR(VLOOKUP($C6,'PRODUCTIVITY RAW'!$B:$Q,16,FALSE),"-")</f>
        <v>0.73995055032700596</v>
      </c>
      <c r="X6" s="50">
        <f>IFERROR(VLOOKUP($C6,'CHURN RAW'!$A:$H,8,FALSE),"-")</f>
        <v>0.8</v>
      </c>
      <c r="Y6" s="50">
        <f>IFERROR(IF(AVERAGEIFS('QA RAW'!$G:$G,'QA RAW'!$E:$E,RESOURCES!$C6)=0,"-",AVERAGEIFS('QA RAW'!$G:$G,'QA RAW'!$E:$E,RESOURCES!$C6)),"-")</f>
        <v>0.99680000000000002</v>
      </c>
      <c r="Z6" s="50" t="str">
        <f>IFERROR(VLOOKUP($C6,'PR CALIBRATION RAW'!$K:$S,MATCH(RESOURCES!Z$3,'PR CALIBRATION RAW'!$K$1:$S$1,0),FALSE),"-")</f>
        <v>-</v>
      </c>
      <c r="AA6" s="50" t="str">
        <f>IFERROR(VLOOKUP($C6,'DISPUTES RAW (VQA)'!$N:$U,8,FALSE),"-")</f>
        <v>-</v>
      </c>
      <c r="AB6" s="50">
        <f>IFERROR(VLOOKUP($C6,'ATTENDANCE RAW'!$E:$R,13,FALSE),"-")</f>
        <v>1</v>
      </c>
      <c r="AC6" s="50">
        <f>IFERROR(IF($E6="Voice QA",IF(AVERAGEIFS('KC RAW'!$J:$J,'KC RAW'!$B:$B,RESOURCES!$C6)=0,"-",AVERAGEIFS('KC RAW'!$J:$J,'KC RAW'!$B:$B,RESOURCES!$C6)),IF(AVERAGEIFS('KC RAW'!$H:$H,'KC RAW'!$B:$B,RESOURCES!$C6)=0,"-",AVERAGEIFS('KC RAW'!$H:$H,'KC RAW'!$B:$B,RESOURCES!$C6))),"-")</f>
        <v>0.95</v>
      </c>
      <c r="AD6" s="50" t="str">
        <f>IFERROR(AVERAGEIFS('CE RAW'!$G:$G,'CE RAW'!$E:$E,RESOURCES!$C6),"-")</f>
        <v>-</v>
      </c>
      <c r="AE6" s="50" t="str">
        <f>IFERROR(VLOOKUP($C6,'FCR RAW'!$A:$I,7,FALSE),"-")</f>
        <v>-</v>
      </c>
      <c r="AF6" s="50" t="str">
        <f>IFERROR(IF(VLOOKUP($C6,'BONUS RAW'!$D:$I,6,FALSE)=100%,100%,"-"),"-")</f>
        <v>-</v>
      </c>
      <c r="AG6" s="52">
        <f t="shared" si="3"/>
        <v>0.86807119745447525</v>
      </c>
      <c r="AH6" s="56">
        <f t="shared" si="0"/>
        <v>117</v>
      </c>
      <c r="AI6" s="57">
        <f t="shared" si="4"/>
        <v>0.86807119745447525</v>
      </c>
      <c r="AJ6" s="57">
        <f t="shared" si="5"/>
        <v>0.82466763758175143</v>
      </c>
      <c r="AK6" s="325" t="str">
        <f>IFERROR(VLOOKUP($C6,'ATTRITION RAW'!$E:$J,6,FALSE),"-")</f>
        <v>-</v>
      </c>
      <c r="AL6" s="176" t="str">
        <f t="shared" si="6"/>
        <v>-</v>
      </c>
      <c r="AM6" s="454">
        <f>IFERROR(VLOOKUP($C6,'CHURN RAW'!$A:$G,7,FALSE),"-")</f>
        <v>0.22220000000000001</v>
      </c>
      <c r="AN6" s="456" t="str">
        <f t="shared" si="1"/>
        <v>QUALITY - DESIGNERS</v>
      </c>
    </row>
    <row r="7" spans="1:44">
      <c r="B7" s="637">
        <f t="shared" si="7"/>
        <v>4</v>
      </c>
      <c r="C7" s="93">
        <v>10071594</v>
      </c>
      <c r="D7" s="93" t="s">
        <v>93</v>
      </c>
      <c r="E7" s="88" t="s">
        <v>83</v>
      </c>
      <c r="F7" s="88" t="s">
        <v>84</v>
      </c>
      <c r="G7" s="88" t="s">
        <v>85</v>
      </c>
      <c r="H7" s="88" t="s">
        <v>85</v>
      </c>
      <c r="I7" s="88" t="s">
        <v>86</v>
      </c>
      <c r="J7" s="638"/>
      <c r="K7" s="638">
        <f t="shared" si="8"/>
        <v>43739</v>
      </c>
      <c r="L7" s="639" t="str">
        <f t="shared" si="2"/>
        <v>Expert</v>
      </c>
      <c r="M7" s="53">
        <f>IFERROR(VLOOKUP($E7,KPI!$B:$T,MATCH(RESOURCES!M$3,KPI!$B$1:$T$1,0),FALSE),"-")</f>
        <v>0.25</v>
      </c>
      <c r="N7" s="53">
        <f>IFERROR(VLOOKUP($E7,KPI!$B:$T,MATCH(RESOURCES!N$3,KPI!$B$1:$T$1,0),FALSE),"-")</f>
        <v>0.25</v>
      </c>
      <c r="O7" s="53">
        <f>IFERROR(VLOOKUP($E7,KPI!$B:$T,MATCH(RESOURCES!O$3,KPI!$B$1:$T$1,0),FALSE),"-")</f>
        <v>0.1</v>
      </c>
      <c r="P7" s="53" t="str">
        <f>IFERROR(VLOOKUP($E7,KPI!$B:$T,MATCH(RESOURCES!P$3,KPI!$B$1:$T$1,0),FALSE),"-")</f>
        <v>-</v>
      </c>
      <c r="Q7" s="53" t="str">
        <f>IFERROR(VLOOKUP($E7,KPI!$B:$T,MATCH(RESOURCES!Q$3,KPI!$B$1:$T$1,0),FALSE),"-")</f>
        <v>-</v>
      </c>
      <c r="R7" s="53">
        <f>IFERROR(VLOOKUP($E7,KPI!$B:$T,MATCH(RESOURCES!R$3,KPI!$B$1:$T$1,0),FALSE),"-")</f>
        <v>0.15</v>
      </c>
      <c r="S7" s="53">
        <f>IFERROR(VLOOKUP($E7,KPI!$B:$T,MATCH(RESOURCES!S$3,KPI!$B$1:$T$1,0),FALSE),"-")</f>
        <v>0.2</v>
      </c>
      <c r="T7" s="53" t="str">
        <f>IFERROR(VLOOKUP($E7,KPI!$B:$T,MATCH(RESOURCES!T$3,KPI!$B$1:$T$1,0),FALSE),"-")</f>
        <v>-</v>
      </c>
      <c r="U7" s="53" t="str">
        <f>IFERROR(VLOOKUP($E7,KPI!$B:$T,MATCH(RESOURCES!U$3,KPI!$B$1:$T$1,0),FALSE),"-")</f>
        <v>-</v>
      </c>
      <c r="V7" s="53">
        <f>IFERROR(VLOOKUP($E7,KPI!$B:$T,MATCH(RESOURCES!V$3,KPI!$B$1:$T$1,0),FALSE),"-")</f>
        <v>0.05</v>
      </c>
      <c r="W7" s="50">
        <f>IFERROR(VLOOKUP($C7,'PRODUCTIVITY RAW'!$B:$Q,16,FALSE),"-")</f>
        <v>0.98360655737704983</v>
      </c>
      <c r="X7" s="50">
        <f>IFERROR(VLOOKUP($C7,'CHURN RAW'!$A:$H,8,FALSE),"-")</f>
        <v>0.9</v>
      </c>
      <c r="Y7" s="50">
        <f>IFERROR(IF(AVERAGEIFS('QA RAW'!$G:$G,'QA RAW'!$E:$E,RESOURCES!$C7)=0,"-",AVERAGEIFS('QA RAW'!$G:$G,'QA RAW'!$E:$E,RESOURCES!$C7)),"-")</f>
        <v>0.99739999999999995</v>
      </c>
      <c r="Z7" s="50" t="str">
        <f>IFERROR(VLOOKUP($C7,'PR CALIBRATION RAW'!$K:$S,MATCH(RESOURCES!Z$3,'PR CALIBRATION RAW'!$K$1:$S$1,0),FALSE),"-")</f>
        <v>-</v>
      </c>
      <c r="AA7" s="50" t="str">
        <f>IFERROR(VLOOKUP($C7,'DISPUTES RAW (VQA)'!$N:$U,8,FALSE),"-")</f>
        <v>-</v>
      </c>
      <c r="AB7" s="50">
        <f>IFERROR(VLOOKUP($C7,'ATTENDANCE RAW'!$E:$R,13,FALSE),"-")</f>
        <v>0.95454545454545459</v>
      </c>
      <c r="AC7" s="50">
        <f>IFERROR(IF($E7="Voice QA",IF(AVERAGEIFS('KC RAW'!$J:$J,'KC RAW'!$B:$B,RESOURCES!$C7)=0,"-",AVERAGEIFS('KC RAW'!$J:$J,'KC RAW'!$B:$B,RESOURCES!$C7)),IF(AVERAGEIFS('KC RAW'!$H:$H,'KC RAW'!$B:$B,RESOURCES!$C7)=0,"-",AVERAGEIFS('KC RAW'!$H:$H,'KC RAW'!$B:$B,RESOURCES!$C7))),"-")</f>
        <v>0.64999999999999991</v>
      </c>
      <c r="AD7" s="50" t="str">
        <f>IFERROR(AVERAGEIFS('CE RAW'!$G:$G,'CE RAW'!$E:$E,RESOURCES!$C7),"-")</f>
        <v>-</v>
      </c>
      <c r="AE7" s="50" t="str">
        <f>IFERROR(VLOOKUP($C7,'FCR RAW'!$A:$I,7,FALSE),"-")</f>
        <v>-</v>
      </c>
      <c r="AF7" s="50" t="str">
        <f>IFERROR(IF(VLOOKUP($C7,'BONUS RAW'!$D:$I,6,FALSE)=100%,100%,"-"),"-")</f>
        <v>-</v>
      </c>
      <c r="AG7" s="52">
        <f t="shared" si="3"/>
        <v>0.88823521844850595</v>
      </c>
      <c r="AH7" s="56">
        <f t="shared" si="0"/>
        <v>99</v>
      </c>
      <c r="AI7" s="57">
        <f t="shared" si="4"/>
        <v>0.88823521844850595</v>
      </c>
      <c r="AJ7" s="57">
        <f t="shared" si="5"/>
        <v>0.84382345752608057</v>
      </c>
      <c r="AK7" s="325" t="str">
        <f>IFERROR(VLOOKUP($C7,'ATTRITION RAW'!$E:$J,6,FALSE),"-")</f>
        <v>-</v>
      </c>
      <c r="AL7" s="176" t="str">
        <f t="shared" si="6"/>
        <v>-</v>
      </c>
      <c r="AM7" s="454">
        <f>IFERROR(VLOOKUP($C7,'CHURN RAW'!$A:$G,7,FALSE),"-")</f>
        <v>0.1</v>
      </c>
      <c r="AN7" s="456" t="str">
        <f t="shared" si="1"/>
        <v>QUALITY - DESIGNERS</v>
      </c>
    </row>
    <row r="8" spans="1:44">
      <c r="B8" s="637">
        <f t="shared" si="7"/>
        <v>5</v>
      </c>
      <c r="C8" s="93">
        <v>10071592</v>
      </c>
      <c r="D8" s="93" t="s">
        <v>94</v>
      </c>
      <c r="E8" s="88" t="s">
        <v>83</v>
      </c>
      <c r="F8" s="88" t="s">
        <v>84</v>
      </c>
      <c r="G8" s="88" t="s">
        <v>85</v>
      </c>
      <c r="H8" s="88" t="s">
        <v>85</v>
      </c>
      <c r="I8" s="88" t="s">
        <v>86</v>
      </c>
      <c r="J8" s="638"/>
      <c r="K8" s="638">
        <f t="shared" si="8"/>
        <v>43739</v>
      </c>
      <c r="L8" s="639" t="str">
        <f t="shared" si="2"/>
        <v>Expert</v>
      </c>
      <c r="M8" s="53">
        <f>IFERROR(VLOOKUP($E8,KPI!$B:$T,MATCH(RESOURCES!M$3,KPI!$B$1:$T$1,0),FALSE),"-")</f>
        <v>0.25</v>
      </c>
      <c r="N8" s="53">
        <f>IFERROR(VLOOKUP($E8,KPI!$B:$T,MATCH(RESOURCES!N$3,KPI!$B$1:$T$1,0),FALSE),"-")</f>
        <v>0.25</v>
      </c>
      <c r="O8" s="53">
        <f>IFERROR(VLOOKUP($E8,KPI!$B:$T,MATCH(RESOURCES!O$3,KPI!$B$1:$T$1,0),FALSE),"-")</f>
        <v>0.1</v>
      </c>
      <c r="P8" s="53" t="str">
        <f>IFERROR(VLOOKUP($E8,KPI!$B:$T,MATCH(RESOURCES!P$3,KPI!$B$1:$T$1,0),FALSE),"-")</f>
        <v>-</v>
      </c>
      <c r="Q8" s="53" t="str">
        <f>IFERROR(VLOOKUP($E8,KPI!$B:$T,MATCH(RESOURCES!Q$3,KPI!$B$1:$T$1,0),FALSE),"-")</f>
        <v>-</v>
      </c>
      <c r="R8" s="53">
        <f>IFERROR(VLOOKUP($E8,KPI!$B:$T,MATCH(RESOURCES!R$3,KPI!$B$1:$T$1,0),FALSE),"-")</f>
        <v>0.15</v>
      </c>
      <c r="S8" s="53">
        <f>IFERROR(VLOOKUP($E8,KPI!$B:$T,MATCH(RESOURCES!S$3,KPI!$B$1:$T$1,0),FALSE),"-")</f>
        <v>0.2</v>
      </c>
      <c r="T8" s="53" t="str">
        <f>IFERROR(VLOOKUP($E8,KPI!$B:$T,MATCH(RESOURCES!T$3,KPI!$B$1:$T$1,0),FALSE),"-")</f>
        <v>-</v>
      </c>
      <c r="U8" s="53" t="str">
        <f>IFERROR(VLOOKUP($E8,KPI!$B:$T,MATCH(RESOURCES!U$3,KPI!$B$1:$T$1,0),FALSE),"-")</f>
        <v>-</v>
      </c>
      <c r="V8" s="53">
        <f>IFERROR(VLOOKUP($E8,KPI!$B:$T,MATCH(RESOURCES!V$3,KPI!$B$1:$T$1,0),FALSE),"-")</f>
        <v>0.05</v>
      </c>
      <c r="W8" s="50">
        <f>IFERROR(VLOOKUP($C8,'PRODUCTIVITY RAW'!$B:$Q,16,FALSE),"-")</f>
        <v>1</v>
      </c>
      <c r="X8" s="50">
        <f>IFERROR(VLOOKUP($C8,'CHURN RAW'!$A:$H,8,FALSE),"-")</f>
        <v>0.8</v>
      </c>
      <c r="Y8" s="50">
        <f>IFERROR(IF(AVERAGEIFS('QA RAW'!$G:$G,'QA RAW'!$E:$E,RESOURCES!$C8)=0,"-",AVERAGEIFS('QA RAW'!$G:$G,'QA RAW'!$E:$E,RESOURCES!$C8)),"-")</f>
        <v>0.99390000000000001</v>
      </c>
      <c r="Z8" s="50" t="str">
        <f>IFERROR(VLOOKUP($C8,'PR CALIBRATION RAW'!$K:$S,MATCH(RESOURCES!Z$3,'PR CALIBRATION RAW'!$K$1:$S$1,0),FALSE),"-")</f>
        <v>-</v>
      </c>
      <c r="AA8" s="50" t="str">
        <f>IFERROR(VLOOKUP($C8,'DISPUTES RAW (VQA)'!$N:$U,8,FALSE),"-")</f>
        <v>-</v>
      </c>
      <c r="AB8" s="50">
        <f>IFERROR(VLOOKUP($C8,'ATTENDANCE RAW'!$E:$R,13,FALSE),"-")</f>
        <v>0.95454545454545459</v>
      </c>
      <c r="AC8" s="50">
        <f>IFERROR(IF($E8="Voice QA",IF(AVERAGEIFS('KC RAW'!$J:$J,'KC RAW'!$B:$B,RESOURCES!$C8)=0,"-",AVERAGEIFS('KC RAW'!$J:$J,'KC RAW'!$B:$B,RESOURCES!$C8)),IF(AVERAGEIFS('KC RAW'!$H:$H,'KC RAW'!$B:$B,RESOURCES!$C8)=0,"-",AVERAGEIFS('KC RAW'!$H:$H,'KC RAW'!$B:$B,RESOURCES!$C8))),"-")</f>
        <v>0.9</v>
      </c>
      <c r="AD8" s="50" t="str">
        <f>IFERROR(AVERAGEIFS('CE RAW'!$G:$G,'CE RAW'!$E:$E,RESOURCES!$C8),"-")</f>
        <v>-</v>
      </c>
      <c r="AE8" s="50" t="str">
        <f>IFERROR(VLOOKUP($C8,'FCR RAW'!$A:$I,7,FALSE),"-")</f>
        <v>-</v>
      </c>
      <c r="AF8" s="50">
        <f>IFERROR(IF(VLOOKUP($C8,'BONUS RAW'!$D:$I,6,FALSE)=100%,100%,"-"),"-")</f>
        <v>1</v>
      </c>
      <c r="AG8" s="52">
        <f t="shared" si="3"/>
        <v>0.92257181818181833</v>
      </c>
      <c r="AH8" s="56">
        <f t="shared" si="0"/>
        <v>57</v>
      </c>
      <c r="AI8" s="57">
        <f t="shared" si="4"/>
        <v>0.91849665071770348</v>
      </c>
      <c r="AJ8" s="57">
        <f t="shared" si="5"/>
        <v>0.92257181818181833</v>
      </c>
      <c r="AK8" s="325" t="str">
        <f>IFERROR(VLOOKUP($C8,'ATTRITION RAW'!$E:$J,6,FALSE),"-")</f>
        <v>-</v>
      </c>
      <c r="AL8" s="176" t="str">
        <f t="shared" si="6"/>
        <v>-</v>
      </c>
      <c r="AM8" s="454">
        <f>IFERROR(VLOOKUP($C8,'CHURN RAW'!$A:$G,7,FALSE),"-")</f>
        <v>0.18179999999999999</v>
      </c>
      <c r="AN8" s="456" t="str">
        <f t="shared" si="1"/>
        <v>QUALITY - DESIGNERS</v>
      </c>
    </row>
    <row r="9" spans="1:44">
      <c r="B9" s="637">
        <f t="shared" si="7"/>
        <v>6</v>
      </c>
      <c r="C9" s="93">
        <v>10072228</v>
      </c>
      <c r="D9" s="93" t="s">
        <v>95</v>
      </c>
      <c r="E9" s="88" t="s">
        <v>83</v>
      </c>
      <c r="F9" s="88" t="s">
        <v>84</v>
      </c>
      <c r="G9" s="88" t="s">
        <v>85</v>
      </c>
      <c r="H9" s="88" t="s">
        <v>85</v>
      </c>
      <c r="I9" s="88" t="s">
        <v>86</v>
      </c>
      <c r="J9" s="638"/>
      <c r="K9" s="638">
        <f t="shared" si="8"/>
        <v>43739</v>
      </c>
      <c r="L9" s="639" t="str">
        <f t="shared" si="2"/>
        <v>Expert</v>
      </c>
      <c r="M9" s="53">
        <f>IFERROR(VLOOKUP($E9,KPI!$B:$T,MATCH(RESOURCES!M$3,KPI!$B$1:$T$1,0),FALSE),"-")</f>
        <v>0.25</v>
      </c>
      <c r="N9" s="53">
        <f>IFERROR(VLOOKUP($E9,KPI!$B:$T,MATCH(RESOURCES!N$3,KPI!$B$1:$T$1,0),FALSE),"-")</f>
        <v>0.25</v>
      </c>
      <c r="O9" s="53">
        <f>IFERROR(VLOOKUP($E9,KPI!$B:$T,MATCH(RESOURCES!O$3,KPI!$B$1:$T$1,0),FALSE),"-")</f>
        <v>0.1</v>
      </c>
      <c r="P9" s="53" t="str">
        <f>IFERROR(VLOOKUP($E9,KPI!$B:$T,MATCH(RESOURCES!P$3,KPI!$B$1:$T$1,0),FALSE),"-")</f>
        <v>-</v>
      </c>
      <c r="Q9" s="53" t="str">
        <f>IFERROR(VLOOKUP($E9,KPI!$B:$T,MATCH(RESOURCES!Q$3,KPI!$B$1:$T$1,0),FALSE),"-")</f>
        <v>-</v>
      </c>
      <c r="R9" s="53">
        <f>IFERROR(VLOOKUP($E9,KPI!$B:$T,MATCH(RESOURCES!R$3,KPI!$B$1:$T$1,0),FALSE),"-")</f>
        <v>0.15</v>
      </c>
      <c r="S9" s="53">
        <f>IFERROR(VLOOKUP($E9,KPI!$B:$T,MATCH(RESOURCES!S$3,KPI!$B$1:$T$1,0),FALSE),"-")</f>
        <v>0.2</v>
      </c>
      <c r="T9" s="53" t="str">
        <f>IFERROR(VLOOKUP($E9,KPI!$B:$T,MATCH(RESOURCES!T$3,KPI!$B$1:$T$1,0),FALSE),"-")</f>
        <v>-</v>
      </c>
      <c r="U9" s="53" t="str">
        <f>IFERROR(VLOOKUP($E9,KPI!$B:$T,MATCH(RESOURCES!U$3,KPI!$B$1:$T$1,0),FALSE),"-")</f>
        <v>-</v>
      </c>
      <c r="V9" s="53">
        <f>IFERROR(VLOOKUP($E9,KPI!$B:$T,MATCH(RESOURCES!V$3,KPI!$B$1:$T$1,0),FALSE),"-")</f>
        <v>0.05</v>
      </c>
      <c r="W9" s="50">
        <f>IFERROR(VLOOKUP($C9,'PRODUCTIVITY RAW'!$B:$Q,16,FALSE),"-")</f>
        <v>0.88819875776397528</v>
      </c>
      <c r="X9" s="50">
        <f>IFERROR(VLOOKUP($C9,'CHURN RAW'!$A:$H,8,FALSE),"-")</f>
        <v>1</v>
      </c>
      <c r="Y9" s="50">
        <f>IFERROR(IF(AVERAGEIFS('QA RAW'!$G:$G,'QA RAW'!$E:$E,RESOURCES!$C9)=0,"-",AVERAGEIFS('QA RAW'!$G:$G,'QA RAW'!$E:$E,RESOURCES!$C9)),"-")</f>
        <v>1</v>
      </c>
      <c r="Z9" s="50" t="str">
        <f>IFERROR(VLOOKUP($C9,'PR CALIBRATION RAW'!$K:$S,MATCH(RESOURCES!Z$3,'PR CALIBRATION RAW'!$K$1:$S$1,0),FALSE),"-")</f>
        <v>-</v>
      </c>
      <c r="AA9" s="50" t="str">
        <f>IFERROR(VLOOKUP($C9,'DISPUTES RAW (VQA)'!$N:$U,8,FALSE),"-")</f>
        <v>-</v>
      </c>
      <c r="AB9" s="50">
        <f>IFERROR(VLOOKUP($C9,'ATTENDANCE RAW'!$E:$R,13,FALSE),"-")</f>
        <v>0.90909090909090906</v>
      </c>
      <c r="AC9" s="50">
        <f>IFERROR(IF($E9="Voice QA",IF(AVERAGEIFS('KC RAW'!$J:$J,'KC RAW'!$B:$B,RESOURCES!$C9)=0,"-",AVERAGEIFS('KC RAW'!$J:$J,'KC RAW'!$B:$B,RESOURCES!$C9)),IF(AVERAGEIFS('KC RAW'!$H:$H,'KC RAW'!$B:$B,RESOURCES!$C9)=0,"-",AVERAGEIFS('KC RAW'!$H:$H,'KC RAW'!$B:$B,RESOURCES!$C9))),"-")</f>
        <v>0.75</v>
      </c>
      <c r="AD9" s="50" t="str">
        <f>IFERROR(AVERAGEIFS('CE RAW'!$G:$G,'CE RAW'!$E:$E,RESOURCES!$C9),"-")</f>
        <v>-</v>
      </c>
      <c r="AE9" s="50" t="str">
        <f>IFERROR(VLOOKUP($C9,'FCR RAW'!$A:$I,7,FALSE),"-")</f>
        <v>-</v>
      </c>
      <c r="AF9" s="50" t="str">
        <f>IFERROR(IF(VLOOKUP($C9,'BONUS RAW'!$D:$I,6,FALSE)=100%,100%,"-"),"-")</f>
        <v>-</v>
      </c>
      <c r="AG9" s="52">
        <f t="shared" si="3"/>
        <v>0.9035929745311897</v>
      </c>
      <c r="AH9" s="56">
        <f t="shared" si="0"/>
        <v>81</v>
      </c>
      <c r="AI9" s="57">
        <f t="shared" si="4"/>
        <v>0.9035929745311897</v>
      </c>
      <c r="AJ9" s="57">
        <f t="shared" si="5"/>
        <v>0.85841332580463015</v>
      </c>
      <c r="AK9" s="325" t="str">
        <f>IFERROR(VLOOKUP($C9,'ATTRITION RAW'!$E:$J,6,FALSE),"-")</f>
        <v>-</v>
      </c>
      <c r="AL9" s="176" t="str">
        <f t="shared" si="6"/>
        <v>-</v>
      </c>
      <c r="AM9" s="454">
        <f>IFERROR(VLOOKUP($C9,'CHURN RAW'!$A:$G,7,FALSE),"-")</f>
        <v>0</v>
      </c>
      <c r="AN9" s="456" t="str">
        <f t="shared" si="1"/>
        <v>QUALITY - DESIGNERS</v>
      </c>
    </row>
    <row r="10" spans="1:44">
      <c r="B10" s="637">
        <f t="shared" si="7"/>
        <v>7</v>
      </c>
      <c r="C10" s="93">
        <v>10072161</v>
      </c>
      <c r="D10" s="628" t="s">
        <v>96</v>
      </c>
      <c r="E10" s="88" t="s">
        <v>83</v>
      </c>
      <c r="F10" s="88" t="s">
        <v>84</v>
      </c>
      <c r="G10" s="88" t="s">
        <v>85</v>
      </c>
      <c r="H10" s="88" t="s">
        <v>85</v>
      </c>
      <c r="I10" s="88" t="s">
        <v>86</v>
      </c>
      <c r="J10" s="638"/>
      <c r="K10" s="638">
        <f t="shared" si="8"/>
        <v>43739</v>
      </c>
      <c r="L10" s="639" t="str">
        <f t="shared" si="2"/>
        <v>Expert</v>
      </c>
      <c r="M10" s="53">
        <f>IFERROR(VLOOKUP($E10,KPI!$B:$T,MATCH(RESOURCES!M$3,KPI!$B$1:$T$1,0),FALSE),"-")</f>
        <v>0.25</v>
      </c>
      <c r="N10" s="627"/>
      <c r="O10" s="627"/>
      <c r="P10" s="53" t="str">
        <f>IFERROR(VLOOKUP($E10,KPI!$B:$T,MATCH(RESOURCES!P$3,KPI!$B$1:$T$1,0),FALSE),"-")</f>
        <v>-</v>
      </c>
      <c r="Q10" s="53" t="str">
        <f>IFERROR(VLOOKUP($E10,KPI!$B:$T,MATCH(RESOURCES!Q$3,KPI!$B$1:$T$1,0),FALSE),"-")</f>
        <v>-</v>
      </c>
      <c r="R10" s="53">
        <f>IFERROR(VLOOKUP($E10,KPI!$B:$T,MATCH(RESOURCES!R$3,KPI!$B$1:$T$1,0),FALSE),"-")</f>
        <v>0.15</v>
      </c>
      <c r="S10" s="627"/>
      <c r="T10" s="53" t="str">
        <f>IFERROR(VLOOKUP($E10,KPI!$B:$T,MATCH(RESOURCES!T$3,KPI!$B$1:$T$1,0),FALSE),"-")</f>
        <v>-</v>
      </c>
      <c r="U10" s="53" t="str">
        <f>IFERROR(VLOOKUP($E10,KPI!$B:$T,MATCH(RESOURCES!U$3,KPI!$B$1:$T$1,0),FALSE),"-")</f>
        <v>-</v>
      </c>
      <c r="V10" s="53">
        <f>IFERROR(VLOOKUP($E10,KPI!$B:$T,MATCH(RESOURCES!V$3,KPI!$B$1:$T$1,0),FALSE),"-")</f>
        <v>0.05</v>
      </c>
      <c r="W10" s="50" t="str">
        <f>IFERROR(VLOOKUP($C10,'PRODUCTIVITY RAW'!$B:$Q,16,FALSE),"-")</f>
        <v>-</v>
      </c>
      <c r="X10" s="50" t="str">
        <f>IFERROR(VLOOKUP($C10,'CHURN RAW'!$A:$H,8,FALSE),"-")</f>
        <v>NO SCORE</v>
      </c>
      <c r="Y10" s="50" t="str">
        <f>IFERROR(IF(AVERAGEIFS('QA RAW'!$G:$G,'QA RAW'!$E:$E,RESOURCES!$C10)=0,"-",AVERAGEIFS('QA RAW'!$G:$G,'QA RAW'!$E:$E,RESOURCES!$C10)),"-")</f>
        <v>-</v>
      </c>
      <c r="Z10" s="50" t="str">
        <f>IFERROR(VLOOKUP($C10,'PR CALIBRATION RAW'!$K:$S,MATCH(RESOURCES!Z$3,'PR CALIBRATION RAW'!$K$1:$S$1,0),FALSE),"-")</f>
        <v>-</v>
      </c>
      <c r="AA10" s="50" t="str">
        <f>IFERROR(VLOOKUP($C10,'DISPUTES RAW (VQA)'!$N:$U,8,FALSE),"-")</f>
        <v>-</v>
      </c>
      <c r="AB10" s="50">
        <f>IFERROR(VLOOKUP($C10,'ATTENDANCE RAW'!$E:$R,13,FALSE),"-")</f>
        <v>1</v>
      </c>
      <c r="AC10" s="50" t="str">
        <f>IFERROR(IF($E10="Voice QA",IF(AVERAGEIFS('KC RAW'!$J:$J,'KC RAW'!$B:$B,RESOURCES!$C10)=0,"-",AVERAGEIFS('KC RAW'!$J:$J,'KC RAW'!$B:$B,RESOURCES!$C10)),IF(AVERAGEIFS('KC RAW'!$H:$H,'KC RAW'!$B:$B,RESOURCES!$C10)=0,"-",AVERAGEIFS('KC RAW'!$H:$H,'KC RAW'!$B:$B,RESOURCES!$C10))),"-")</f>
        <v>-</v>
      </c>
      <c r="AD10" s="50" t="str">
        <f>IFERROR(AVERAGEIFS('CE RAW'!$G:$G,'CE RAW'!$E:$E,RESOURCES!$C10),"-")</f>
        <v>-</v>
      </c>
      <c r="AE10" s="50" t="str">
        <f>IFERROR(VLOOKUP($C10,'FCR RAW'!$A:$I,7,FALSE),"-")</f>
        <v>-</v>
      </c>
      <c r="AF10" s="50" t="str">
        <f>IFERROR(IF(VLOOKUP($C10,'BONUS RAW'!$D:$I,6,FALSE)=100%,100%,"-"),"-")</f>
        <v>-</v>
      </c>
      <c r="AG10" s="52">
        <f t="shared" si="3"/>
        <v>0.37499999999999994</v>
      </c>
      <c r="AH10" s="56">
        <f t="shared" si="0"/>
        <v>145</v>
      </c>
      <c r="AI10" s="57">
        <f t="shared" si="4"/>
        <v>0.37499999999999994</v>
      </c>
      <c r="AJ10" s="57">
        <f t="shared" si="5"/>
        <v>0.33333333333333331</v>
      </c>
      <c r="AK10" s="325" t="str">
        <f>IFERROR(VLOOKUP($C10,'ATTRITION RAW'!$E:$J,6,FALSE),"-")</f>
        <v>-</v>
      </c>
      <c r="AL10" s="176" t="str">
        <f t="shared" si="6"/>
        <v>-</v>
      </c>
      <c r="AM10" s="454" t="str">
        <f>IFERROR(VLOOKUP($C10,'CHURN RAW'!$A:$G,7,FALSE),"-")</f>
        <v>-</v>
      </c>
      <c r="AN10" s="456" t="str">
        <f t="shared" si="1"/>
        <v>QUALITY - DESIGNERS</v>
      </c>
    </row>
    <row r="11" spans="1:44">
      <c r="B11" s="637">
        <f t="shared" si="7"/>
        <v>8</v>
      </c>
      <c r="C11" s="93">
        <v>10071147</v>
      </c>
      <c r="D11" s="93" t="s">
        <v>97</v>
      </c>
      <c r="E11" s="88" t="s">
        <v>83</v>
      </c>
      <c r="F11" s="88" t="s">
        <v>84</v>
      </c>
      <c r="G11" s="88" t="s">
        <v>85</v>
      </c>
      <c r="H11" s="88" t="s">
        <v>85</v>
      </c>
      <c r="I11" s="88" t="s">
        <v>86</v>
      </c>
      <c r="J11" s="638"/>
      <c r="K11" s="638">
        <f t="shared" si="8"/>
        <v>43739</v>
      </c>
      <c r="L11" s="639" t="str">
        <f t="shared" si="2"/>
        <v>Expert</v>
      </c>
      <c r="M11" s="53">
        <f>IFERROR(VLOOKUP($E11,KPI!$B:$T,MATCH(RESOURCES!M$3,KPI!$B$1:$T$1,0),FALSE),"-")</f>
        <v>0.25</v>
      </c>
      <c r="N11" s="53">
        <f>IFERROR(VLOOKUP($E11,KPI!$B:$T,MATCH(RESOURCES!N$3,KPI!$B$1:$T$1,0),FALSE),"-")</f>
        <v>0.25</v>
      </c>
      <c r="O11" s="53">
        <f>IFERROR(VLOOKUP($E11,KPI!$B:$T,MATCH(RESOURCES!O$3,KPI!$B$1:$T$1,0),FALSE),"-")</f>
        <v>0.1</v>
      </c>
      <c r="P11" s="53" t="str">
        <f>IFERROR(VLOOKUP($E11,KPI!$B:$T,MATCH(RESOURCES!P$3,KPI!$B$1:$T$1,0),FALSE),"-")</f>
        <v>-</v>
      </c>
      <c r="Q11" s="53" t="str">
        <f>IFERROR(VLOOKUP($E11,KPI!$B:$T,MATCH(RESOURCES!Q$3,KPI!$B$1:$T$1,0),FALSE),"-")</f>
        <v>-</v>
      </c>
      <c r="R11" s="53">
        <f>IFERROR(VLOOKUP($E11,KPI!$B:$T,MATCH(RESOURCES!R$3,KPI!$B$1:$T$1,0),FALSE),"-")</f>
        <v>0.15</v>
      </c>
      <c r="S11" s="53">
        <f>IFERROR(VLOOKUP($E11,KPI!$B:$T,MATCH(RESOURCES!S$3,KPI!$B$1:$T$1,0),FALSE),"-")</f>
        <v>0.2</v>
      </c>
      <c r="T11" s="53" t="str">
        <f>IFERROR(VLOOKUP($E11,KPI!$B:$T,MATCH(RESOURCES!T$3,KPI!$B$1:$T$1,0),FALSE),"-")</f>
        <v>-</v>
      </c>
      <c r="U11" s="53" t="str">
        <f>IFERROR(VLOOKUP($E11,KPI!$B:$T,MATCH(RESOURCES!U$3,KPI!$B$1:$T$1,0),FALSE),"-")</f>
        <v>-</v>
      </c>
      <c r="V11" s="53">
        <f>IFERROR(VLOOKUP($E11,KPI!$B:$T,MATCH(RESOURCES!V$3,KPI!$B$1:$T$1,0),FALSE),"-")</f>
        <v>0.05</v>
      </c>
      <c r="W11" s="50">
        <f>IFERROR(VLOOKUP($C11,'PRODUCTIVITY RAW'!$B:$Q,16,FALSE),"-")</f>
        <v>0.65479041916167668</v>
      </c>
      <c r="X11" s="50">
        <f>IFERROR(VLOOKUP($C11,'CHURN RAW'!$A:$H,8,FALSE),"-")</f>
        <v>0.8</v>
      </c>
      <c r="Y11" s="50">
        <f>IFERROR(IF(AVERAGEIFS('QA RAW'!$G:$G,'QA RAW'!$E:$E,RESOURCES!$C11)=0,"-",AVERAGEIFS('QA RAW'!$G:$G,'QA RAW'!$E:$E,RESOURCES!$C11)),"-")</f>
        <v>0.98450000000000004</v>
      </c>
      <c r="Z11" s="50" t="str">
        <f>IFERROR(VLOOKUP($C11,'PR CALIBRATION RAW'!$K:$S,MATCH(RESOURCES!Z$3,'PR CALIBRATION RAW'!$K$1:$S$1,0),FALSE),"-")</f>
        <v>-</v>
      </c>
      <c r="AA11" s="50" t="str">
        <f>IFERROR(VLOOKUP($C11,'DISPUTES RAW (VQA)'!$N:$U,8,FALSE),"-")</f>
        <v>-</v>
      </c>
      <c r="AB11" s="50">
        <f>IFERROR(VLOOKUP($C11,'ATTENDANCE RAW'!$E:$R,13,FALSE),"-")</f>
        <v>0.95454545454545459</v>
      </c>
      <c r="AC11" s="50">
        <f>IFERROR(IF($E11="Voice QA",IF(AVERAGEIFS('KC RAW'!$J:$J,'KC RAW'!$B:$B,RESOURCES!$C11)=0,"-",AVERAGEIFS('KC RAW'!$J:$J,'KC RAW'!$B:$B,RESOURCES!$C11)),IF(AVERAGEIFS('KC RAW'!$H:$H,'KC RAW'!$B:$B,RESOURCES!$C11)=0,"-",AVERAGEIFS('KC RAW'!$H:$H,'KC RAW'!$B:$B,RESOURCES!$C11))),"-")</f>
        <v>0.7</v>
      </c>
      <c r="AD11" s="50" t="str">
        <f>IFERROR(AVERAGEIFS('CE RAW'!$G:$G,'CE RAW'!$E:$E,RESOURCES!$C11),"-")</f>
        <v>-</v>
      </c>
      <c r="AE11" s="50" t="str">
        <f>IFERROR(VLOOKUP($C11,'FCR RAW'!$A:$I,7,FALSE),"-")</f>
        <v>-</v>
      </c>
      <c r="AF11" s="50">
        <f>IFERROR(IF(VLOOKUP($C11,'BONUS RAW'!$D:$I,6,FALSE)=100%,100%,"-"),"-")</f>
        <v>1</v>
      </c>
      <c r="AG11" s="52">
        <f t="shared" si="3"/>
        <v>0.79532942297223741</v>
      </c>
      <c r="AH11" s="56">
        <f t="shared" si="0"/>
        <v>142</v>
      </c>
      <c r="AI11" s="57">
        <f t="shared" si="4"/>
        <v>0.78455728733919727</v>
      </c>
      <c r="AJ11" s="57">
        <f t="shared" si="5"/>
        <v>0.79532942297223741</v>
      </c>
      <c r="AK11" s="325" t="str">
        <f>IFERROR(VLOOKUP($C11,'ATTRITION RAW'!$E:$J,6,FALSE),"-")</f>
        <v>-</v>
      </c>
      <c r="AL11" s="176" t="str">
        <f t="shared" si="6"/>
        <v>-</v>
      </c>
      <c r="AM11" s="454">
        <f>IFERROR(VLOOKUP($C11,'CHURN RAW'!$A:$G,7,FALSE),"-")</f>
        <v>0.16669999999999999</v>
      </c>
      <c r="AN11" s="456" t="str">
        <f t="shared" si="1"/>
        <v>QUALITY - DESIGNERS</v>
      </c>
    </row>
    <row r="12" spans="1:44">
      <c r="B12" s="637">
        <f t="shared" si="7"/>
        <v>9</v>
      </c>
      <c r="C12" s="93">
        <v>10072105</v>
      </c>
      <c r="D12" s="93" t="s">
        <v>98</v>
      </c>
      <c r="E12" s="88" t="s">
        <v>83</v>
      </c>
      <c r="F12" s="88" t="s">
        <v>84</v>
      </c>
      <c r="G12" s="88" t="s">
        <v>85</v>
      </c>
      <c r="H12" s="88" t="s">
        <v>85</v>
      </c>
      <c r="I12" s="88" t="s">
        <v>86</v>
      </c>
      <c r="J12" s="638"/>
      <c r="K12" s="638">
        <f t="shared" si="8"/>
        <v>43739</v>
      </c>
      <c r="L12" s="639" t="str">
        <f t="shared" si="2"/>
        <v>Expert</v>
      </c>
      <c r="M12" s="53">
        <f>IFERROR(VLOOKUP($E12,KPI!$B:$T,MATCH(RESOURCES!M$3,KPI!$B$1:$T$1,0),FALSE),"-")</f>
        <v>0.25</v>
      </c>
      <c r="N12" s="53">
        <f>IFERROR(VLOOKUP($E12,KPI!$B:$T,MATCH(RESOURCES!N$3,KPI!$B$1:$T$1,0),FALSE),"-")</f>
        <v>0.25</v>
      </c>
      <c r="O12" s="53">
        <f>IFERROR(VLOOKUP($E12,KPI!$B:$T,MATCH(RESOURCES!O$3,KPI!$B$1:$T$1,0),FALSE),"-")</f>
        <v>0.1</v>
      </c>
      <c r="P12" s="53" t="str">
        <f>IFERROR(VLOOKUP($E12,KPI!$B:$T,MATCH(RESOURCES!P$3,KPI!$B$1:$T$1,0),FALSE),"-")</f>
        <v>-</v>
      </c>
      <c r="Q12" s="53" t="str">
        <f>IFERROR(VLOOKUP($E12,KPI!$B:$T,MATCH(RESOURCES!Q$3,KPI!$B$1:$T$1,0),FALSE),"-")</f>
        <v>-</v>
      </c>
      <c r="R12" s="53">
        <f>IFERROR(VLOOKUP($E12,KPI!$B:$T,MATCH(RESOURCES!R$3,KPI!$B$1:$T$1,0),FALSE),"-")</f>
        <v>0.15</v>
      </c>
      <c r="S12" s="53">
        <f>IFERROR(VLOOKUP($E12,KPI!$B:$T,MATCH(RESOURCES!S$3,KPI!$B$1:$T$1,0),FALSE),"-")</f>
        <v>0.2</v>
      </c>
      <c r="T12" s="53" t="str">
        <f>IFERROR(VLOOKUP($E12,KPI!$B:$T,MATCH(RESOURCES!T$3,KPI!$B$1:$T$1,0),FALSE),"-")</f>
        <v>-</v>
      </c>
      <c r="U12" s="53" t="str">
        <f>IFERROR(VLOOKUP($E12,KPI!$B:$T,MATCH(RESOURCES!U$3,KPI!$B$1:$T$1,0),FALSE),"-")</f>
        <v>-</v>
      </c>
      <c r="V12" s="53">
        <f>IFERROR(VLOOKUP($E12,KPI!$B:$T,MATCH(RESOURCES!V$3,KPI!$B$1:$T$1,0),FALSE),"-")</f>
        <v>0.05</v>
      </c>
      <c r="W12" s="50">
        <f>IFERROR(VLOOKUP($C12,'PRODUCTIVITY RAW'!$B:$Q,16,FALSE),"-")</f>
        <v>0.57367647058823545</v>
      </c>
      <c r="X12" s="50">
        <f>IFERROR(VLOOKUP($C12,'CHURN RAW'!$A:$H,8,FALSE),"-")</f>
        <v>0</v>
      </c>
      <c r="Y12" s="50">
        <f>IFERROR(IF(AVERAGEIFS('QA RAW'!$G:$G,'QA RAW'!$E:$E,RESOURCES!$C12)=0,"-",AVERAGEIFS('QA RAW'!$G:$G,'QA RAW'!$E:$E,RESOURCES!$C12)),"-")</f>
        <v>0.9909</v>
      </c>
      <c r="Z12" s="50" t="str">
        <f>IFERROR(VLOOKUP($C12,'PR CALIBRATION RAW'!$K:$S,MATCH(RESOURCES!Z$3,'PR CALIBRATION RAW'!$K$1:$S$1,0),FALSE),"-")</f>
        <v>-</v>
      </c>
      <c r="AA12" s="50" t="str">
        <f>IFERROR(VLOOKUP($C12,'DISPUTES RAW (VQA)'!$N:$U,8,FALSE),"-")</f>
        <v>-</v>
      </c>
      <c r="AB12" s="50">
        <f>IFERROR(VLOOKUP($C12,'ATTENDANCE RAW'!$E:$R,13,FALSE),"-")</f>
        <v>0.90909090909090906</v>
      </c>
      <c r="AC12" s="50">
        <f>IFERROR(IF($E12="Voice QA",IF(AVERAGEIFS('KC RAW'!$J:$J,'KC RAW'!$B:$B,RESOURCES!$C12)=0,"-",AVERAGEIFS('KC RAW'!$J:$J,'KC RAW'!$B:$B,RESOURCES!$C12)),IF(AVERAGEIFS('KC RAW'!$H:$H,'KC RAW'!$B:$B,RESOURCES!$C12)=0,"-",AVERAGEIFS('KC RAW'!$H:$H,'KC RAW'!$B:$B,RESOURCES!$C12))),"-")</f>
        <v>0.7</v>
      </c>
      <c r="AD12" s="50" t="str">
        <f>IFERROR(AVERAGEIFS('CE RAW'!$G:$G,'CE RAW'!$E:$E,RESOURCES!$C12),"-")</f>
        <v>-</v>
      </c>
      <c r="AE12" s="50" t="str">
        <f>IFERROR(VLOOKUP($C12,'FCR RAW'!$A:$I,7,FALSE),"-")</f>
        <v>-</v>
      </c>
      <c r="AF12" s="50" t="str">
        <f>IFERROR(IF(VLOOKUP($C12,'BONUS RAW'!$D:$I,6,FALSE)=100%,100%,"-"),"-")</f>
        <v>-</v>
      </c>
      <c r="AG12" s="52">
        <f t="shared" si="3"/>
        <v>0.54618184632704758</v>
      </c>
      <c r="AH12" s="56">
        <f t="shared" si="0"/>
        <v>144</v>
      </c>
      <c r="AI12" s="57">
        <f t="shared" si="4"/>
        <v>0.54618184632704758</v>
      </c>
      <c r="AJ12" s="57">
        <f t="shared" si="5"/>
        <v>0.51887275401069521</v>
      </c>
      <c r="AK12" s="325" t="str">
        <f>IFERROR(VLOOKUP($C12,'ATTRITION RAW'!$E:$J,6,FALSE),"-")</f>
        <v>-</v>
      </c>
      <c r="AL12" s="176" t="str">
        <f t="shared" si="6"/>
        <v>-</v>
      </c>
      <c r="AM12" s="454">
        <f>IFERROR(VLOOKUP($C12,'CHURN RAW'!$A:$G,7,FALSE),"-")</f>
        <v>0.4</v>
      </c>
      <c r="AN12" s="456" t="str">
        <f t="shared" si="1"/>
        <v>QUALITY - DESIGNERS</v>
      </c>
    </row>
    <row r="13" spans="1:44">
      <c r="B13" s="637">
        <f t="shared" si="7"/>
        <v>10</v>
      </c>
      <c r="C13" s="93">
        <v>10072206</v>
      </c>
      <c r="D13" s="93" t="s">
        <v>99</v>
      </c>
      <c r="E13" s="88" t="s">
        <v>83</v>
      </c>
      <c r="F13" s="88" t="s">
        <v>84</v>
      </c>
      <c r="G13" s="88" t="s">
        <v>85</v>
      </c>
      <c r="H13" s="88" t="s">
        <v>85</v>
      </c>
      <c r="I13" s="88" t="s">
        <v>86</v>
      </c>
      <c r="J13" s="638">
        <v>43731</v>
      </c>
      <c r="K13" s="638">
        <f t="shared" si="8"/>
        <v>43739</v>
      </c>
      <c r="L13" s="639" t="str">
        <f t="shared" si="2"/>
        <v>Beginner</v>
      </c>
      <c r="M13" s="53">
        <f>IFERROR(VLOOKUP($E13,KPI!$B:$T,MATCH(RESOURCES!M$3,KPI!$B$1:$T$1,0),FALSE),"-")</f>
        <v>0.25</v>
      </c>
      <c r="N13" s="53">
        <f>IFERROR(VLOOKUP($E13,KPI!$B:$T,MATCH(RESOURCES!N$3,KPI!$B$1:$T$1,0),FALSE),"-")</f>
        <v>0.25</v>
      </c>
      <c r="O13" s="53">
        <f>IFERROR(VLOOKUP($E13,KPI!$B:$T,MATCH(RESOURCES!O$3,KPI!$B$1:$T$1,0),FALSE),"-")</f>
        <v>0.1</v>
      </c>
      <c r="P13" s="53" t="str">
        <f>IFERROR(VLOOKUP($E13,KPI!$B:$T,MATCH(RESOURCES!P$3,KPI!$B$1:$T$1,0),FALSE),"-")</f>
        <v>-</v>
      </c>
      <c r="Q13" s="53" t="str">
        <f>IFERROR(VLOOKUP($E13,KPI!$B:$T,MATCH(RESOURCES!Q$3,KPI!$B$1:$T$1,0),FALSE),"-")</f>
        <v>-</v>
      </c>
      <c r="R13" s="53">
        <f>IFERROR(VLOOKUP($E13,KPI!$B:$T,MATCH(RESOURCES!R$3,KPI!$B$1:$T$1,0),FALSE),"-")</f>
        <v>0.15</v>
      </c>
      <c r="S13" s="53">
        <f>IFERROR(VLOOKUP($E13,KPI!$B:$T,MATCH(RESOURCES!S$3,KPI!$B$1:$T$1,0),FALSE),"-")</f>
        <v>0.2</v>
      </c>
      <c r="T13" s="53" t="str">
        <f>IFERROR(VLOOKUP($E13,KPI!$B:$T,MATCH(RESOURCES!T$3,KPI!$B$1:$T$1,0),FALSE),"-")</f>
        <v>-</v>
      </c>
      <c r="U13" s="53" t="str">
        <f>IFERROR(VLOOKUP($E13,KPI!$B:$T,MATCH(RESOURCES!U$3,KPI!$B$1:$T$1,0),FALSE),"-")</f>
        <v>-</v>
      </c>
      <c r="V13" s="53">
        <f>IFERROR(VLOOKUP($E13,KPI!$B:$T,MATCH(RESOURCES!V$3,KPI!$B$1:$T$1,0),FALSE),"-")</f>
        <v>0.05</v>
      </c>
      <c r="W13" s="50">
        <f>IFERROR(VLOOKUP($C13,'PRODUCTIVITY RAW'!$B:$Q,16,FALSE),"-")</f>
        <v>0.72205298013245056</v>
      </c>
      <c r="X13" s="50">
        <f>IFERROR(VLOOKUP($C13,'CHURN RAW'!$A:$H,8,FALSE),"-")</f>
        <v>0.9</v>
      </c>
      <c r="Y13" s="50">
        <f>IFERROR(IF(AVERAGEIFS('QA RAW'!$G:$G,'QA RAW'!$E:$E,RESOURCES!$C13)=0,"-",AVERAGEIFS('QA RAW'!$G:$G,'QA RAW'!$E:$E,RESOURCES!$C13)),"-")</f>
        <v>0.99650000000000005</v>
      </c>
      <c r="Z13" s="50" t="str">
        <f>IFERROR(VLOOKUP($C13,'PR CALIBRATION RAW'!$K:$S,MATCH(RESOURCES!Z$3,'PR CALIBRATION RAW'!$K$1:$S$1,0),FALSE),"-")</f>
        <v>-</v>
      </c>
      <c r="AA13" s="50" t="str">
        <f>IFERROR(VLOOKUP($C13,'DISPUTES RAW (VQA)'!$N:$U,8,FALSE),"-")</f>
        <v>-</v>
      </c>
      <c r="AB13" s="50">
        <f>IFERROR(VLOOKUP($C13,'ATTENDANCE RAW'!$E:$R,13,FALSE),"-")</f>
        <v>1</v>
      </c>
      <c r="AC13" s="50">
        <f>IFERROR(IF($E13="Voice QA",IF(AVERAGEIFS('KC RAW'!$J:$J,'KC RAW'!$B:$B,RESOURCES!$C13)=0,"-",AVERAGEIFS('KC RAW'!$J:$J,'KC RAW'!$B:$B,RESOURCES!$C13)),IF(AVERAGEIFS('KC RAW'!$H:$H,'KC RAW'!$B:$B,RESOURCES!$C13)=0,"-",AVERAGEIFS('KC RAW'!$H:$H,'KC RAW'!$B:$B,RESOURCES!$C13))),"-")</f>
        <v>0.65</v>
      </c>
      <c r="AD13" s="50" t="str">
        <f>IFERROR(AVERAGEIFS('CE RAW'!$G:$G,'CE RAW'!$E:$E,RESOURCES!$C13),"-")</f>
        <v>-</v>
      </c>
      <c r="AE13" s="50" t="str">
        <f>IFERROR(VLOOKUP($C13,'FCR RAW'!$A:$I,7,FALSE),"-")</f>
        <v>-</v>
      </c>
      <c r="AF13" s="50">
        <f>IFERROR(IF(VLOOKUP($C13,'BONUS RAW'!$D:$I,6,FALSE)=100%,100%,"-"),"-")</f>
        <v>1</v>
      </c>
      <c r="AG13" s="52">
        <f t="shared" si="3"/>
        <v>0.83516324503311279</v>
      </c>
      <c r="AH13" s="56">
        <f t="shared" si="0"/>
        <v>135</v>
      </c>
      <c r="AI13" s="57">
        <f t="shared" si="4"/>
        <v>0.82648762635064499</v>
      </c>
      <c r="AJ13" s="57">
        <f t="shared" si="5"/>
        <v>0.83516324503311279</v>
      </c>
      <c r="AK13" s="325" t="str">
        <f>IFERROR(VLOOKUP($C13,'ATTRITION RAW'!$E:$J,6,FALSE),"-")</f>
        <v>-</v>
      </c>
      <c r="AL13" s="176" t="str">
        <f t="shared" si="6"/>
        <v>-</v>
      </c>
      <c r="AM13" s="454">
        <f>IFERROR(VLOOKUP($C13,'CHURN RAW'!$A:$G,7,FALSE),"-")</f>
        <v>0.13639999999999999</v>
      </c>
      <c r="AN13" s="456" t="str">
        <f t="shared" si="1"/>
        <v>QUALITY - DESIGNERS</v>
      </c>
    </row>
    <row r="14" spans="1:44">
      <c r="B14" s="637">
        <f t="shared" si="7"/>
        <v>11</v>
      </c>
      <c r="C14" s="93">
        <v>10072031</v>
      </c>
      <c r="D14" s="93" t="s">
        <v>100</v>
      </c>
      <c r="E14" s="88" t="s">
        <v>83</v>
      </c>
      <c r="F14" s="88" t="s">
        <v>84</v>
      </c>
      <c r="G14" s="88" t="s">
        <v>85</v>
      </c>
      <c r="H14" s="88" t="s">
        <v>85</v>
      </c>
      <c r="I14" s="88" t="s">
        <v>86</v>
      </c>
      <c r="J14" s="638"/>
      <c r="K14" s="638">
        <f t="shared" si="8"/>
        <v>43739</v>
      </c>
      <c r="L14" s="639" t="str">
        <f t="shared" si="2"/>
        <v>Expert</v>
      </c>
      <c r="M14" s="53">
        <f>IFERROR(VLOOKUP($E14,KPI!$B:$T,MATCH(RESOURCES!M$3,KPI!$B$1:$T$1,0),FALSE),"-")</f>
        <v>0.25</v>
      </c>
      <c r="N14" s="53">
        <f>IFERROR(VLOOKUP($E14,KPI!$B:$T,MATCH(RESOURCES!N$3,KPI!$B$1:$T$1,0),FALSE),"-")</f>
        <v>0.25</v>
      </c>
      <c r="O14" s="53">
        <f>IFERROR(VLOOKUP($E14,KPI!$B:$T,MATCH(RESOURCES!O$3,KPI!$B$1:$T$1,0),FALSE),"-")</f>
        <v>0.1</v>
      </c>
      <c r="P14" s="53" t="str">
        <f>IFERROR(VLOOKUP($E14,KPI!$B:$T,MATCH(RESOURCES!P$3,KPI!$B$1:$T$1,0),FALSE),"-")</f>
        <v>-</v>
      </c>
      <c r="Q14" s="53" t="str">
        <f>IFERROR(VLOOKUP($E14,KPI!$B:$T,MATCH(RESOURCES!Q$3,KPI!$B$1:$T$1,0),FALSE),"-")</f>
        <v>-</v>
      </c>
      <c r="R14" s="53">
        <f>IFERROR(VLOOKUP($E14,KPI!$B:$T,MATCH(RESOURCES!R$3,KPI!$B$1:$T$1,0),FALSE),"-")</f>
        <v>0.15</v>
      </c>
      <c r="S14" s="53">
        <f>IFERROR(VLOOKUP($E14,KPI!$B:$T,MATCH(RESOURCES!S$3,KPI!$B$1:$T$1,0),FALSE),"-")</f>
        <v>0.2</v>
      </c>
      <c r="T14" s="53" t="str">
        <f>IFERROR(VLOOKUP($E14,KPI!$B:$T,MATCH(RESOURCES!T$3,KPI!$B$1:$T$1,0),FALSE),"-")</f>
        <v>-</v>
      </c>
      <c r="U14" s="53" t="str">
        <f>IFERROR(VLOOKUP($E14,KPI!$B:$T,MATCH(RESOURCES!U$3,KPI!$B$1:$T$1,0),FALSE),"-")</f>
        <v>-</v>
      </c>
      <c r="V14" s="53">
        <f>IFERROR(VLOOKUP($E14,KPI!$B:$T,MATCH(RESOURCES!V$3,KPI!$B$1:$T$1,0),FALSE),"-")</f>
        <v>0.05</v>
      </c>
      <c r="W14" s="50">
        <f>IFERROR(VLOOKUP($C14,'PRODUCTIVITY RAW'!$B:$Q,16,FALSE),"-")</f>
        <v>1</v>
      </c>
      <c r="X14" s="50">
        <f>IFERROR(VLOOKUP($C14,'CHURN RAW'!$A:$H,8,FALSE),"-")</f>
        <v>0.9</v>
      </c>
      <c r="Y14" s="50">
        <f>IFERROR(IF(AVERAGEIFS('QA RAW'!$G:$G,'QA RAW'!$E:$E,RESOURCES!$C14)=0,"-",AVERAGEIFS('QA RAW'!$G:$G,'QA RAW'!$E:$E,RESOURCES!$C14)),"-")</f>
        <v>0.99829999999999997</v>
      </c>
      <c r="Z14" s="50" t="str">
        <f>IFERROR(VLOOKUP($C14,'PR CALIBRATION RAW'!$K:$S,MATCH(RESOURCES!Z$3,'PR CALIBRATION RAW'!$K$1:$S$1,0),FALSE),"-")</f>
        <v>-</v>
      </c>
      <c r="AA14" s="50" t="str">
        <f>IFERROR(VLOOKUP($C14,'DISPUTES RAW (VQA)'!$N:$U,8,FALSE),"-")</f>
        <v>-</v>
      </c>
      <c r="AB14" s="50">
        <f>IFERROR(VLOOKUP($C14,'ATTENDANCE RAW'!$E:$R,13,FALSE),"-")</f>
        <v>1</v>
      </c>
      <c r="AC14" s="50">
        <f>IFERROR(IF($E14="Voice QA",IF(AVERAGEIFS('KC RAW'!$J:$J,'KC RAW'!$B:$B,RESOURCES!$C14)=0,"-",AVERAGEIFS('KC RAW'!$J:$J,'KC RAW'!$B:$B,RESOURCES!$C14)),IF(AVERAGEIFS('KC RAW'!$H:$H,'KC RAW'!$B:$B,RESOURCES!$C14)=0,"-",AVERAGEIFS('KC RAW'!$H:$H,'KC RAW'!$B:$B,RESOURCES!$C14))),"-")</f>
        <v>0.7</v>
      </c>
      <c r="AD14" s="50" t="str">
        <f>IFERROR(AVERAGEIFS('CE RAW'!$G:$G,'CE RAW'!$E:$E,RESOURCES!$C14),"-")</f>
        <v>-</v>
      </c>
      <c r="AE14" s="50" t="str">
        <f>IFERROR(VLOOKUP($C14,'FCR RAW'!$A:$I,7,FALSE),"-")</f>
        <v>-</v>
      </c>
      <c r="AF14" s="50">
        <f>IFERROR(IF(VLOOKUP($C14,'BONUS RAW'!$D:$I,6,FALSE)=100%,100%,"-"),"-")</f>
        <v>1</v>
      </c>
      <c r="AG14" s="52">
        <f t="shared" si="3"/>
        <v>0.91483000000000003</v>
      </c>
      <c r="AH14" s="56">
        <f t="shared" si="0"/>
        <v>63</v>
      </c>
      <c r="AI14" s="57">
        <f t="shared" si="4"/>
        <v>0.91034736842105268</v>
      </c>
      <c r="AJ14" s="57">
        <f t="shared" si="5"/>
        <v>0.91483000000000003</v>
      </c>
      <c r="AK14" s="325" t="str">
        <f>IFERROR(VLOOKUP($C14,'ATTRITION RAW'!$E:$J,6,FALSE),"-")</f>
        <v>-</v>
      </c>
      <c r="AL14" s="176" t="str">
        <f t="shared" si="6"/>
        <v>-</v>
      </c>
      <c r="AM14" s="454">
        <f>IFERROR(VLOOKUP($C14,'CHURN RAW'!$A:$G,7,FALSE),"-")</f>
        <v>9.0899999999999995E-2</v>
      </c>
      <c r="AN14" s="456" t="str">
        <f t="shared" si="1"/>
        <v>QUALITY - DESIGNERS</v>
      </c>
    </row>
    <row r="15" spans="1:44">
      <c r="B15" s="637">
        <f t="shared" si="7"/>
        <v>12</v>
      </c>
      <c r="C15" s="93">
        <v>10070976</v>
      </c>
      <c r="D15" s="93" t="s">
        <v>101</v>
      </c>
      <c r="E15" s="88" t="s">
        <v>83</v>
      </c>
      <c r="F15" s="88" t="s">
        <v>84</v>
      </c>
      <c r="G15" s="88" t="s">
        <v>85</v>
      </c>
      <c r="H15" s="88" t="s">
        <v>85</v>
      </c>
      <c r="I15" s="88" t="s">
        <v>86</v>
      </c>
      <c r="J15" s="638"/>
      <c r="K15" s="638">
        <f t="shared" si="8"/>
        <v>43739</v>
      </c>
      <c r="L15" s="639" t="str">
        <f t="shared" si="2"/>
        <v>Expert</v>
      </c>
      <c r="M15" s="53">
        <f>IFERROR(VLOOKUP($E15,KPI!$B:$T,MATCH(RESOURCES!M$3,KPI!$B$1:$T$1,0),FALSE),"-")</f>
        <v>0.25</v>
      </c>
      <c r="N15" s="53">
        <f>IFERROR(VLOOKUP($E15,KPI!$B:$T,MATCH(RESOURCES!N$3,KPI!$B$1:$T$1,0),FALSE),"-")</f>
        <v>0.25</v>
      </c>
      <c r="O15" s="53">
        <f>IFERROR(VLOOKUP($E15,KPI!$B:$T,MATCH(RESOURCES!O$3,KPI!$B$1:$T$1,0),FALSE),"-")</f>
        <v>0.1</v>
      </c>
      <c r="P15" s="53" t="str">
        <f>IFERROR(VLOOKUP($E15,KPI!$B:$T,MATCH(RESOURCES!P$3,KPI!$B$1:$T$1,0),FALSE),"-")</f>
        <v>-</v>
      </c>
      <c r="Q15" s="53" t="str">
        <f>IFERROR(VLOOKUP($E15,KPI!$B:$T,MATCH(RESOURCES!Q$3,KPI!$B$1:$T$1,0),FALSE),"-")</f>
        <v>-</v>
      </c>
      <c r="R15" s="53">
        <f>IFERROR(VLOOKUP($E15,KPI!$B:$T,MATCH(RESOURCES!R$3,KPI!$B$1:$T$1,0),FALSE),"-")</f>
        <v>0.15</v>
      </c>
      <c r="S15" s="53">
        <f>IFERROR(VLOOKUP($E15,KPI!$B:$T,MATCH(RESOURCES!S$3,KPI!$B$1:$T$1,0),FALSE),"-")</f>
        <v>0.2</v>
      </c>
      <c r="T15" s="53" t="str">
        <f>IFERROR(VLOOKUP($E15,KPI!$B:$T,MATCH(RESOURCES!T$3,KPI!$B$1:$T$1,0),FALSE),"-")</f>
        <v>-</v>
      </c>
      <c r="U15" s="53" t="str">
        <f>IFERROR(VLOOKUP($E15,KPI!$B:$T,MATCH(RESOURCES!U$3,KPI!$B$1:$T$1,0),FALSE),"-")</f>
        <v>-</v>
      </c>
      <c r="V15" s="53">
        <f>IFERROR(VLOOKUP($E15,KPI!$B:$T,MATCH(RESOURCES!V$3,KPI!$B$1:$T$1,0),FALSE),"-")</f>
        <v>0.05</v>
      </c>
      <c r="W15" s="50">
        <f>IFERROR(VLOOKUP($C15,'PRODUCTIVITY RAW'!$B:$Q,16,FALSE),"-")</f>
        <v>0.9008403361344538</v>
      </c>
      <c r="X15" s="50">
        <f>IFERROR(VLOOKUP($C15,'CHURN RAW'!$A:$H,8,FALSE),"-")</f>
        <v>0.9</v>
      </c>
      <c r="Y15" s="50">
        <f>IFERROR(IF(AVERAGEIFS('QA RAW'!$G:$G,'QA RAW'!$E:$E,RESOURCES!$C15)=0,"-",AVERAGEIFS('QA RAW'!$G:$G,'QA RAW'!$E:$E,RESOURCES!$C15)),"-")</f>
        <v>0.99619999999999997</v>
      </c>
      <c r="Z15" s="50" t="str">
        <f>IFERROR(VLOOKUP($C15,'PR CALIBRATION RAW'!$K:$S,MATCH(RESOURCES!Z$3,'PR CALIBRATION RAW'!$K$1:$S$1,0),FALSE),"-")</f>
        <v>-</v>
      </c>
      <c r="AA15" s="50" t="str">
        <f>IFERROR(VLOOKUP($C15,'DISPUTES RAW (VQA)'!$N:$U,8,FALSE),"-")</f>
        <v>-</v>
      </c>
      <c r="AB15" s="50">
        <f>IFERROR(VLOOKUP($C15,'ATTENDANCE RAW'!$E:$R,13,FALSE),"-")</f>
        <v>1</v>
      </c>
      <c r="AC15" s="50">
        <f>IFERROR(IF($E15="Voice QA",IF(AVERAGEIFS('KC RAW'!$J:$J,'KC RAW'!$B:$B,RESOURCES!$C15)=0,"-",AVERAGEIFS('KC RAW'!$J:$J,'KC RAW'!$B:$B,RESOURCES!$C15)),IF(AVERAGEIFS('KC RAW'!$H:$H,'KC RAW'!$B:$B,RESOURCES!$C15)=0,"-",AVERAGEIFS('KC RAW'!$H:$H,'KC RAW'!$B:$B,RESOURCES!$C15))),"-")</f>
        <v>0.6</v>
      </c>
      <c r="AD15" s="50" t="str">
        <f>IFERROR(AVERAGEIFS('CE RAW'!$G:$G,'CE RAW'!$E:$E,RESOURCES!$C15),"-")</f>
        <v>-</v>
      </c>
      <c r="AE15" s="50" t="str">
        <f>IFERROR(VLOOKUP($C15,'FCR RAW'!$A:$I,7,FALSE),"-")</f>
        <v>-</v>
      </c>
      <c r="AF15" s="50">
        <f>IFERROR(IF(VLOOKUP($C15,'BONUS RAW'!$D:$I,6,FALSE)=100%,100%,"-"),"-")</f>
        <v>1</v>
      </c>
      <c r="AG15" s="52">
        <f t="shared" si="3"/>
        <v>0.8698300840336135</v>
      </c>
      <c r="AH15" s="56">
        <f t="shared" si="0"/>
        <v>115</v>
      </c>
      <c r="AI15" s="57">
        <f t="shared" si="4"/>
        <v>0.86297903582485636</v>
      </c>
      <c r="AJ15" s="57">
        <f t="shared" si="5"/>
        <v>0.8698300840336135</v>
      </c>
      <c r="AK15" s="325" t="str">
        <f>IFERROR(VLOOKUP($C15,'ATTRITION RAW'!$E:$J,6,FALSE),"-")</f>
        <v>-</v>
      </c>
      <c r="AL15" s="176" t="str">
        <f t="shared" si="6"/>
        <v>-</v>
      </c>
      <c r="AM15" s="454">
        <f>IFERROR(VLOOKUP($C15,'CHURN RAW'!$A:$G,7,FALSE),"-")</f>
        <v>0.1429</v>
      </c>
      <c r="AN15" s="456" t="str">
        <f t="shared" si="1"/>
        <v>QUALITY - DESIGNERS</v>
      </c>
    </row>
    <row r="16" spans="1:44">
      <c r="B16" s="637">
        <f t="shared" si="7"/>
        <v>13</v>
      </c>
      <c r="C16" s="93">
        <v>10072063</v>
      </c>
      <c r="D16" s="93" t="s">
        <v>102</v>
      </c>
      <c r="E16" s="88" t="s">
        <v>83</v>
      </c>
      <c r="F16" s="88" t="s">
        <v>84</v>
      </c>
      <c r="G16" s="88" t="s">
        <v>85</v>
      </c>
      <c r="H16" s="88" t="s">
        <v>85</v>
      </c>
      <c r="I16" s="88" t="s">
        <v>86</v>
      </c>
      <c r="J16" s="638"/>
      <c r="K16" s="638">
        <f t="shared" si="8"/>
        <v>43739</v>
      </c>
      <c r="L16" s="639" t="str">
        <f t="shared" si="2"/>
        <v>Expert</v>
      </c>
      <c r="M16" s="53">
        <f>IFERROR(VLOOKUP($E16,KPI!$B:$T,MATCH(RESOURCES!M$3,KPI!$B$1:$T$1,0),FALSE),"-")</f>
        <v>0.25</v>
      </c>
      <c r="N16" s="53">
        <f>IFERROR(VLOOKUP($E16,KPI!$B:$T,MATCH(RESOURCES!N$3,KPI!$B$1:$T$1,0),FALSE),"-")</f>
        <v>0.25</v>
      </c>
      <c r="O16" s="53">
        <f>IFERROR(VLOOKUP($E16,KPI!$B:$T,MATCH(RESOURCES!O$3,KPI!$B$1:$T$1,0),FALSE),"-")</f>
        <v>0.1</v>
      </c>
      <c r="P16" s="53" t="str">
        <f>IFERROR(VLOOKUP($E16,KPI!$B:$T,MATCH(RESOURCES!P$3,KPI!$B$1:$T$1,0),FALSE),"-")</f>
        <v>-</v>
      </c>
      <c r="Q16" s="53" t="str">
        <f>IFERROR(VLOOKUP($E16,KPI!$B:$T,MATCH(RESOURCES!Q$3,KPI!$B$1:$T$1,0),FALSE),"-")</f>
        <v>-</v>
      </c>
      <c r="R16" s="53">
        <f>IFERROR(VLOOKUP($E16,KPI!$B:$T,MATCH(RESOURCES!R$3,KPI!$B$1:$T$1,0),FALSE),"-")</f>
        <v>0.15</v>
      </c>
      <c r="S16" s="53">
        <f>IFERROR(VLOOKUP($E16,KPI!$B:$T,MATCH(RESOURCES!S$3,KPI!$B$1:$T$1,0),FALSE),"-")</f>
        <v>0.2</v>
      </c>
      <c r="T16" s="53" t="str">
        <f>IFERROR(VLOOKUP($E16,KPI!$B:$T,MATCH(RESOURCES!T$3,KPI!$B$1:$T$1,0),FALSE),"-")</f>
        <v>-</v>
      </c>
      <c r="U16" s="53" t="str">
        <f>IFERROR(VLOOKUP($E16,KPI!$B:$T,MATCH(RESOURCES!U$3,KPI!$B$1:$T$1,0),FALSE),"-")</f>
        <v>-</v>
      </c>
      <c r="V16" s="53">
        <f>IFERROR(VLOOKUP($E16,KPI!$B:$T,MATCH(RESOURCES!V$3,KPI!$B$1:$T$1,0),FALSE),"-")</f>
        <v>0.05</v>
      </c>
      <c r="W16" s="50">
        <f>IFERROR(VLOOKUP($C16,'PRODUCTIVITY RAW'!$B:$Q,16,FALSE),"-")</f>
        <v>1</v>
      </c>
      <c r="X16" s="50">
        <f>IFERROR(VLOOKUP($C16,'CHURN RAW'!$A:$H,8,FALSE),"-")</f>
        <v>0.9</v>
      </c>
      <c r="Y16" s="50">
        <f>IFERROR(IF(AVERAGEIFS('QA RAW'!$G:$G,'QA RAW'!$E:$E,RESOURCES!$C16)=0,"-",AVERAGEIFS('QA RAW'!$G:$G,'QA RAW'!$E:$E,RESOURCES!$C16)),"-")</f>
        <v>0.99809999999999999</v>
      </c>
      <c r="Z16" s="50" t="str">
        <f>IFERROR(VLOOKUP($C16,'PR CALIBRATION RAW'!$K:$S,MATCH(RESOURCES!Z$3,'PR CALIBRATION RAW'!$K$1:$S$1,0),FALSE),"-")</f>
        <v>-</v>
      </c>
      <c r="AA16" s="50" t="str">
        <f>IFERROR(VLOOKUP($C16,'DISPUTES RAW (VQA)'!$N:$U,8,FALSE),"-")</f>
        <v>-</v>
      </c>
      <c r="AB16" s="50">
        <f>IFERROR(VLOOKUP($C16,'ATTENDANCE RAW'!$E:$R,13,FALSE),"-")</f>
        <v>0.95454545454545459</v>
      </c>
      <c r="AC16" s="50">
        <f>IFERROR(IF($E16="Voice QA",IF(AVERAGEIFS('KC RAW'!$J:$J,'KC RAW'!$B:$B,RESOURCES!$C16)=0,"-",AVERAGEIFS('KC RAW'!$J:$J,'KC RAW'!$B:$B,RESOURCES!$C16)),IF(AVERAGEIFS('KC RAW'!$H:$H,'KC RAW'!$B:$B,RESOURCES!$C16)=0,"-",AVERAGEIFS('KC RAW'!$H:$H,'KC RAW'!$B:$B,RESOURCES!$C16))),"-")</f>
        <v>0.75</v>
      </c>
      <c r="AD16" s="50" t="str">
        <f>IFERROR(AVERAGEIFS('CE RAW'!$G:$G,'CE RAW'!$E:$E,RESOURCES!$C16),"-")</f>
        <v>-</v>
      </c>
      <c r="AE16" s="50" t="str">
        <f>IFERROR(VLOOKUP($C16,'FCR RAW'!$A:$I,7,FALSE),"-")</f>
        <v>-</v>
      </c>
      <c r="AF16" s="50" t="str">
        <f>IFERROR(IF(VLOOKUP($C16,'BONUS RAW'!$D:$I,6,FALSE)=100%,100%,"-"),"-")</f>
        <v>-</v>
      </c>
      <c r="AG16" s="52">
        <f t="shared" si="3"/>
        <v>0.91367559808612453</v>
      </c>
      <c r="AH16" s="56">
        <f t="shared" si="0"/>
        <v>65</v>
      </c>
      <c r="AI16" s="57">
        <f t="shared" si="4"/>
        <v>0.91367559808612453</v>
      </c>
      <c r="AJ16" s="57">
        <f t="shared" si="5"/>
        <v>0.86799181818181825</v>
      </c>
      <c r="AK16" s="325" t="str">
        <f>IFERROR(VLOOKUP($C16,'ATTRITION RAW'!$E:$J,6,FALSE),"-")</f>
        <v>-</v>
      </c>
      <c r="AL16" s="176" t="str">
        <f t="shared" si="6"/>
        <v>-</v>
      </c>
      <c r="AM16" s="454">
        <f>IFERROR(VLOOKUP($C16,'CHURN RAW'!$A:$G,7,FALSE),"-")</f>
        <v>0.13039999999999999</v>
      </c>
      <c r="AN16" s="456" t="str">
        <f t="shared" si="1"/>
        <v>QUALITY - DESIGNERS</v>
      </c>
    </row>
    <row r="17" spans="2:40">
      <c r="B17" s="637">
        <f>B16+1</f>
        <v>14</v>
      </c>
      <c r="C17" s="93">
        <v>10071750</v>
      </c>
      <c r="D17" s="93" t="s">
        <v>103</v>
      </c>
      <c r="E17" s="88" t="s">
        <v>83</v>
      </c>
      <c r="F17" s="88" t="s">
        <v>84</v>
      </c>
      <c r="G17" s="88" t="s">
        <v>85</v>
      </c>
      <c r="H17" s="88" t="s">
        <v>85</v>
      </c>
      <c r="I17" s="88" t="s">
        <v>86</v>
      </c>
      <c r="J17" s="638"/>
      <c r="K17" s="638">
        <f t="shared" si="8"/>
        <v>43739</v>
      </c>
      <c r="L17" s="639" t="str">
        <f t="shared" si="2"/>
        <v>Expert</v>
      </c>
      <c r="M17" s="53">
        <f>IFERROR(VLOOKUP($E17,KPI!$B:$T,MATCH(RESOURCES!M$3,KPI!$B$1:$T$1,0),FALSE),"-")</f>
        <v>0.25</v>
      </c>
      <c r="N17" s="53">
        <f>IFERROR(VLOOKUP($E17,KPI!$B:$T,MATCH(RESOURCES!N$3,KPI!$B$1:$T$1,0),FALSE),"-")</f>
        <v>0.25</v>
      </c>
      <c r="O17" s="53">
        <f>IFERROR(VLOOKUP($E17,KPI!$B:$T,MATCH(RESOURCES!O$3,KPI!$B$1:$T$1,0),FALSE),"-")</f>
        <v>0.1</v>
      </c>
      <c r="P17" s="53" t="str">
        <f>IFERROR(VLOOKUP($E17,KPI!$B:$T,MATCH(RESOURCES!P$3,KPI!$B$1:$T$1,0),FALSE),"-")</f>
        <v>-</v>
      </c>
      <c r="Q17" s="53" t="str">
        <f>IFERROR(VLOOKUP($E17,KPI!$B:$T,MATCH(RESOURCES!Q$3,KPI!$B$1:$T$1,0),FALSE),"-")</f>
        <v>-</v>
      </c>
      <c r="R17" s="53">
        <f>IFERROR(VLOOKUP($E17,KPI!$B:$T,MATCH(RESOURCES!R$3,KPI!$B$1:$T$1,0),FALSE),"-")</f>
        <v>0.15</v>
      </c>
      <c r="S17" s="53">
        <f>IFERROR(VLOOKUP($E17,KPI!$B:$T,MATCH(RESOURCES!S$3,KPI!$B$1:$T$1,0),FALSE),"-")</f>
        <v>0.2</v>
      </c>
      <c r="T17" s="53" t="str">
        <f>IFERROR(VLOOKUP($E17,KPI!$B:$T,MATCH(RESOURCES!T$3,KPI!$B$1:$T$1,0),FALSE),"-")</f>
        <v>-</v>
      </c>
      <c r="U17" s="53" t="str">
        <f>IFERROR(VLOOKUP($E17,KPI!$B:$T,MATCH(RESOURCES!U$3,KPI!$B$1:$T$1,0),FALSE),"-")</f>
        <v>-</v>
      </c>
      <c r="V17" s="53">
        <f>IFERROR(VLOOKUP($E17,KPI!$B:$T,MATCH(RESOURCES!V$3,KPI!$B$1:$T$1,0),FALSE),"-")</f>
        <v>0.05</v>
      </c>
      <c r="W17" s="50">
        <f>IFERROR(VLOOKUP($C17,'PRODUCTIVITY RAW'!$B:$Q,16,FALSE),"-")</f>
        <v>1</v>
      </c>
      <c r="X17" s="50">
        <f>IFERROR(VLOOKUP($C17,'CHURN RAW'!$A:$H,8,FALSE),"-")</f>
        <v>0.9</v>
      </c>
      <c r="Y17" s="50">
        <f>IFERROR(IF(AVERAGEIFS('QA RAW'!$G:$G,'QA RAW'!$E:$E,RESOURCES!$C17)=0,"-",AVERAGEIFS('QA RAW'!$G:$G,'QA RAW'!$E:$E,RESOURCES!$C17)),"-")</f>
        <v>0.99580000000000002</v>
      </c>
      <c r="Z17" s="50" t="str">
        <f>IFERROR(VLOOKUP($C17,'PR CALIBRATION RAW'!$K:$S,MATCH(RESOURCES!Z$3,'PR CALIBRATION RAW'!$K$1:$S$1,0),FALSE),"-")</f>
        <v>-</v>
      </c>
      <c r="AA17" s="50" t="str">
        <f>IFERROR(VLOOKUP($C17,'DISPUTES RAW (VQA)'!$N:$U,8,FALSE),"-")</f>
        <v>-</v>
      </c>
      <c r="AB17" s="50">
        <f>IFERROR(VLOOKUP($C17,'ATTENDANCE RAW'!$E:$R,13,FALSE),"-")</f>
        <v>1</v>
      </c>
      <c r="AC17" s="50">
        <f>IFERROR(IF($E17="Voice QA",IF(AVERAGEIFS('KC RAW'!$J:$J,'KC RAW'!$B:$B,RESOURCES!$C17)=0,"-",AVERAGEIFS('KC RAW'!$J:$J,'KC RAW'!$B:$B,RESOURCES!$C17)),IF(AVERAGEIFS('KC RAW'!$H:$H,'KC RAW'!$B:$B,RESOURCES!$C17)=0,"-",AVERAGEIFS('KC RAW'!$H:$H,'KC RAW'!$B:$B,RESOURCES!$C17))),"-")</f>
        <v>0.75</v>
      </c>
      <c r="AD17" s="50" t="str">
        <f>IFERROR(AVERAGEIFS('CE RAW'!$G:$G,'CE RAW'!$E:$E,RESOURCES!$C17),"-")</f>
        <v>-</v>
      </c>
      <c r="AE17" s="50" t="str">
        <f>IFERROR(VLOOKUP($C17,'FCR RAW'!$A:$I,7,FALSE),"-")</f>
        <v>-</v>
      </c>
      <c r="AF17" s="50" t="str">
        <f>IFERROR(IF(VLOOKUP($C17,'BONUS RAW'!$D:$I,6,FALSE)=100%,100%,"-"),"-")</f>
        <v>-</v>
      </c>
      <c r="AG17" s="52">
        <f t="shared" si="3"/>
        <v>0.92061052631578955</v>
      </c>
      <c r="AH17" s="56">
        <f t="shared" si="0"/>
        <v>61</v>
      </c>
      <c r="AI17" s="57">
        <f t="shared" si="4"/>
        <v>0.92061052631578955</v>
      </c>
      <c r="AJ17" s="57">
        <f t="shared" si="5"/>
        <v>0.87458000000000002</v>
      </c>
      <c r="AK17" s="325" t="str">
        <f>IFERROR(VLOOKUP($C17,'ATTRITION RAW'!$E:$J,6,FALSE),"-")</f>
        <v>-</v>
      </c>
      <c r="AL17" s="176" t="str">
        <f t="shared" si="6"/>
        <v>-</v>
      </c>
      <c r="AM17" s="454">
        <f>IFERROR(VLOOKUP($C17,'CHURN RAW'!$A:$G,7,FALSE),"-")</f>
        <v>0.1176</v>
      </c>
      <c r="AN17" s="456" t="str">
        <f t="shared" si="1"/>
        <v>QUALITY - DESIGNERS</v>
      </c>
    </row>
    <row r="18" spans="2:40">
      <c r="B18" s="637">
        <f t="shared" si="7"/>
        <v>15</v>
      </c>
      <c r="C18" s="93">
        <v>10071071</v>
      </c>
      <c r="D18" s="93" t="s">
        <v>104</v>
      </c>
      <c r="E18" s="88" t="s">
        <v>87</v>
      </c>
      <c r="F18" s="88" t="s">
        <v>105</v>
      </c>
      <c r="G18" s="88" t="s">
        <v>106</v>
      </c>
      <c r="H18" s="88" t="s">
        <v>85</v>
      </c>
      <c r="I18" s="88" t="s">
        <v>86</v>
      </c>
      <c r="J18" s="638"/>
      <c r="K18" s="638">
        <f t="shared" si="8"/>
        <v>43739</v>
      </c>
      <c r="L18" s="639" t="str">
        <f t="shared" si="2"/>
        <v>Expert</v>
      </c>
      <c r="M18" s="53">
        <f>IFERROR(VLOOKUP($E18,KPI!$B:$T,MATCH(RESOURCES!M$3,KPI!$B$1:$T$1,0),FALSE),"-")</f>
        <v>0.34</v>
      </c>
      <c r="N18" s="53" t="str">
        <f>IFERROR(VLOOKUP($E18,KPI!$B:$T,MATCH(RESOURCES!N$3,KPI!$B$1:$T$1,0),FALSE),"-")</f>
        <v>-</v>
      </c>
      <c r="O18" s="53">
        <f>IFERROR(VLOOKUP($E18,KPI!$B:$T,MATCH(RESOURCES!O$3,KPI!$B$1:$T$1,0),FALSE),"-")</f>
        <v>0.26</v>
      </c>
      <c r="P18" s="53">
        <f>IFERROR(VLOOKUP($E18,KPI!$B:$T,MATCH(RESOURCES!P$3,KPI!$B$1:$T$1,0),FALSE),"-")</f>
        <v>0.1</v>
      </c>
      <c r="Q18" s="53" t="str">
        <f>IFERROR(VLOOKUP($E18,KPI!$B:$T,MATCH(RESOURCES!Q$3,KPI!$B$1:$T$1,0),FALSE),"-")</f>
        <v>-</v>
      </c>
      <c r="R18" s="53">
        <f>IFERROR(VLOOKUP($E18,KPI!$B:$T,MATCH(RESOURCES!R$3,KPI!$B$1:$T$1,0),FALSE),"-")</f>
        <v>0.15</v>
      </c>
      <c r="S18" s="53">
        <f>IFERROR(VLOOKUP($E18,KPI!$B:$T,MATCH(RESOURCES!S$3,KPI!$B$1:$T$1,0),FALSE),"-")</f>
        <v>0.1</v>
      </c>
      <c r="T18" s="53" t="str">
        <f>IFERROR(VLOOKUP($E18,KPI!$B:$T,MATCH(RESOURCES!T$3,KPI!$B$1:$T$1,0),FALSE),"-")</f>
        <v>-</v>
      </c>
      <c r="U18" s="53" t="str">
        <f>IFERROR(VLOOKUP($E18,KPI!$B:$T,MATCH(RESOURCES!U$3,KPI!$B$1:$T$1,0),FALSE),"-")</f>
        <v>-</v>
      </c>
      <c r="V18" s="53">
        <f>IFERROR(VLOOKUP($E18,KPI!$B:$T,MATCH(RESOURCES!V$3,KPI!$B$1:$T$1,0),FALSE),"-")</f>
        <v>0.05</v>
      </c>
      <c r="W18" s="50">
        <f>IFERROR(VLOOKUP($C18,'PRODUCTIVITY RAW'!$B:$Q,16,FALSE),"-")</f>
        <v>0.9582733812949632</v>
      </c>
      <c r="X18" s="50" t="str">
        <f>IFERROR(VLOOKUP($C18,'CHURN RAW'!$A:$H,8,FALSE),"-")</f>
        <v>-</v>
      </c>
      <c r="Y18" s="50">
        <f>IFERROR(IF(AVERAGEIFS('QA RAW'!$G:$G,'QA RAW'!$E:$E,RESOURCES!$C18)=0,"-",AVERAGEIFS('QA RAW'!$G:$G,'QA RAW'!$E:$E,RESOURCES!$C18)),"-")</f>
        <v>1</v>
      </c>
      <c r="Z18" s="50">
        <f>IFERROR(VLOOKUP($C18,'PR CALIBRATION RAW'!$K:$S,MATCH(RESOURCES!Z$3,'PR CALIBRATION RAW'!$K$1:$S$1,0),FALSE),"-")</f>
        <v>0.6</v>
      </c>
      <c r="AA18" s="50" t="str">
        <f>IFERROR(VLOOKUP($C18,'DISPUTES RAW (VQA)'!$N:$U,8,FALSE),"-")</f>
        <v>-</v>
      </c>
      <c r="AB18" s="50">
        <f>IFERROR(VLOOKUP($C18,'ATTENDANCE RAW'!$E:$R,13,FALSE),"-")</f>
        <v>0.95454545454545459</v>
      </c>
      <c r="AC18" s="50">
        <f>IFERROR(IF($E18="Voice QA",IF(AVERAGEIFS('KC RAW'!$J:$J,'KC RAW'!$B:$B,RESOURCES!$C18)=0,"-",AVERAGEIFS('KC RAW'!$J:$J,'KC RAW'!$B:$B,RESOURCES!$C18)),IF(AVERAGEIFS('KC RAW'!$H:$H,'KC RAW'!$B:$B,RESOURCES!$C18)=0,"-",AVERAGEIFS('KC RAW'!$H:$H,'KC RAW'!$B:$B,RESOURCES!$C18))),"-")</f>
        <v>0.55000000000000004</v>
      </c>
      <c r="AD18" s="50" t="str">
        <f>IFERROR(AVERAGEIFS('CE RAW'!$G:$G,'CE RAW'!$E:$E,RESOURCES!$C18),"-")</f>
        <v>-</v>
      </c>
      <c r="AE18" s="50" t="str">
        <f>IFERROR(VLOOKUP($C18,'FCR RAW'!$A:$I,7,FALSE),"-")</f>
        <v>-</v>
      </c>
      <c r="AF18" s="50" t="str">
        <f>IFERROR(IF(VLOOKUP($C18,'BONUS RAW'!$D:$I,6,FALSE)=100%,100%,"-"),"-")</f>
        <v>-</v>
      </c>
      <c r="AG18" s="52">
        <f t="shared" si="3"/>
        <v>0.88841554507590081</v>
      </c>
      <c r="AH18" s="56">
        <f t="shared" si="0"/>
        <v>98</v>
      </c>
      <c r="AI18" s="57">
        <f t="shared" si="4"/>
        <v>0.88841554507590081</v>
      </c>
      <c r="AJ18" s="57">
        <f t="shared" si="5"/>
        <v>0.84399476782210581</v>
      </c>
      <c r="AK18" s="325" t="str">
        <f>IFERROR(VLOOKUP($C18,'ATTRITION RAW'!$E:$J,6,FALSE),"-")</f>
        <v>-</v>
      </c>
      <c r="AL18" s="176" t="str">
        <f t="shared" si="6"/>
        <v>-</v>
      </c>
      <c r="AM18" s="454" t="str">
        <f>IFERROR(VLOOKUP($C18,'CHURN RAW'!$A:$G,7,FALSE),"-")</f>
        <v>-</v>
      </c>
      <c r="AN18" s="456" t="str">
        <f t="shared" si="1"/>
        <v>QUALITY - PR</v>
      </c>
    </row>
    <row r="19" spans="2:40">
      <c r="B19" s="637">
        <f t="shared" si="7"/>
        <v>16</v>
      </c>
      <c r="C19" s="93">
        <v>10072471</v>
      </c>
      <c r="D19" s="93" t="s">
        <v>107</v>
      </c>
      <c r="E19" s="88" t="s">
        <v>87</v>
      </c>
      <c r="F19" s="88" t="s">
        <v>105</v>
      </c>
      <c r="G19" s="88" t="s">
        <v>106</v>
      </c>
      <c r="H19" s="88" t="s">
        <v>85</v>
      </c>
      <c r="I19" s="88" t="s">
        <v>86</v>
      </c>
      <c r="J19" s="638"/>
      <c r="K19" s="638">
        <f t="shared" si="8"/>
        <v>43739</v>
      </c>
      <c r="L19" s="639" t="str">
        <f t="shared" si="2"/>
        <v>Expert</v>
      </c>
      <c r="M19" s="53">
        <f>IFERROR(VLOOKUP($E19,KPI!$B:$T,MATCH(RESOURCES!M$3,KPI!$B$1:$T$1,0),FALSE),"-")</f>
        <v>0.34</v>
      </c>
      <c r="N19" s="53" t="str">
        <f>IFERROR(VLOOKUP($E19,KPI!$B:$T,MATCH(RESOURCES!N$3,KPI!$B$1:$T$1,0),FALSE),"-")</f>
        <v>-</v>
      </c>
      <c r="O19" s="53">
        <f>IFERROR(VLOOKUP($E19,KPI!$B:$T,MATCH(RESOURCES!O$3,KPI!$B$1:$T$1,0),FALSE),"-")</f>
        <v>0.26</v>
      </c>
      <c r="P19" s="53">
        <f>IFERROR(VLOOKUP($E19,KPI!$B:$T,MATCH(RESOURCES!P$3,KPI!$B$1:$T$1,0),FALSE),"-")</f>
        <v>0.1</v>
      </c>
      <c r="Q19" s="53" t="str">
        <f>IFERROR(VLOOKUP($E19,KPI!$B:$T,MATCH(RESOURCES!Q$3,KPI!$B$1:$T$1,0),FALSE),"-")</f>
        <v>-</v>
      </c>
      <c r="R19" s="53">
        <f>IFERROR(VLOOKUP($E19,KPI!$B:$T,MATCH(RESOURCES!R$3,KPI!$B$1:$T$1,0),FALSE),"-")</f>
        <v>0.15</v>
      </c>
      <c r="S19" s="53">
        <f>IFERROR(VLOOKUP($E19,KPI!$B:$T,MATCH(RESOURCES!S$3,KPI!$B$1:$T$1,0),FALSE),"-")</f>
        <v>0.1</v>
      </c>
      <c r="T19" s="53" t="str">
        <f>IFERROR(VLOOKUP($E19,KPI!$B:$T,MATCH(RESOURCES!T$3,KPI!$B$1:$T$1,0),FALSE),"-")</f>
        <v>-</v>
      </c>
      <c r="U19" s="53" t="str">
        <f>IFERROR(VLOOKUP($E19,KPI!$B:$T,MATCH(RESOURCES!U$3,KPI!$B$1:$T$1,0),FALSE),"-")</f>
        <v>-</v>
      </c>
      <c r="V19" s="53">
        <f>IFERROR(VLOOKUP($E19,KPI!$B:$T,MATCH(RESOURCES!V$3,KPI!$B$1:$T$1,0),FALSE),"-")</f>
        <v>0.05</v>
      </c>
      <c r="W19" s="50">
        <f>IFERROR(VLOOKUP($C19,'PRODUCTIVITY RAW'!$B:$Q,16,FALSE),"-")</f>
        <v>1</v>
      </c>
      <c r="X19" s="50" t="str">
        <f>IFERROR(VLOOKUP($C19,'CHURN RAW'!$A:$H,8,FALSE),"-")</f>
        <v>-</v>
      </c>
      <c r="Y19" s="50">
        <f>IFERROR(IF(AVERAGEIFS('QA RAW'!$G:$G,'QA RAW'!$E:$E,RESOURCES!$C19)=0,"-",AVERAGEIFS('QA RAW'!$G:$G,'QA RAW'!$E:$E,RESOURCES!$C19)),"-")</f>
        <v>1</v>
      </c>
      <c r="Z19" s="50">
        <f>IFERROR(VLOOKUP($C19,'PR CALIBRATION RAW'!$K:$S,MATCH(RESOURCES!Z$3,'PR CALIBRATION RAW'!$K$1:$S$1,0),FALSE),"-")</f>
        <v>0.6</v>
      </c>
      <c r="AA19" s="50" t="str">
        <f>IFERROR(VLOOKUP($C19,'DISPUTES RAW (VQA)'!$N:$U,8,FALSE),"-")</f>
        <v>-</v>
      </c>
      <c r="AB19" s="50">
        <f>IFERROR(VLOOKUP($C19,'ATTENDANCE RAW'!$E:$R,13,FALSE),"-")</f>
        <v>1</v>
      </c>
      <c r="AC19" s="50">
        <f>IFERROR(IF($E19="Voice QA",IF(AVERAGEIFS('KC RAW'!$J:$J,'KC RAW'!$B:$B,RESOURCES!$C19)=0,"-",AVERAGEIFS('KC RAW'!$J:$J,'KC RAW'!$B:$B,RESOURCES!$C19)),IF(AVERAGEIFS('KC RAW'!$H:$H,'KC RAW'!$B:$B,RESOURCES!$C19)=0,"-",AVERAGEIFS('KC RAW'!$H:$H,'KC RAW'!$B:$B,RESOURCES!$C19))),"-")</f>
        <v>0.8</v>
      </c>
      <c r="AD19" s="50" t="str">
        <f>IFERROR(AVERAGEIFS('CE RAW'!$G:$G,'CE RAW'!$E:$E,RESOURCES!$C19),"-")</f>
        <v>-</v>
      </c>
      <c r="AE19" s="50" t="str">
        <f>IFERROR(VLOOKUP($C19,'FCR RAW'!$A:$I,7,FALSE),"-")</f>
        <v>-</v>
      </c>
      <c r="AF19" s="50" t="str">
        <f>IFERROR(IF(VLOOKUP($C19,'BONUS RAW'!$D:$I,6,FALSE)=100%,100%,"-"),"-")</f>
        <v>-</v>
      </c>
      <c r="AG19" s="52">
        <f t="shared" si="3"/>
        <v>0.93684210526315792</v>
      </c>
      <c r="AH19" s="56">
        <f t="shared" si="0"/>
        <v>46</v>
      </c>
      <c r="AI19" s="57">
        <f t="shared" si="4"/>
        <v>0.93684210526315792</v>
      </c>
      <c r="AJ19" s="57">
        <f t="shared" si="5"/>
        <v>0.89000000000000012</v>
      </c>
      <c r="AK19" s="325" t="str">
        <f>IFERROR(VLOOKUP($C19,'ATTRITION RAW'!$E:$J,6,FALSE),"-")</f>
        <v>-</v>
      </c>
      <c r="AL19" s="176" t="str">
        <f t="shared" si="6"/>
        <v>-</v>
      </c>
      <c r="AM19" s="454" t="str">
        <f>IFERROR(VLOOKUP($C19,'CHURN RAW'!$A:$G,7,FALSE),"-")</f>
        <v>-</v>
      </c>
      <c r="AN19" s="456" t="str">
        <f t="shared" si="1"/>
        <v>QUALITY - PR</v>
      </c>
    </row>
    <row r="20" spans="2:40">
      <c r="B20" s="637">
        <f t="shared" si="7"/>
        <v>17</v>
      </c>
      <c r="C20" s="93">
        <v>10072182</v>
      </c>
      <c r="D20" s="93" t="s">
        <v>108</v>
      </c>
      <c r="E20" s="88" t="s">
        <v>87</v>
      </c>
      <c r="F20" s="88" t="s">
        <v>105</v>
      </c>
      <c r="G20" s="88" t="s">
        <v>106</v>
      </c>
      <c r="H20" s="88" t="s">
        <v>85</v>
      </c>
      <c r="I20" s="88" t="s">
        <v>86</v>
      </c>
      <c r="J20" s="638"/>
      <c r="K20" s="638">
        <f t="shared" si="8"/>
        <v>43739</v>
      </c>
      <c r="L20" s="639" t="str">
        <f t="shared" si="2"/>
        <v>Expert</v>
      </c>
      <c r="M20" s="53">
        <f>IFERROR(VLOOKUP($E20,KPI!$B:$T,MATCH(RESOURCES!M$3,KPI!$B$1:$T$1,0),FALSE),"-")</f>
        <v>0.34</v>
      </c>
      <c r="N20" s="53" t="str">
        <f>IFERROR(VLOOKUP($E20,KPI!$B:$T,MATCH(RESOURCES!N$3,KPI!$B$1:$T$1,0),FALSE),"-")</f>
        <v>-</v>
      </c>
      <c r="O20" s="53">
        <f>IFERROR(VLOOKUP($E20,KPI!$B:$T,MATCH(RESOURCES!O$3,KPI!$B$1:$T$1,0),FALSE),"-")</f>
        <v>0.26</v>
      </c>
      <c r="P20" s="53">
        <f>IFERROR(VLOOKUP($E20,KPI!$B:$T,MATCH(RESOURCES!P$3,KPI!$B$1:$T$1,0),FALSE),"-")</f>
        <v>0.1</v>
      </c>
      <c r="Q20" s="53" t="str">
        <f>IFERROR(VLOOKUP($E20,KPI!$B:$T,MATCH(RESOURCES!Q$3,KPI!$B$1:$T$1,0),FALSE),"-")</f>
        <v>-</v>
      </c>
      <c r="R20" s="53">
        <f>IFERROR(VLOOKUP($E20,KPI!$B:$T,MATCH(RESOURCES!R$3,KPI!$B$1:$T$1,0),FALSE),"-")</f>
        <v>0.15</v>
      </c>
      <c r="S20" s="53">
        <f>IFERROR(VLOOKUP($E20,KPI!$B:$T,MATCH(RESOURCES!S$3,KPI!$B$1:$T$1,0),FALSE),"-")</f>
        <v>0.1</v>
      </c>
      <c r="T20" s="53" t="str">
        <f>IFERROR(VLOOKUP($E20,KPI!$B:$T,MATCH(RESOURCES!T$3,KPI!$B$1:$T$1,0),FALSE),"-")</f>
        <v>-</v>
      </c>
      <c r="U20" s="53" t="str">
        <f>IFERROR(VLOOKUP($E20,KPI!$B:$T,MATCH(RESOURCES!U$3,KPI!$B$1:$T$1,0),FALSE),"-")</f>
        <v>-</v>
      </c>
      <c r="V20" s="53">
        <f>IFERROR(VLOOKUP($E20,KPI!$B:$T,MATCH(RESOURCES!V$3,KPI!$B$1:$T$1,0),FALSE),"-")</f>
        <v>0.05</v>
      </c>
      <c r="W20" s="50">
        <f>IFERROR(VLOOKUP($C20,'PRODUCTIVITY RAW'!$B:$Q,16,FALSE),"-")</f>
        <v>1</v>
      </c>
      <c r="X20" s="50" t="str">
        <f>IFERROR(VLOOKUP($C20,'CHURN RAW'!$A:$H,8,FALSE),"-")</f>
        <v>-</v>
      </c>
      <c r="Y20" s="50">
        <f>IFERROR(IF(AVERAGEIFS('QA RAW'!$G:$G,'QA RAW'!$E:$E,RESOURCES!$C20)=0,"-",AVERAGEIFS('QA RAW'!$G:$G,'QA RAW'!$E:$E,RESOURCES!$C20)),"-")</f>
        <v>1</v>
      </c>
      <c r="Z20" s="50">
        <f>IFERROR(VLOOKUP($C20,'PR CALIBRATION RAW'!$K:$S,MATCH(RESOURCES!Z$3,'PR CALIBRATION RAW'!$K$1:$S$1,0),FALSE),"-")</f>
        <v>1</v>
      </c>
      <c r="AA20" s="50" t="str">
        <f>IFERROR(VLOOKUP($C20,'DISPUTES RAW (VQA)'!$N:$U,8,FALSE),"-")</f>
        <v>-</v>
      </c>
      <c r="AB20" s="50">
        <f>IFERROR(VLOOKUP($C20,'ATTENDANCE RAW'!$E:$R,13,FALSE),"-")</f>
        <v>0.95454545454545459</v>
      </c>
      <c r="AC20" s="50">
        <f>IFERROR(IF($E20="Voice QA",IF(AVERAGEIFS('KC RAW'!$J:$J,'KC RAW'!$B:$B,RESOURCES!$C20)=0,"-",AVERAGEIFS('KC RAW'!$J:$J,'KC RAW'!$B:$B,RESOURCES!$C20)),IF(AVERAGEIFS('KC RAW'!$H:$H,'KC RAW'!$B:$B,RESOURCES!$C20)=0,"-",AVERAGEIFS('KC RAW'!$H:$H,'KC RAW'!$B:$B,RESOURCES!$C20))),"-")</f>
        <v>0.55000000000000004</v>
      </c>
      <c r="AD20" s="50" t="str">
        <f>IFERROR(AVERAGEIFS('CE RAW'!$G:$G,'CE RAW'!$E:$E,RESOURCES!$C20),"-")</f>
        <v>-</v>
      </c>
      <c r="AE20" s="50" t="str">
        <f>IFERROR(VLOOKUP($C20,'FCR RAW'!$A:$I,7,FALSE),"-")</f>
        <v>-</v>
      </c>
      <c r="AF20" s="50" t="str">
        <f>IFERROR(IF(VLOOKUP($C20,'BONUS RAW'!$D:$I,6,FALSE)=100%,100%,"-"),"-")</f>
        <v>-</v>
      </c>
      <c r="AG20" s="52">
        <f t="shared" si="3"/>
        <v>0.94545454545454555</v>
      </c>
      <c r="AH20" s="56">
        <f t="shared" si="0"/>
        <v>41</v>
      </c>
      <c r="AI20" s="57">
        <f t="shared" si="4"/>
        <v>0.94545454545454555</v>
      </c>
      <c r="AJ20" s="57">
        <f t="shared" si="5"/>
        <v>0.8981818181818183</v>
      </c>
      <c r="AK20" s="325" t="str">
        <f>IFERROR(VLOOKUP($C20,'ATTRITION RAW'!$E:$J,6,FALSE),"-")</f>
        <v>-</v>
      </c>
      <c r="AL20" s="176" t="str">
        <f t="shared" si="6"/>
        <v>-</v>
      </c>
      <c r="AM20" s="454" t="str">
        <f>IFERROR(VLOOKUP($C20,'CHURN RAW'!$A:$G,7,FALSE),"-")</f>
        <v>-</v>
      </c>
      <c r="AN20" s="456" t="str">
        <f t="shared" si="1"/>
        <v>QUALITY - PR</v>
      </c>
    </row>
    <row r="21" spans="2:40">
      <c r="B21" s="637">
        <f t="shared" si="7"/>
        <v>18</v>
      </c>
      <c r="C21" s="93">
        <v>10072222</v>
      </c>
      <c r="D21" s="93" t="s">
        <v>109</v>
      </c>
      <c r="E21" s="88" t="s">
        <v>87</v>
      </c>
      <c r="F21" s="88" t="s">
        <v>105</v>
      </c>
      <c r="G21" s="88" t="s">
        <v>106</v>
      </c>
      <c r="H21" s="88" t="s">
        <v>85</v>
      </c>
      <c r="I21" s="88" t="s">
        <v>86</v>
      </c>
      <c r="J21" s="638"/>
      <c r="K21" s="638">
        <f t="shared" si="8"/>
        <v>43739</v>
      </c>
      <c r="L21" s="639" t="str">
        <f t="shared" si="2"/>
        <v>Expert</v>
      </c>
      <c r="M21" s="53">
        <f>IFERROR(VLOOKUP($E21,KPI!$B:$T,MATCH(RESOURCES!M$3,KPI!$B$1:$T$1,0),FALSE),"-")</f>
        <v>0.34</v>
      </c>
      <c r="N21" s="53" t="str">
        <f>IFERROR(VLOOKUP($E21,KPI!$B:$T,MATCH(RESOURCES!N$3,KPI!$B$1:$T$1,0),FALSE),"-")</f>
        <v>-</v>
      </c>
      <c r="O21" s="53">
        <f>IFERROR(VLOOKUP($E21,KPI!$B:$T,MATCH(RESOURCES!O$3,KPI!$B$1:$T$1,0),FALSE),"-")</f>
        <v>0.26</v>
      </c>
      <c r="P21" s="53">
        <f>IFERROR(VLOOKUP($E21,KPI!$B:$T,MATCH(RESOURCES!P$3,KPI!$B$1:$T$1,0),FALSE),"-")</f>
        <v>0.1</v>
      </c>
      <c r="Q21" s="53" t="str">
        <f>IFERROR(VLOOKUP($E21,KPI!$B:$T,MATCH(RESOURCES!Q$3,KPI!$B$1:$T$1,0),FALSE),"-")</f>
        <v>-</v>
      </c>
      <c r="R21" s="53">
        <f>IFERROR(VLOOKUP($E21,KPI!$B:$T,MATCH(RESOURCES!R$3,KPI!$B$1:$T$1,0),FALSE),"-")</f>
        <v>0.15</v>
      </c>
      <c r="S21" s="53">
        <f>IFERROR(VLOOKUP($E21,KPI!$B:$T,MATCH(RESOURCES!S$3,KPI!$B$1:$T$1,0),FALSE),"-")</f>
        <v>0.1</v>
      </c>
      <c r="T21" s="53" t="str">
        <f>IFERROR(VLOOKUP($E21,KPI!$B:$T,MATCH(RESOURCES!T$3,KPI!$B$1:$T$1,0),FALSE),"-")</f>
        <v>-</v>
      </c>
      <c r="U21" s="53" t="str">
        <f>IFERROR(VLOOKUP($E21,KPI!$B:$T,MATCH(RESOURCES!U$3,KPI!$B$1:$T$1,0),FALSE),"-")</f>
        <v>-</v>
      </c>
      <c r="V21" s="53">
        <f>IFERROR(VLOOKUP($E21,KPI!$B:$T,MATCH(RESOURCES!V$3,KPI!$B$1:$T$1,0),FALSE),"-")</f>
        <v>0.05</v>
      </c>
      <c r="W21" s="50">
        <f>IFERROR(VLOOKUP($C21,'PRODUCTIVITY RAW'!$B:$Q,16,FALSE),"-")</f>
        <v>1</v>
      </c>
      <c r="X21" s="50" t="str">
        <f>IFERROR(VLOOKUP($C21,'CHURN RAW'!$A:$H,8,FALSE),"-")</f>
        <v>-</v>
      </c>
      <c r="Y21" s="50">
        <f>IFERROR(IF(AVERAGEIFS('QA RAW'!$G:$G,'QA RAW'!$E:$E,RESOURCES!$C21)=0,"-",AVERAGEIFS('QA RAW'!$G:$G,'QA RAW'!$E:$E,RESOURCES!$C21)),"-")</f>
        <v>0.9</v>
      </c>
      <c r="Z21" s="50">
        <f>IFERROR(VLOOKUP($C21,'PR CALIBRATION RAW'!$K:$S,MATCH(RESOURCES!Z$3,'PR CALIBRATION RAW'!$K$1:$S$1,0),FALSE),"-")</f>
        <v>1</v>
      </c>
      <c r="AA21" s="50" t="str">
        <f>IFERROR(VLOOKUP($C21,'DISPUTES RAW (VQA)'!$N:$U,8,FALSE),"-")</f>
        <v>-</v>
      </c>
      <c r="AB21" s="50">
        <f>IFERROR(VLOOKUP($C21,'ATTENDANCE RAW'!$E:$R,13,FALSE),"-")</f>
        <v>1</v>
      </c>
      <c r="AC21" s="50">
        <f>IFERROR(IF($E21="Voice QA",IF(AVERAGEIFS('KC RAW'!$J:$J,'KC RAW'!$B:$B,RESOURCES!$C21)=0,"-",AVERAGEIFS('KC RAW'!$J:$J,'KC RAW'!$B:$B,RESOURCES!$C21)),IF(AVERAGEIFS('KC RAW'!$H:$H,'KC RAW'!$B:$B,RESOURCES!$C21)=0,"-",AVERAGEIFS('KC RAW'!$H:$H,'KC RAW'!$B:$B,RESOURCES!$C21))),"-")</f>
        <v>0.8</v>
      </c>
      <c r="AD21" s="50" t="str">
        <f>IFERROR(AVERAGEIFS('CE RAW'!$G:$G,'CE RAW'!$E:$E,RESOURCES!$C21),"-")</f>
        <v>-</v>
      </c>
      <c r="AE21" s="50" t="str">
        <f>IFERROR(VLOOKUP($C21,'FCR RAW'!$A:$I,7,FALSE),"-")</f>
        <v>-</v>
      </c>
      <c r="AF21" s="50" t="str">
        <f>IFERROR(IF(VLOOKUP($C21,'BONUS RAW'!$D:$I,6,FALSE)=100%,100%,"-"),"-")</f>
        <v>-</v>
      </c>
      <c r="AG21" s="52">
        <f t="shared" si="3"/>
        <v>0.95157894736842108</v>
      </c>
      <c r="AH21" s="56">
        <f t="shared" si="0"/>
        <v>33</v>
      </c>
      <c r="AI21" s="57">
        <f t="shared" si="4"/>
        <v>0.95157894736842108</v>
      </c>
      <c r="AJ21" s="57">
        <f t="shared" si="5"/>
        <v>0.90400000000000014</v>
      </c>
      <c r="AK21" s="325" t="str">
        <f>IFERROR(VLOOKUP($C21,'ATTRITION RAW'!$E:$J,6,FALSE),"-")</f>
        <v>-</v>
      </c>
      <c r="AL21" s="176" t="str">
        <f t="shared" si="6"/>
        <v>-</v>
      </c>
      <c r="AM21" s="454" t="str">
        <f>IFERROR(VLOOKUP($C21,'CHURN RAW'!$A:$G,7,FALSE),"-")</f>
        <v>-</v>
      </c>
      <c r="AN21" s="456" t="str">
        <f t="shared" si="1"/>
        <v>QUALITY - PR</v>
      </c>
    </row>
    <row r="22" spans="2:40">
      <c r="B22" s="637">
        <f t="shared" si="7"/>
        <v>19</v>
      </c>
      <c r="C22" s="93">
        <v>10072472</v>
      </c>
      <c r="D22" s="93" t="s">
        <v>110</v>
      </c>
      <c r="E22" s="88" t="s">
        <v>87</v>
      </c>
      <c r="F22" s="88" t="s">
        <v>105</v>
      </c>
      <c r="G22" s="88" t="s">
        <v>106</v>
      </c>
      <c r="H22" s="88" t="s">
        <v>85</v>
      </c>
      <c r="I22" s="88" t="s">
        <v>86</v>
      </c>
      <c r="J22" s="638"/>
      <c r="K22" s="638">
        <f t="shared" si="8"/>
        <v>43739</v>
      </c>
      <c r="L22" s="639" t="str">
        <f t="shared" si="2"/>
        <v>Expert</v>
      </c>
      <c r="M22" s="53">
        <f>IFERROR(VLOOKUP($E22,KPI!$B:$T,MATCH(RESOURCES!M$3,KPI!$B$1:$T$1,0),FALSE),"-")</f>
        <v>0.34</v>
      </c>
      <c r="N22" s="53" t="str">
        <f>IFERROR(VLOOKUP($E22,KPI!$B:$T,MATCH(RESOURCES!N$3,KPI!$B$1:$T$1,0),FALSE),"-")</f>
        <v>-</v>
      </c>
      <c r="O22" s="53">
        <f>IFERROR(VLOOKUP($E22,KPI!$B:$T,MATCH(RESOURCES!O$3,KPI!$B$1:$T$1,0),FALSE),"-")</f>
        <v>0.26</v>
      </c>
      <c r="P22" s="53">
        <f>IFERROR(VLOOKUP($E22,KPI!$B:$T,MATCH(RESOURCES!P$3,KPI!$B$1:$T$1,0),FALSE),"-")</f>
        <v>0.1</v>
      </c>
      <c r="Q22" s="53" t="str">
        <f>IFERROR(VLOOKUP($E22,KPI!$B:$T,MATCH(RESOURCES!Q$3,KPI!$B$1:$T$1,0),FALSE),"-")</f>
        <v>-</v>
      </c>
      <c r="R22" s="53">
        <f>IFERROR(VLOOKUP($E22,KPI!$B:$T,MATCH(RESOURCES!R$3,KPI!$B$1:$T$1,0),FALSE),"-")</f>
        <v>0.15</v>
      </c>
      <c r="S22" s="53">
        <f>IFERROR(VLOOKUP($E22,KPI!$B:$T,MATCH(RESOURCES!S$3,KPI!$B$1:$T$1,0),FALSE),"-")</f>
        <v>0.1</v>
      </c>
      <c r="T22" s="53" t="str">
        <f>IFERROR(VLOOKUP($E22,KPI!$B:$T,MATCH(RESOURCES!T$3,KPI!$B$1:$T$1,0),FALSE),"-")</f>
        <v>-</v>
      </c>
      <c r="U22" s="53" t="str">
        <f>IFERROR(VLOOKUP($E22,KPI!$B:$T,MATCH(RESOURCES!U$3,KPI!$B$1:$T$1,0),FALSE),"-")</f>
        <v>-</v>
      </c>
      <c r="V22" s="53">
        <f>IFERROR(VLOOKUP($E22,KPI!$B:$T,MATCH(RESOURCES!V$3,KPI!$B$1:$T$1,0),FALSE),"-")</f>
        <v>0.05</v>
      </c>
      <c r="W22" s="50">
        <f>IFERROR(VLOOKUP($C22,'PRODUCTIVITY RAW'!$B:$Q,16,FALSE),"-")</f>
        <v>0.99334442595673811</v>
      </c>
      <c r="X22" s="50" t="str">
        <f>IFERROR(VLOOKUP($C22,'CHURN RAW'!$A:$H,8,FALSE),"-")</f>
        <v>-</v>
      </c>
      <c r="Y22" s="50">
        <f>IFERROR(IF(AVERAGEIFS('QA RAW'!$G:$G,'QA RAW'!$E:$E,RESOURCES!$C22)=0,"-",AVERAGEIFS('QA RAW'!$G:$G,'QA RAW'!$E:$E,RESOURCES!$C22)),"-")</f>
        <v>1</v>
      </c>
      <c r="Z22" s="50">
        <f>IFERROR(VLOOKUP($C22,'PR CALIBRATION RAW'!$K:$S,MATCH(RESOURCES!Z$3,'PR CALIBRATION RAW'!$K$1:$S$1,0),FALSE),"-")</f>
        <v>0.8</v>
      </c>
      <c r="AA22" s="50" t="str">
        <f>IFERROR(VLOOKUP($C22,'DISPUTES RAW (VQA)'!$N:$U,8,FALSE),"-")</f>
        <v>-</v>
      </c>
      <c r="AB22" s="50">
        <f>IFERROR(VLOOKUP($C22,'ATTENDANCE RAW'!$E:$R,13,FALSE),"-")</f>
        <v>1</v>
      </c>
      <c r="AC22" s="50">
        <f>IFERROR(IF($E22="Voice QA",IF(AVERAGEIFS('KC RAW'!$J:$J,'KC RAW'!$B:$B,RESOURCES!$C22)=0,"-",AVERAGEIFS('KC RAW'!$J:$J,'KC RAW'!$B:$B,RESOURCES!$C22)),IF(AVERAGEIFS('KC RAW'!$H:$H,'KC RAW'!$B:$B,RESOURCES!$C22)=0,"-",AVERAGEIFS('KC RAW'!$H:$H,'KC RAW'!$B:$B,RESOURCES!$C22))),"-")</f>
        <v>0.8</v>
      </c>
      <c r="AD22" s="50" t="str">
        <f>IFERROR(AVERAGEIFS('CE RAW'!$G:$G,'CE RAW'!$E:$E,RESOURCES!$C22),"-")</f>
        <v>-</v>
      </c>
      <c r="AE22" s="50" t="str">
        <f>IFERROR(VLOOKUP($C22,'FCR RAW'!$A:$I,7,FALSE),"-")</f>
        <v>-</v>
      </c>
      <c r="AF22" s="50" t="str">
        <f>IFERROR(IF(VLOOKUP($C22,'BONUS RAW'!$D:$I,6,FALSE)=100%,100%,"-"),"-")</f>
        <v>-</v>
      </c>
      <c r="AG22" s="52">
        <f t="shared" si="3"/>
        <v>0.95551274192135882</v>
      </c>
      <c r="AH22" s="56">
        <f t="shared" si="0"/>
        <v>29</v>
      </c>
      <c r="AI22" s="57">
        <f t="shared" si="4"/>
        <v>0.95551274192135882</v>
      </c>
      <c r="AJ22" s="57">
        <f t="shared" si="5"/>
        <v>0.90773710482529091</v>
      </c>
      <c r="AK22" s="325" t="str">
        <f>IFERROR(VLOOKUP($C22,'ATTRITION RAW'!$E:$J,6,FALSE),"-")</f>
        <v>-</v>
      </c>
      <c r="AL22" s="176" t="str">
        <f t="shared" si="6"/>
        <v>-</v>
      </c>
      <c r="AM22" s="454" t="str">
        <f>IFERROR(VLOOKUP($C22,'CHURN RAW'!$A:$G,7,FALSE),"-")</f>
        <v>-</v>
      </c>
      <c r="AN22" s="456" t="str">
        <f t="shared" si="1"/>
        <v>QUALITY - PR</v>
      </c>
    </row>
    <row r="23" spans="2:40">
      <c r="B23" s="637">
        <f t="shared" si="7"/>
        <v>20</v>
      </c>
      <c r="C23" s="93">
        <v>10072069</v>
      </c>
      <c r="D23" s="93" t="s">
        <v>111</v>
      </c>
      <c r="E23" s="88" t="s">
        <v>87</v>
      </c>
      <c r="F23" s="88" t="s">
        <v>105</v>
      </c>
      <c r="G23" s="88" t="s">
        <v>106</v>
      </c>
      <c r="H23" s="88" t="s">
        <v>85</v>
      </c>
      <c r="I23" s="88" t="s">
        <v>86</v>
      </c>
      <c r="J23" s="638"/>
      <c r="K23" s="638">
        <f t="shared" si="8"/>
        <v>43739</v>
      </c>
      <c r="L23" s="639" t="str">
        <f t="shared" si="2"/>
        <v>Expert</v>
      </c>
      <c r="M23" s="53">
        <f>IFERROR(VLOOKUP($E23,KPI!$B:$T,MATCH(RESOURCES!M$3,KPI!$B$1:$T$1,0),FALSE),"-")</f>
        <v>0.34</v>
      </c>
      <c r="N23" s="53" t="str">
        <f>IFERROR(VLOOKUP($E23,KPI!$B:$T,MATCH(RESOURCES!N$3,KPI!$B$1:$T$1,0),FALSE),"-")</f>
        <v>-</v>
      </c>
      <c r="O23" s="53">
        <f>IFERROR(VLOOKUP($E23,KPI!$B:$T,MATCH(RESOURCES!O$3,KPI!$B$1:$T$1,0),FALSE),"-")</f>
        <v>0.26</v>
      </c>
      <c r="P23" s="53">
        <f>IFERROR(VLOOKUP($E23,KPI!$B:$T,MATCH(RESOURCES!P$3,KPI!$B$1:$T$1,0),FALSE),"-")</f>
        <v>0.1</v>
      </c>
      <c r="Q23" s="53" t="str">
        <f>IFERROR(VLOOKUP($E23,KPI!$B:$T,MATCH(RESOURCES!Q$3,KPI!$B$1:$T$1,0),FALSE),"-")</f>
        <v>-</v>
      </c>
      <c r="R23" s="53">
        <f>IFERROR(VLOOKUP($E23,KPI!$B:$T,MATCH(RESOURCES!R$3,KPI!$B$1:$T$1,0),FALSE),"-")</f>
        <v>0.15</v>
      </c>
      <c r="S23" s="627"/>
      <c r="T23" s="53" t="str">
        <f>IFERROR(VLOOKUP($E23,KPI!$B:$T,MATCH(RESOURCES!T$3,KPI!$B$1:$T$1,0),FALSE),"-")</f>
        <v>-</v>
      </c>
      <c r="U23" s="53" t="str">
        <f>IFERROR(VLOOKUP($E23,KPI!$B:$T,MATCH(RESOURCES!U$3,KPI!$B$1:$T$1,0),FALSE),"-")</f>
        <v>-</v>
      </c>
      <c r="V23" s="53">
        <f>IFERROR(VLOOKUP($E23,KPI!$B:$T,MATCH(RESOURCES!V$3,KPI!$B$1:$T$1,0),FALSE),"-")</f>
        <v>0.05</v>
      </c>
      <c r="W23" s="50">
        <f>IFERROR(VLOOKUP($C23,'PRODUCTIVITY RAW'!$B:$Q,16,FALSE),"-")</f>
        <v>0.6852589641434258</v>
      </c>
      <c r="X23" s="50" t="str">
        <f>IFERROR(VLOOKUP($C23,'CHURN RAW'!$A:$H,8,FALSE),"-")</f>
        <v>-</v>
      </c>
      <c r="Y23" s="50">
        <f>IFERROR(IF(AVERAGEIFS('QA RAW'!$G:$G,'QA RAW'!$E:$E,RESOURCES!$C23)=0,"-",AVERAGEIFS('QA RAW'!$G:$G,'QA RAW'!$E:$E,RESOURCES!$C23)),"-")</f>
        <v>1</v>
      </c>
      <c r="Z23" s="50">
        <f>IFERROR(VLOOKUP($C23,'PR CALIBRATION RAW'!$K:$S,MATCH(RESOURCES!Z$3,'PR CALIBRATION RAW'!$K$1:$S$1,0),FALSE),"-")</f>
        <v>1</v>
      </c>
      <c r="AA23" s="50" t="str">
        <f>IFERROR(VLOOKUP($C23,'DISPUTES RAW (VQA)'!$N:$U,8,FALSE),"-")</f>
        <v>-</v>
      </c>
      <c r="AB23" s="50">
        <f>IFERROR(VLOOKUP($C23,'ATTENDANCE RAW'!$E:$R,13,FALSE),"-")</f>
        <v>0.59090909090909094</v>
      </c>
      <c r="AC23" s="50" t="str">
        <f>IFERROR(IF($E23="Voice QA",IF(AVERAGEIFS('KC RAW'!$J:$J,'KC RAW'!$B:$B,RESOURCES!$C23)=0,"-",AVERAGEIFS('KC RAW'!$J:$J,'KC RAW'!$B:$B,RESOURCES!$C23)),IF(AVERAGEIFS('KC RAW'!$H:$H,'KC RAW'!$B:$B,RESOURCES!$C23)=0,"-",AVERAGEIFS('KC RAW'!$H:$H,'KC RAW'!$B:$B,RESOURCES!$C23))),"-")</f>
        <v>-</v>
      </c>
      <c r="AD23" s="50" t="str">
        <f>IFERROR(AVERAGEIFS('CE RAW'!$G:$G,'CE RAW'!$E:$E,RESOURCES!$C23),"-")</f>
        <v>-</v>
      </c>
      <c r="AE23" s="50" t="str">
        <f>IFERROR(VLOOKUP($C23,'FCR RAW'!$A:$I,7,FALSE),"-")</f>
        <v>-</v>
      </c>
      <c r="AF23" s="50" t="str">
        <f>IFERROR(IF(VLOOKUP($C23,'BONUS RAW'!$D:$I,6,FALSE)=100%,100%,"-"),"-")</f>
        <v>-</v>
      </c>
      <c r="AG23" s="52">
        <f t="shared" si="3"/>
        <v>0.80191107228838632</v>
      </c>
      <c r="AH23" s="56">
        <f t="shared" si="0"/>
        <v>141</v>
      </c>
      <c r="AI23" s="57">
        <f t="shared" si="4"/>
        <v>0.80191107228838632</v>
      </c>
      <c r="AJ23" s="57">
        <f t="shared" si="5"/>
        <v>0.75736045716125366</v>
      </c>
      <c r="AK23" s="325" t="str">
        <f>IFERROR(VLOOKUP($C23,'ATTRITION RAW'!$E:$J,6,FALSE),"-")</f>
        <v>-</v>
      </c>
      <c r="AL23" s="176" t="str">
        <f t="shared" si="6"/>
        <v>-</v>
      </c>
      <c r="AM23" s="454" t="str">
        <f>IFERROR(VLOOKUP($C23,'CHURN RAW'!$A:$G,7,FALSE),"-")</f>
        <v>-</v>
      </c>
      <c r="AN23" s="456" t="str">
        <f t="shared" si="1"/>
        <v>QUALITY - PR</v>
      </c>
    </row>
    <row r="24" spans="2:40">
      <c r="B24" s="637">
        <f t="shared" si="7"/>
        <v>21</v>
      </c>
      <c r="C24" s="93">
        <v>10072097</v>
      </c>
      <c r="D24" s="93" t="s">
        <v>112</v>
      </c>
      <c r="E24" s="88" t="s">
        <v>87</v>
      </c>
      <c r="F24" s="88" t="s">
        <v>105</v>
      </c>
      <c r="G24" s="88" t="s">
        <v>106</v>
      </c>
      <c r="H24" s="88" t="s">
        <v>85</v>
      </c>
      <c r="I24" s="88" t="s">
        <v>86</v>
      </c>
      <c r="J24" s="638"/>
      <c r="K24" s="638">
        <f t="shared" si="8"/>
        <v>43739</v>
      </c>
      <c r="L24" s="639" t="str">
        <f t="shared" si="2"/>
        <v>Expert</v>
      </c>
      <c r="M24" s="53">
        <f>IFERROR(VLOOKUP($E24,KPI!$B:$T,MATCH(RESOURCES!M$3,KPI!$B$1:$T$1,0),FALSE),"-")</f>
        <v>0.34</v>
      </c>
      <c r="N24" s="53" t="str">
        <f>IFERROR(VLOOKUP($E24,KPI!$B:$T,MATCH(RESOURCES!N$3,KPI!$B$1:$T$1,0),FALSE),"-")</f>
        <v>-</v>
      </c>
      <c r="O24" s="53">
        <f>IFERROR(VLOOKUP($E24,KPI!$B:$T,MATCH(RESOURCES!O$3,KPI!$B$1:$T$1,0),FALSE),"-")</f>
        <v>0.26</v>
      </c>
      <c r="P24" s="53">
        <f>IFERROR(VLOOKUP($E24,KPI!$B:$T,MATCH(RESOURCES!P$3,KPI!$B$1:$T$1,0),FALSE),"-")</f>
        <v>0.1</v>
      </c>
      <c r="Q24" s="53" t="str">
        <f>IFERROR(VLOOKUP($E24,KPI!$B:$T,MATCH(RESOURCES!Q$3,KPI!$B$1:$T$1,0),FALSE),"-")</f>
        <v>-</v>
      </c>
      <c r="R24" s="53">
        <f>IFERROR(VLOOKUP($E24,KPI!$B:$T,MATCH(RESOURCES!R$3,KPI!$B$1:$T$1,0),FALSE),"-")</f>
        <v>0.15</v>
      </c>
      <c r="S24" s="53">
        <f>IFERROR(VLOOKUP($E24,KPI!$B:$T,MATCH(RESOURCES!S$3,KPI!$B$1:$T$1,0),FALSE),"-")</f>
        <v>0.1</v>
      </c>
      <c r="T24" s="53" t="str">
        <f>IFERROR(VLOOKUP($E24,KPI!$B:$T,MATCH(RESOURCES!T$3,KPI!$B$1:$T$1,0),FALSE),"-")</f>
        <v>-</v>
      </c>
      <c r="U24" s="53" t="str">
        <f>IFERROR(VLOOKUP($E24,KPI!$B:$T,MATCH(RESOURCES!U$3,KPI!$B$1:$T$1,0),FALSE),"-")</f>
        <v>-</v>
      </c>
      <c r="V24" s="53">
        <f>IFERROR(VLOOKUP($E24,KPI!$B:$T,MATCH(RESOURCES!V$3,KPI!$B$1:$T$1,0),FALSE),"-")</f>
        <v>0.05</v>
      </c>
      <c r="W24" s="50">
        <f>IFERROR(VLOOKUP($C24,'PRODUCTIVITY RAW'!$B:$Q,16,FALSE),"-")</f>
        <v>1</v>
      </c>
      <c r="X24" s="50" t="str">
        <f>IFERROR(VLOOKUP($C24,'CHURN RAW'!$A:$H,8,FALSE),"-")</f>
        <v>-</v>
      </c>
      <c r="Y24" s="50">
        <f>IFERROR(IF(AVERAGEIFS('QA RAW'!$G:$G,'QA RAW'!$E:$E,RESOURCES!$C24)=0,"-",AVERAGEIFS('QA RAW'!$G:$G,'QA RAW'!$E:$E,RESOURCES!$C24)),"-")</f>
        <v>1</v>
      </c>
      <c r="Z24" s="50">
        <f>IFERROR(VLOOKUP($C24,'PR CALIBRATION RAW'!$K:$S,MATCH(RESOURCES!Z$3,'PR CALIBRATION RAW'!$K$1:$S$1,0),FALSE),"-")</f>
        <v>1</v>
      </c>
      <c r="AA24" s="50" t="str">
        <f>IFERROR(VLOOKUP($C24,'DISPUTES RAW (VQA)'!$N:$U,8,FALSE),"-")</f>
        <v>-</v>
      </c>
      <c r="AB24" s="50">
        <f>IFERROR(VLOOKUP($C24,'ATTENDANCE RAW'!$E:$R,13,FALSE),"-")</f>
        <v>0.95454545454545459</v>
      </c>
      <c r="AC24" s="50">
        <f>IFERROR(IF($E24="Voice QA",IF(AVERAGEIFS('KC RAW'!$J:$J,'KC RAW'!$B:$B,RESOURCES!$C24)=0,"-",AVERAGEIFS('KC RAW'!$J:$J,'KC RAW'!$B:$B,RESOURCES!$C24)),IF(AVERAGEIFS('KC RAW'!$H:$H,'KC RAW'!$B:$B,RESOURCES!$C24)=0,"-",AVERAGEIFS('KC RAW'!$H:$H,'KC RAW'!$B:$B,RESOURCES!$C24))),"-")</f>
        <v>0.7</v>
      </c>
      <c r="AD24" s="50" t="str">
        <f>IFERROR(AVERAGEIFS('CE RAW'!$G:$G,'CE RAW'!$E:$E,RESOURCES!$C24),"-")</f>
        <v>-</v>
      </c>
      <c r="AE24" s="50" t="str">
        <f>IFERROR(VLOOKUP($C24,'FCR RAW'!$A:$I,7,FALSE),"-")</f>
        <v>-</v>
      </c>
      <c r="AF24" s="50" t="str">
        <f>IFERROR(IF(VLOOKUP($C24,'BONUS RAW'!$D:$I,6,FALSE)=100%,100%,"-"),"-")</f>
        <v>-</v>
      </c>
      <c r="AG24" s="52">
        <f t="shared" si="3"/>
        <v>0.9612440191387559</v>
      </c>
      <c r="AH24" s="56">
        <f t="shared" si="0"/>
        <v>27</v>
      </c>
      <c r="AI24" s="57">
        <f t="shared" si="4"/>
        <v>0.9612440191387559</v>
      </c>
      <c r="AJ24" s="57">
        <f t="shared" si="5"/>
        <v>0.91318181818181821</v>
      </c>
      <c r="AK24" s="325" t="str">
        <f>IFERROR(VLOOKUP($C24,'ATTRITION RAW'!$E:$J,6,FALSE),"-")</f>
        <v>-</v>
      </c>
      <c r="AL24" s="176" t="str">
        <f t="shared" si="6"/>
        <v>-</v>
      </c>
      <c r="AM24" s="454" t="str">
        <f>IFERROR(VLOOKUP($C24,'CHURN RAW'!$A:$G,7,FALSE),"-")</f>
        <v>-</v>
      </c>
      <c r="AN24" s="456" t="str">
        <f t="shared" si="1"/>
        <v>QUALITY - PR</v>
      </c>
    </row>
    <row r="25" spans="2:40">
      <c r="B25" s="637">
        <f t="shared" si="7"/>
        <v>22</v>
      </c>
      <c r="C25" s="93">
        <v>10072077</v>
      </c>
      <c r="D25" s="93" t="s">
        <v>113</v>
      </c>
      <c r="E25" s="88" t="s">
        <v>87</v>
      </c>
      <c r="F25" s="88" t="s">
        <v>105</v>
      </c>
      <c r="G25" s="88" t="s">
        <v>106</v>
      </c>
      <c r="H25" s="88" t="s">
        <v>85</v>
      </c>
      <c r="I25" s="88" t="s">
        <v>86</v>
      </c>
      <c r="J25" s="638"/>
      <c r="K25" s="638">
        <f t="shared" si="8"/>
        <v>43739</v>
      </c>
      <c r="L25" s="639" t="str">
        <f t="shared" si="2"/>
        <v>Expert</v>
      </c>
      <c r="M25" s="53">
        <f>IFERROR(VLOOKUP($E25,KPI!$B:$T,MATCH(RESOURCES!M$3,KPI!$B$1:$T$1,0),FALSE),"-")</f>
        <v>0.34</v>
      </c>
      <c r="N25" s="53" t="str">
        <f>IFERROR(VLOOKUP($E25,KPI!$B:$T,MATCH(RESOURCES!N$3,KPI!$B$1:$T$1,0),FALSE),"-")</f>
        <v>-</v>
      </c>
      <c r="O25" s="53">
        <f>IFERROR(VLOOKUP($E25,KPI!$B:$T,MATCH(RESOURCES!O$3,KPI!$B$1:$T$1,0),FALSE),"-")</f>
        <v>0.26</v>
      </c>
      <c r="P25" s="53">
        <f>IFERROR(VLOOKUP($E25,KPI!$B:$T,MATCH(RESOURCES!P$3,KPI!$B$1:$T$1,0),FALSE),"-")</f>
        <v>0.1</v>
      </c>
      <c r="Q25" s="53" t="str">
        <f>IFERROR(VLOOKUP($E25,KPI!$B:$T,MATCH(RESOURCES!Q$3,KPI!$B$1:$T$1,0),FALSE),"-")</f>
        <v>-</v>
      </c>
      <c r="R25" s="53">
        <f>IFERROR(VLOOKUP($E25,KPI!$B:$T,MATCH(RESOURCES!R$3,KPI!$B$1:$T$1,0),FALSE),"-")</f>
        <v>0.15</v>
      </c>
      <c r="S25" s="53">
        <f>IFERROR(VLOOKUP($E25,KPI!$B:$T,MATCH(RESOURCES!S$3,KPI!$B$1:$T$1,0),FALSE),"-")</f>
        <v>0.1</v>
      </c>
      <c r="T25" s="53" t="str">
        <f>IFERROR(VLOOKUP($E25,KPI!$B:$T,MATCH(RESOURCES!T$3,KPI!$B$1:$T$1,0),FALSE),"-")</f>
        <v>-</v>
      </c>
      <c r="U25" s="53" t="str">
        <f>IFERROR(VLOOKUP($E25,KPI!$B:$T,MATCH(RESOURCES!U$3,KPI!$B$1:$T$1,0),FALSE),"-")</f>
        <v>-</v>
      </c>
      <c r="V25" s="53">
        <f>IFERROR(VLOOKUP($E25,KPI!$B:$T,MATCH(RESOURCES!V$3,KPI!$B$1:$T$1,0),FALSE),"-")</f>
        <v>0.05</v>
      </c>
      <c r="W25" s="50">
        <f>IFERROR(VLOOKUP($C25,'PRODUCTIVITY RAW'!$B:$Q,16,FALSE),"-")</f>
        <v>1</v>
      </c>
      <c r="X25" s="50" t="str">
        <f>IFERROR(VLOOKUP($C25,'CHURN RAW'!$A:$H,8,FALSE),"-")</f>
        <v>-</v>
      </c>
      <c r="Y25" s="50">
        <f>IFERROR(IF(AVERAGEIFS('QA RAW'!$G:$G,'QA RAW'!$E:$E,RESOURCES!$C25)=0,"-",AVERAGEIFS('QA RAW'!$G:$G,'QA RAW'!$E:$E,RESOURCES!$C25)),"-")</f>
        <v>0.9</v>
      </c>
      <c r="Z25" s="50">
        <f>IFERROR(VLOOKUP($C25,'PR CALIBRATION RAW'!$K:$S,MATCH(RESOURCES!Z$3,'PR CALIBRATION RAW'!$K$1:$S$1,0),FALSE),"-")</f>
        <v>1</v>
      </c>
      <c r="AA25" s="50" t="str">
        <f>IFERROR(VLOOKUP($C25,'DISPUTES RAW (VQA)'!$N:$U,8,FALSE),"-")</f>
        <v>-</v>
      </c>
      <c r="AB25" s="50">
        <f>IFERROR(VLOOKUP($C25,'ATTENDANCE RAW'!$E:$R,13,FALSE),"-")</f>
        <v>1</v>
      </c>
      <c r="AC25" s="50">
        <f>IFERROR(IF($E25="Voice QA",IF(AVERAGEIFS('KC RAW'!$J:$J,'KC RAW'!$B:$B,RESOURCES!$C25)=0,"-",AVERAGEIFS('KC RAW'!$J:$J,'KC RAW'!$B:$B,RESOURCES!$C25)),IF(AVERAGEIFS('KC RAW'!$H:$H,'KC RAW'!$B:$B,RESOURCES!$C25)=0,"-",AVERAGEIFS('KC RAW'!$H:$H,'KC RAW'!$B:$B,RESOURCES!$C25))),"-")</f>
        <v>0.8</v>
      </c>
      <c r="AD25" s="50" t="str">
        <f>IFERROR(AVERAGEIFS('CE RAW'!$G:$G,'CE RAW'!$E:$E,RESOURCES!$C25),"-")</f>
        <v>-</v>
      </c>
      <c r="AE25" s="50" t="str">
        <f>IFERROR(VLOOKUP($C25,'FCR RAW'!$A:$I,7,FALSE),"-")</f>
        <v>-</v>
      </c>
      <c r="AF25" s="50" t="str">
        <f>IFERROR(IF(VLOOKUP($C25,'BONUS RAW'!$D:$I,6,FALSE)=100%,100%,"-"),"-")</f>
        <v>-</v>
      </c>
      <c r="AG25" s="52">
        <f t="shared" si="3"/>
        <v>0.95157894736842108</v>
      </c>
      <c r="AH25" s="56">
        <f t="shared" si="0"/>
        <v>33</v>
      </c>
      <c r="AI25" s="57">
        <f t="shared" si="4"/>
        <v>0.95157894736842108</v>
      </c>
      <c r="AJ25" s="57">
        <f t="shared" si="5"/>
        <v>0.90400000000000014</v>
      </c>
      <c r="AK25" s="325" t="str">
        <f>IFERROR(VLOOKUP($C25,'ATTRITION RAW'!$E:$J,6,FALSE),"-")</f>
        <v>-</v>
      </c>
      <c r="AL25" s="176" t="str">
        <f t="shared" si="6"/>
        <v>-</v>
      </c>
      <c r="AM25" s="454" t="str">
        <f>IFERROR(VLOOKUP($C25,'CHURN RAW'!$A:$G,7,FALSE),"-")</f>
        <v>-</v>
      </c>
      <c r="AN25" s="456" t="str">
        <f t="shared" si="1"/>
        <v>QUALITY - PR</v>
      </c>
    </row>
    <row r="26" spans="2:40">
      <c r="B26" s="637">
        <f t="shared" si="7"/>
        <v>23</v>
      </c>
      <c r="C26" s="93">
        <v>10071617</v>
      </c>
      <c r="D26" s="93" t="s">
        <v>114</v>
      </c>
      <c r="E26" s="88" t="s">
        <v>87</v>
      </c>
      <c r="F26" s="88" t="s">
        <v>105</v>
      </c>
      <c r="G26" s="88" t="s">
        <v>106</v>
      </c>
      <c r="H26" s="88" t="s">
        <v>85</v>
      </c>
      <c r="I26" s="88" t="s">
        <v>86</v>
      </c>
      <c r="J26" s="638"/>
      <c r="K26" s="638">
        <f t="shared" si="8"/>
        <v>43739</v>
      </c>
      <c r="L26" s="639" t="str">
        <f t="shared" si="2"/>
        <v>Expert</v>
      </c>
      <c r="M26" s="53">
        <f>IFERROR(VLOOKUP($E26,KPI!$B:$T,MATCH(RESOURCES!M$3,KPI!$B$1:$T$1,0),FALSE),"-")</f>
        <v>0.34</v>
      </c>
      <c r="N26" s="53" t="str">
        <f>IFERROR(VLOOKUP($E26,KPI!$B:$T,MATCH(RESOURCES!N$3,KPI!$B$1:$T$1,0),FALSE),"-")</f>
        <v>-</v>
      </c>
      <c r="O26" s="53">
        <f>IFERROR(VLOOKUP($E26,KPI!$B:$T,MATCH(RESOURCES!O$3,KPI!$B$1:$T$1,0),FALSE),"-")</f>
        <v>0.26</v>
      </c>
      <c r="P26" s="53">
        <f>IFERROR(VLOOKUP($E26,KPI!$B:$T,MATCH(RESOURCES!P$3,KPI!$B$1:$T$1,0),FALSE),"-")</f>
        <v>0.1</v>
      </c>
      <c r="Q26" s="53" t="str">
        <f>IFERROR(VLOOKUP($E26,KPI!$B:$T,MATCH(RESOURCES!Q$3,KPI!$B$1:$T$1,0),FALSE),"-")</f>
        <v>-</v>
      </c>
      <c r="R26" s="53">
        <f>IFERROR(VLOOKUP($E26,KPI!$B:$T,MATCH(RESOURCES!R$3,KPI!$B$1:$T$1,0),FALSE),"-")</f>
        <v>0.15</v>
      </c>
      <c r="S26" s="53">
        <f>IFERROR(VLOOKUP($E26,KPI!$B:$T,MATCH(RESOURCES!S$3,KPI!$B$1:$T$1,0),FALSE),"-")</f>
        <v>0.1</v>
      </c>
      <c r="T26" s="53" t="str">
        <f>IFERROR(VLOOKUP($E26,KPI!$B:$T,MATCH(RESOURCES!T$3,KPI!$B$1:$T$1,0),FALSE),"-")</f>
        <v>-</v>
      </c>
      <c r="U26" s="53" t="str">
        <f>IFERROR(VLOOKUP($E26,KPI!$B:$T,MATCH(RESOURCES!U$3,KPI!$B$1:$T$1,0),FALSE),"-")</f>
        <v>-</v>
      </c>
      <c r="V26" s="53">
        <f>IFERROR(VLOOKUP($E26,KPI!$B:$T,MATCH(RESOURCES!V$3,KPI!$B$1:$T$1,0),FALSE),"-")</f>
        <v>0.05</v>
      </c>
      <c r="W26" s="50">
        <f>IFERROR(VLOOKUP($C26,'PRODUCTIVITY RAW'!$B:$Q,16,FALSE),"-")</f>
        <v>0.86590038314176165</v>
      </c>
      <c r="X26" s="50" t="str">
        <f>IFERROR(VLOOKUP($C26,'CHURN RAW'!$A:$H,8,FALSE),"-")</f>
        <v>-</v>
      </c>
      <c r="Y26" s="50">
        <f>IFERROR(IF(AVERAGEIFS('QA RAW'!$G:$G,'QA RAW'!$E:$E,RESOURCES!$C26)=0,"-",AVERAGEIFS('QA RAW'!$G:$G,'QA RAW'!$E:$E,RESOURCES!$C26)),"-")</f>
        <v>1</v>
      </c>
      <c r="Z26" s="50">
        <f>IFERROR(VLOOKUP($C26,'PR CALIBRATION RAW'!$K:$S,MATCH(RESOURCES!Z$3,'PR CALIBRATION RAW'!$K$1:$S$1,0),FALSE),"-")</f>
        <v>1</v>
      </c>
      <c r="AA26" s="50" t="str">
        <f>IFERROR(VLOOKUP($C26,'DISPUTES RAW (VQA)'!$N:$U,8,FALSE),"-")</f>
        <v>-</v>
      </c>
      <c r="AB26" s="50">
        <f>IFERROR(VLOOKUP($C26,'ATTENDANCE RAW'!$E:$R,13,FALSE),"-")</f>
        <v>0.90909090909090906</v>
      </c>
      <c r="AC26" s="50">
        <f>IFERROR(IF($E26="Voice QA",IF(AVERAGEIFS('KC RAW'!$J:$J,'KC RAW'!$B:$B,RESOURCES!$C26)=0,"-",AVERAGEIFS('KC RAW'!$J:$J,'KC RAW'!$B:$B,RESOURCES!$C26)),IF(AVERAGEIFS('KC RAW'!$H:$H,'KC RAW'!$B:$B,RESOURCES!$C26)=0,"-",AVERAGEIFS('KC RAW'!$H:$H,'KC RAW'!$B:$B,RESOURCES!$C26))),"-")</f>
        <v>0.64999999999999991</v>
      </c>
      <c r="AD26" s="50" t="str">
        <f>IFERROR(AVERAGEIFS('CE RAW'!$G:$G,'CE RAW'!$E:$E,RESOURCES!$C26),"-")</f>
        <v>-</v>
      </c>
      <c r="AE26" s="50" t="str">
        <f>IFERROR(VLOOKUP($C26,'FCR RAW'!$A:$I,7,FALSE),"-")</f>
        <v>-</v>
      </c>
      <c r="AF26" s="50" t="str">
        <f>IFERROR(IF(VLOOKUP($C26,'BONUS RAW'!$D:$I,6,FALSE)=100%,100%,"-"),"-")</f>
        <v>-</v>
      </c>
      <c r="AG26" s="52">
        <f t="shared" si="3"/>
        <v>0.90081028066508972</v>
      </c>
      <c r="AH26" s="56">
        <f t="shared" si="0"/>
        <v>84</v>
      </c>
      <c r="AI26" s="57">
        <f t="shared" si="4"/>
        <v>0.90081028066508972</v>
      </c>
      <c r="AJ26" s="57">
        <f t="shared" si="5"/>
        <v>0.85576976663183535</v>
      </c>
      <c r="AK26" s="325" t="str">
        <f>IFERROR(VLOOKUP($C26,'ATTRITION RAW'!$E:$J,6,FALSE),"-")</f>
        <v>-</v>
      </c>
      <c r="AL26" s="176" t="str">
        <f t="shared" si="6"/>
        <v>-</v>
      </c>
      <c r="AM26" s="454" t="str">
        <f>IFERROR(VLOOKUP($C26,'CHURN RAW'!$A:$G,7,FALSE),"-")</f>
        <v>-</v>
      </c>
      <c r="AN26" s="456" t="str">
        <f t="shared" si="1"/>
        <v>QUALITY - PR</v>
      </c>
    </row>
    <row r="27" spans="2:40">
      <c r="B27" s="637">
        <f t="shared" si="7"/>
        <v>24</v>
      </c>
      <c r="C27" s="93">
        <v>10072215</v>
      </c>
      <c r="D27" s="93" t="s">
        <v>115</v>
      </c>
      <c r="E27" s="88" t="s">
        <v>87</v>
      </c>
      <c r="F27" s="88" t="s">
        <v>105</v>
      </c>
      <c r="G27" s="88" t="s">
        <v>106</v>
      </c>
      <c r="H27" s="88" t="s">
        <v>85</v>
      </c>
      <c r="I27" s="88" t="s">
        <v>86</v>
      </c>
      <c r="J27" s="638"/>
      <c r="K27" s="638">
        <f t="shared" si="8"/>
        <v>43739</v>
      </c>
      <c r="L27" s="639" t="str">
        <f t="shared" si="2"/>
        <v>Expert</v>
      </c>
      <c r="M27" s="53">
        <f>IFERROR(VLOOKUP($E27,KPI!$B:$T,MATCH(RESOURCES!M$3,KPI!$B$1:$T$1,0),FALSE),"-")</f>
        <v>0.34</v>
      </c>
      <c r="N27" s="53" t="str">
        <f>IFERROR(VLOOKUP($E27,KPI!$B:$T,MATCH(RESOURCES!N$3,KPI!$B$1:$T$1,0),FALSE),"-")</f>
        <v>-</v>
      </c>
      <c r="O27" s="53">
        <f>IFERROR(VLOOKUP($E27,KPI!$B:$T,MATCH(RESOURCES!O$3,KPI!$B$1:$T$1,0),FALSE),"-")</f>
        <v>0.26</v>
      </c>
      <c r="P27" s="53">
        <f>IFERROR(VLOOKUP($E27,KPI!$B:$T,MATCH(RESOURCES!P$3,KPI!$B$1:$T$1,0),FALSE),"-")</f>
        <v>0.1</v>
      </c>
      <c r="Q27" s="53" t="str">
        <f>IFERROR(VLOOKUP($E27,KPI!$B:$T,MATCH(RESOURCES!Q$3,KPI!$B$1:$T$1,0),FALSE),"-")</f>
        <v>-</v>
      </c>
      <c r="R27" s="53">
        <f>IFERROR(VLOOKUP($E27,KPI!$B:$T,MATCH(RESOURCES!R$3,KPI!$B$1:$T$1,0),FALSE),"-")</f>
        <v>0.15</v>
      </c>
      <c r="S27" s="53">
        <f>IFERROR(VLOOKUP($E27,KPI!$B:$T,MATCH(RESOURCES!S$3,KPI!$B$1:$T$1,0),FALSE),"-")</f>
        <v>0.1</v>
      </c>
      <c r="T27" s="53" t="str">
        <f>IFERROR(VLOOKUP($E27,KPI!$B:$T,MATCH(RESOURCES!T$3,KPI!$B$1:$T$1,0),FALSE),"-")</f>
        <v>-</v>
      </c>
      <c r="U27" s="53" t="str">
        <f>IFERROR(VLOOKUP($E27,KPI!$B:$T,MATCH(RESOURCES!U$3,KPI!$B$1:$T$1,0),FALSE),"-")</f>
        <v>-</v>
      </c>
      <c r="V27" s="53">
        <f>IFERROR(VLOOKUP($E27,KPI!$B:$T,MATCH(RESOURCES!V$3,KPI!$B$1:$T$1,0),FALSE),"-")</f>
        <v>0.05</v>
      </c>
      <c r="W27" s="50">
        <f>IFERROR(VLOOKUP($C27,'PRODUCTIVITY RAW'!$B:$Q,16,FALSE),"-")</f>
        <v>1</v>
      </c>
      <c r="X27" s="50" t="str">
        <f>IFERROR(VLOOKUP($C27,'CHURN RAW'!$A:$H,8,FALSE),"-")</f>
        <v>-</v>
      </c>
      <c r="Y27" s="50">
        <f>IFERROR(IF(AVERAGEIFS('QA RAW'!$G:$G,'QA RAW'!$E:$E,RESOURCES!$C27)=0,"-",AVERAGEIFS('QA RAW'!$G:$G,'QA RAW'!$E:$E,RESOURCES!$C27)),"-")</f>
        <v>1</v>
      </c>
      <c r="Z27" s="50">
        <f>IFERROR(VLOOKUP($C27,'PR CALIBRATION RAW'!$K:$S,MATCH(RESOURCES!Z$3,'PR CALIBRATION RAW'!$K$1:$S$1,0),FALSE),"-")</f>
        <v>1</v>
      </c>
      <c r="AA27" s="50" t="str">
        <f>IFERROR(VLOOKUP($C27,'DISPUTES RAW (VQA)'!$N:$U,8,FALSE),"-")</f>
        <v>-</v>
      </c>
      <c r="AB27" s="50">
        <f>IFERROR(VLOOKUP($C27,'ATTENDANCE RAW'!$E:$R,13,FALSE),"-")</f>
        <v>0.90909090909090906</v>
      </c>
      <c r="AC27" s="50">
        <f>IFERROR(IF($E27="Voice QA",IF(AVERAGEIFS('KC RAW'!$J:$J,'KC RAW'!$B:$B,RESOURCES!$C27)=0,"-",AVERAGEIFS('KC RAW'!$J:$J,'KC RAW'!$B:$B,RESOURCES!$C27)),IF(AVERAGEIFS('KC RAW'!$H:$H,'KC RAW'!$B:$B,RESOURCES!$C27)=0,"-",AVERAGEIFS('KC RAW'!$H:$H,'KC RAW'!$B:$B,RESOURCES!$C27))),"-")</f>
        <v>0.5</v>
      </c>
      <c r="AD27" s="50" t="str">
        <f>IFERROR(AVERAGEIFS('CE RAW'!$G:$G,'CE RAW'!$E:$E,RESOURCES!$C27),"-")</f>
        <v>-</v>
      </c>
      <c r="AE27" s="50" t="str">
        <f>IFERROR(VLOOKUP($C27,'FCR RAW'!$A:$I,7,FALSE),"-")</f>
        <v>-</v>
      </c>
      <c r="AF27" s="50" t="str">
        <f>IFERROR(IF(VLOOKUP($C27,'BONUS RAW'!$D:$I,6,FALSE)=100%,100%,"-"),"-")</f>
        <v>-</v>
      </c>
      <c r="AG27" s="52">
        <f t="shared" si="3"/>
        <v>0.93301435406698574</v>
      </c>
      <c r="AH27" s="56">
        <f t="shared" si="0"/>
        <v>51</v>
      </c>
      <c r="AI27" s="57">
        <f t="shared" si="4"/>
        <v>0.93301435406698574</v>
      </c>
      <c r="AJ27" s="57">
        <f t="shared" si="5"/>
        <v>0.88636363636363646</v>
      </c>
      <c r="AK27" s="325" t="str">
        <f>IFERROR(VLOOKUP($C27,'ATTRITION RAW'!$E:$J,6,FALSE),"-")</f>
        <v>-</v>
      </c>
      <c r="AL27" s="176" t="str">
        <f t="shared" si="6"/>
        <v>-</v>
      </c>
      <c r="AM27" s="454" t="str">
        <f>IFERROR(VLOOKUP($C27,'CHURN RAW'!$A:$G,7,FALSE),"-")</f>
        <v>-</v>
      </c>
      <c r="AN27" s="456" t="str">
        <f t="shared" si="1"/>
        <v>QUALITY - PR</v>
      </c>
    </row>
    <row r="28" spans="2:40">
      <c r="B28" s="637">
        <f t="shared" si="7"/>
        <v>25</v>
      </c>
      <c r="C28" s="93">
        <v>10072213</v>
      </c>
      <c r="D28" s="93" t="s">
        <v>116</v>
      </c>
      <c r="E28" s="88" t="s">
        <v>87</v>
      </c>
      <c r="F28" s="88" t="s">
        <v>105</v>
      </c>
      <c r="G28" s="88" t="s">
        <v>106</v>
      </c>
      <c r="H28" s="88" t="s">
        <v>85</v>
      </c>
      <c r="I28" s="88" t="s">
        <v>86</v>
      </c>
      <c r="J28" s="638">
        <v>43731</v>
      </c>
      <c r="K28" s="638">
        <f t="shared" si="8"/>
        <v>43739</v>
      </c>
      <c r="L28" s="639" t="str">
        <f t="shared" si="2"/>
        <v>Beginner</v>
      </c>
      <c r="M28" s="53">
        <f>IFERROR(VLOOKUP($E28,KPI!$B:$T,MATCH(RESOURCES!M$3,KPI!$B$1:$T$1,0),FALSE),"-")</f>
        <v>0.34</v>
      </c>
      <c r="N28" s="53" t="str">
        <f>IFERROR(VLOOKUP($E28,KPI!$B:$T,MATCH(RESOURCES!N$3,KPI!$B$1:$T$1,0),FALSE),"-")</f>
        <v>-</v>
      </c>
      <c r="O28" s="53">
        <f>IFERROR(VLOOKUP($E28,KPI!$B:$T,MATCH(RESOURCES!O$3,KPI!$B$1:$T$1,0),FALSE),"-")</f>
        <v>0.26</v>
      </c>
      <c r="P28" s="53">
        <f>IFERROR(VLOOKUP($E28,KPI!$B:$T,MATCH(RESOURCES!P$3,KPI!$B$1:$T$1,0),FALSE),"-")</f>
        <v>0.1</v>
      </c>
      <c r="Q28" s="53" t="str">
        <f>IFERROR(VLOOKUP($E28,KPI!$B:$T,MATCH(RESOURCES!Q$3,KPI!$B$1:$T$1,0),FALSE),"-")</f>
        <v>-</v>
      </c>
      <c r="R28" s="53">
        <f>IFERROR(VLOOKUP($E28,KPI!$B:$T,MATCH(RESOURCES!R$3,KPI!$B$1:$T$1,0),FALSE),"-")</f>
        <v>0.15</v>
      </c>
      <c r="S28" s="53">
        <f>IFERROR(VLOOKUP($E28,KPI!$B:$T,MATCH(RESOURCES!S$3,KPI!$B$1:$T$1,0),FALSE),"-")</f>
        <v>0.1</v>
      </c>
      <c r="T28" s="53" t="str">
        <f>IFERROR(VLOOKUP($E28,KPI!$B:$T,MATCH(RESOURCES!T$3,KPI!$B$1:$T$1,0),FALSE),"-")</f>
        <v>-</v>
      </c>
      <c r="U28" s="53" t="str">
        <f>IFERROR(VLOOKUP($E28,KPI!$B:$T,MATCH(RESOURCES!U$3,KPI!$B$1:$T$1,0),FALSE),"-")</f>
        <v>-</v>
      </c>
      <c r="V28" s="53">
        <f>IFERROR(VLOOKUP($E28,KPI!$B:$T,MATCH(RESOURCES!V$3,KPI!$B$1:$T$1,0),FALSE),"-")</f>
        <v>0.05</v>
      </c>
      <c r="W28" s="50">
        <f>IFERROR(VLOOKUP($C28,'PRODUCTIVITY RAW'!$B:$Q,16,FALSE),"-")</f>
        <v>1</v>
      </c>
      <c r="X28" s="50" t="str">
        <f>IFERROR(VLOOKUP($C28,'CHURN RAW'!$A:$H,8,FALSE),"-")</f>
        <v>-</v>
      </c>
      <c r="Y28" s="50">
        <f>IFERROR(IF(AVERAGEIFS('QA RAW'!$G:$G,'QA RAW'!$E:$E,RESOURCES!$C28)=0,"-",AVERAGEIFS('QA RAW'!$G:$G,'QA RAW'!$E:$E,RESOURCES!$C28)),"-")</f>
        <v>0.9</v>
      </c>
      <c r="Z28" s="50">
        <f>IFERROR(VLOOKUP($C28,'PR CALIBRATION RAW'!$K:$S,MATCH(RESOURCES!Z$3,'PR CALIBRATION RAW'!$K$1:$S$1,0),FALSE),"-")</f>
        <v>0.8</v>
      </c>
      <c r="AA28" s="50" t="str">
        <f>IFERROR(VLOOKUP($C28,'DISPUTES RAW (VQA)'!$N:$U,8,FALSE),"-")</f>
        <v>-</v>
      </c>
      <c r="AB28" s="50">
        <f>IFERROR(VLOOKUP($C28,'ATTENDANCE RAW'!$E:$R,13,FALSE),"-")</f>
        <v>0.95454545454545459</v>
      </c>
      <c r="AC28" s="50">
        <f>IFERROR(IF($E28="Voice QA",IF(AVERAGEIFS('KC RAW'!$J:$J,'KC RAW'!$B:$B,RESOURCES!$C28)=0,"-",AVERAGEIFS('KC RAW'!$J:$J,'KC RAW'!$B:$B,RESOURCES!$C28)),IF(AVERAGEIFS('KC RAW'!$H:$H,'KC RAW'!$B:$B,RESOURCES!$C28)=0,"-",AVERAGEIFS('KC RAW'!$H:$H,'KC RAW'!$B:$B,RESOURCES!$C28))),"-")</f>
        <v>0.6</v>
      </c>
      <c r="AD28" s="50" t="str">
        <f>IFERROR(AVERAGEIFS('CE RAW'!$G:$G,'CE RAW'!$E:$E,RESOURCES!$C28),"-")</f>
        <v>-</v>
      </c>
      <c r="AE28" s="50" t="str">
        <f>IFERROR(VLOOKUP($C28,'FCR RAW'!$A:$I,7,FALSE),"-")</f>
        <v>-</v>
      </c>
      <c r="AF28" s="50" t="str">
        <f>IFERROR(IF(VLOOKUP($C28,'BONUS RAW'!$D:$I,6,FALSE)=100%,100%,"-"),"-")</f>
        <v>-</v>
      </c>
      <c r="AG28" s="52">
        <f t="shared" si="3"/>
        <v>0.90229665071770337</v>
      </c>
      <c r="AH28" s="56">
        <f t="shared" si="0"/>
        <v>82</v>
      </c>
      <c r="AI28" s="57">
        <f t="shared" si="4"/>
        <v>0.90229665071770337</v>
      </c>
      <c r="AJ28" s="57">
        <f t="shared" si="5"/>
        <v>0.85718181818181827</v>
      </c>
      <c r="AK28" s="325" t="str">
        <f>IFERROR(VLOOKUP($C28,'ATTRITION RAW'!$E:$J,6,FALSE),"-")</f>
        <v>-</v>
      </c>
      <c r="AL28" s="176" t="str">
        <f t="shared" si="6"/>
        <v>-</v>
      </c>
      <c r="AM28" s="454" t="str">
        <f>IFERROR(VLOOKUP($C28,'CHURN RAW'!$A:$G,7,FALSE),"-")</f>
        <v>-</v>
      </c>
      <c r="AN28" s="456" t="str">
        <f t="shared" si="1"/>
        <v>QUALITY - PR</v>
      </c>
    </row>
    <row r="29" spans="2:40">
      <c r="B29" s="637">
        <f t="shared" si="7"/>
        <v>26</v>
      </c>
      <c r="C29" s="93">
        <v>10071055</v>
      </c>
      <c r="D29" s="93" t="s">
        <v>117</v>
      </c>
      <c r="E29" s="88" t="s">
        <v>87</v>
      </c>
      <c r="F29" s="88" t="s">
        <v>105</v>
      </c>
      <c r="G29" s="88" t="s">
        <v>106</v>
      </c>
      <c r="H29" s="88" t="s">
        <v>85</v>
      </c>
      <c r="I29" s="88" t="s">
        <v>86</v>
      </c>
      <c r="J29" s="638">
        <v>43731</v>
      </c>
      <c r="K29" s="638">
        <f t="shared" si="8"/>
        <v>43739</v>
      </c>
      <c r="L29" s="639" t="str">
        <f t="shared" si="2"/>
        <v>Beginner</v>
      </c>
      <c r="M29" s="53">
        <f>IFERROR(VLOOKUP($E29,KPI!$B:$T,MATCH(RESOURCES!M$3,KPI!$B$1:$T$1,0),FALSE),"-")</f>
        <v>0.34</v>
      </c>
      <c r="N29" s="53" t="str">
        <f>IFERROR(VLOOKUP($E29,KPI!$B:$T,MATCH(RESOURCES!N$3,KPI!$B$1:$T$1,0),FALSE),"-")</f>
        <v>-</v>
      </c>
      <c r="O29" s="53">
        <f>IFERROR(VLOOKUP($E29,KPI!$B:$T,MATCH(RESOURCES!O$3,KPI!$B$1:$T$1,0),FALSE),"-")</f>
        <v>0.26</v>
      </c>
      <c r="P29" s="53">
        <f>IFERROR(VLOOKUP($E29,KPI!$B:$T,MATCH(RESOURCES!P$3,KPI!$B$1:$T$1,0),FALSE),"-")</f>
        <v>0.1</v>
      </c>
      <c r="Q29" s="53" t="str">
        <f>IFERROR(VLOOKUP($E29,KPI!$B:$T,MATCH(RESOURCES!Q$3,KPI!$B$1:$T$1,0),FALSE),"-")</f>
        <v>-</v>
      </c>
      <c r="R29" s="53">
        <f>IFERROR(VLOOKUP($E29,KPI!$B:$T,MATCH(RESOURCES!R$3,KPI!$B$1:$T$1,0),FALSE),"-")</f>
        <v>0.15</v>
      </c>
      <c r="S29" s="53">
        <f>IFERROR(VLOOKUP($E29,KPI!$B:$T,MATCH(RESOURCES!S$3,KPI!$B$1:$T$1,0),FALSE),"-")</f>
        <v>0.1</v>
      </c>
      <c r="T29" s="53" t="str">
        <f>IFERROR(VLOOKUP($E29,KPI!$B:$T,MATCH(RESOURCES!T$3,KPI!$B$1:$T$1,0),FALSE),"-")</f>
        <v>-</v>
      </c>
      <c r="U29" s="53" t="str">
        <f>IFERROR(VLOOKUP($E29,KPI!$B:$T,MATCH(RESOURCES!U$3,KPI!$B$1:$T$1,0),FALSE),"-")</f>
        <v>-</v>
      </c>
      <c r="V29" s="53">
        <f>IFERROR(VLOOKUP($E29,KPI!$B:$T,MATCH(RESOURCES!V$3,KPI!$B$1:$T$1,0),FALSE),"-")</f>
        <v>0.05</v>
      </c>
      <c r="W29" s="50">
        <f>IFERROR(VLOOKUP($C29,'PRODUCTIVITY RAW'!$B:$Q,16,FALSE),"-")</f>
        <v>1</v>
      </c>
      <c r="X29" s="50" t="str">
        <f>IFERROR(VLOOKUP($C29,'CHURN RAW'!$A:$H,8,FALSE),"-")</f>
        <v>-</v>
      </c>
      <c r="Y29" s="50">
        <f>IFERROR(IF(AVERAGEIFS('QA RAW'!$G:$G,'QA RAW'!$E:$E,RESOURCES!$C29)=0,"-",AVERAGEIFS('QA RAW'!$G:$G,'QA RAW'!$E:$E,RESOURCES!$C29)),"-")</f>
        <v>1</v>
      </c>
      <c r="Z29" s="50">
        <f>IFERROR(VLOOKUP($C29,'PR CALIBRATION RAW'!$K:$S,MATCH(RESOURCES!Z$3,'PR CALIBRATION RAW'!$K$1:$S$1,0),FALSE),"-")</f>
        <v>0.8</v>
      </c>
      <c r="AA29" s="50" t="str">
        <f>IFERROR(VLOOKUP($C29,'DISPUTES RAW (VQA)'!$N:$U,8,FALSE),"-")</f>
        <v>-</v>
      </c>
      <c r="AB29" s="50">
        <f>IFERROR(VLOOKUP($C29,'ATTENDANCE RAW'!$E:$R,13,FALSE),"-")</f>
        <v>1</v>
      </c>
      <c r="AC29" s="50">
        <f>IFERROR(IF($E29="Voice QA",IF(AVERAGEIFS('KC RAW'!$J:$J,'KC RAW'!$B:$B,RESOURCES!$C29)=0,"-",AVERAGEIFS('KC RAW'!$J:$J,'KC RAW'!$B:$B,RESOURCES!$C29)),IF(AVERAGEIFS('KC RAW'!$H:$H,'KC RAW'!$B:$B,RESOURCES!$C29)=0,"-",AVERAGEIFS('KC RAW'!$H:$H,'KC RAW'!$B:$B,RESOURCES!$C29))),"-")</f>
        <v>0.55000000000000004</v>
      </c>
      <c r="AD29" s="50" t="str">
        <f>IFERROR(AVERAGEIFS('CE RAW'!$G:$G,'CE RAW'!$E:$E,RESOURCES!$C29),"-")</f>
        <v>-</v>
      </c>
      <c r="AE29" s="50" t="str">
        <f>IFERROR(VLOOKUP($C29,'FCR RAW'!$A:$I,7,FALSE),"-")</f>
        <v>-</v>
      </c>
      <c r="AF29" s="50" t="str">
        <f>IFERROR(IF(VLOOKUP($C29,'BONUS RAW'!$D:$I,6,FALSE)=100%,100%,"-"),"-")</f>
        <v>-</v>
      </c>
      <c r="AG29" s="52">
        <f t="shared" si="3"/>
        <v>0.93157894736842128</v>
      </c>
      <c r="AH29" s="56">
        <f t="shared" si="0"/>
        <v>52</v>
      </c>
      <c r="AI29" s="57">
        <f t="shared" si="4"/>
        <v>0.93157894736842128</v>
      </c>
      <c r="AJ29" s="57">
        <f t="shared" si="5"/>
        <v>0.88500000000000023</v>
      </c>
      <c r="AK29" s="325" t="str">
        <f>IFERROR(VLOOKUP($C29,'ATTRITION RAW'!$E:$J,6,FALSE),"-")</f>
        <v>-</v>
      </c>
      <c r="AL29" s="176" t="str">
        <f t="shared" si="6"/>
        <v>-</v>
      </c>
      <c r="AM29" s="454" t="str">
        <f>IFERROR(VLOOKUP($C29,'CHURN RAW'!$A:$G,7,FALSE),"-")</f>
        <v>-</v>
      </c>
      <c r="AN29" s="456" t="str">
        <f t="shared" si="1"/>
        <v>QUALITY - PR</v>
      </c>
    </row>
    <row r="30" spans="2:40">
      <c r="B30" s="637">
        <f t="shared" si="7"/>
        <v>27</v>
      </c>
      <c r="C30" s="93">
        <v>10070996</v>
      </c>
      <c r="D30" s="93" t="s">
        <v>118</v>
      </c>
      <c r="E30" s="88" t="s">
        <v>87</v>
      </c>
      <c r="F30" s="88" t="s">
        <v>105</v>
      </c>
      <c r="G30" s="88" t="s">
        <v>106</v>
      </c>
      <c r="H30" s="88" t="s">
        <v>85</v>
      </c>
      <c r="I30" s="88" t="s">
        <v>86</v>
      </c>
      <c r="J30" s="638"/>
      <c r="K30" s="638">
        <f t="shared" si="8"/>
        <v>43739</v>
      </c>
      <c r="L30" s="639" t="str">
        <f t="shared" si="2"/>
        <v>Expert</v>
      </c>
      <c r="M30" s="53">
        <f>IFERROR(VLOOKUP($E30,KPI!$B:$T,MATCH(RESOURCES!M$3,KPI!$B$1:$T$1,0),FALSE),"-")</f>
        <v>0.34</v>
      </c>
      <c r="N30" s="53" t="str">
        <f>IFERROR(VLOOKUP($E30,KPI!$B:$T,MATCH(RESOURCES!N$3,KPI!$B$1:$T$1,0),FALSE),"-")</f>
        <v>-</v>
      </c>
      <c r="O30" s="53">
        <f>IFERROR(VLOOKUP($E30,KPI!$B:$T,MATCH(RESOURCES!O$3,KPI!$B$1:$T$1,0),FALSE),"-")</f>
        <v>0.26</v>
      </c>
      <c r="P30" s="53">
        <f>IFERROR(VLOOKUP($E30,KPI!$B:$T,MATCH(RESOURCES!P$3,KPI!$B$1:$T$1,0),FALSE),"-")</f>
        <v>0.1</v>
      </c>
      <c r="Q30" s="53" t="str">
        <f>IFERROR(VLOOKUP($E30,KPI!$B:$T,MATCH(RESOURCES!Q$3,KPI!$B$1:$T$1,0),FALSE),"-")</f>
        <v>-</v>
      </c>
      <c r="R30" s="53">
        <f>IFERROR(VLOOKUP($E30,KPI!$B:$T,MATCH(RESOURCES!R$3,KPI!$B$1:$T$1,0),FALSE),"-")</f>
        <v>0.15</v>
      </c>
      <c r="S30" s="53">
        <f>IFERROR(VLOOKUP($E30,KPI!$B:$T,MATCH(RESOURCES!S$3,KPI!$B$1:$T$1,0),FALSE),"-")</f>
        <v>0.1</v>
      </c>
      <c r="T30" s="53" t="str">
        <f>IFERROR(VLOOKUP($E30,KPI!$B:$T,MATCH(RESOURCES!T$3,KPI!$B$1:$T$1,0),FALSE),"-")</f>
        <v>-</v>
      </c>
      <c r="U30" s="53" t="str">
        <f>IFERROR(VLOOKUP($E30,KPI!$B:$T,MATCH(RESOURCES!U$3,KPI!$B$1:$T$1,0),FALSE),"-")</f>
        <v>-</v>
      </c>
      <c r="V30" s="53">
        <f>IFERROR(VLOOKUP($E30,KPI!$B:$T,MATCH(RESOURCES!V$3,KPI!$B$1:$T$1,0),FALSE),"-")</f>
        <v>0.05</v>
      </c>
      <c r="W30" s="50">
        <f>IFERROR(VLOOKUP($C30,'PRODUCTIVITY RAW'!$B:$Q,16,FALSE),"-")</f>
        <v>0.96376811594202783</v>
      </c>
      <c r="X30" s="50" t="str">
        <f>IFERROR(VLOOKUP($C30,'CHURN RAW'!$A:$H,8,FALSE),"-")</f>
        <v>-</v>
      </c>
      <c r="Y30" s="50">
        <f>IFERROR(IF(AVERAGEIFS('QA RAW'!$G:$G,'QA RAW'!$E:$E,RESOURCES!$C30)=0,"-",AVERAGEIFS('QA RAW'!$G:$G,'QA RAW'!$E:$E,RESOURCES!$C30)),"-")</f>
        <v>1</v>
      </c>
      <c r="Z30" s="50">
        <f>IFERROR(VLOOKUP($C30,'PR CALIBRATION RAW'!$K:$S,MATCH(RESOURCES!Z$3,'PR CALIBRATION RAW'!$K$1:$S$1,0),FALSE),"-")</f>
        <v>1</v>
      </c>
      <c r="AA30" s="50" t="str">
        <f>IFERROR(VLOOKUP($C30,'DISPUTES RAW (VQA)'!$N:$U,8,FALSE),"-")</f>
        <v>-</v>
      </c>
      <c r="AB30" s="50">
        <f>IFERROR(VLOOKUP($C30,'ATTENDANCE RAW'!$E:$R,13,FALSE),"-")</f>
        <v>0.90909090909090906</v>
      </c>
      <c r="AC30" s="50">
        <f>IFERROR(IF($E30="Voice QA",IF(AVERAGEIFS('KC RAW'!$J:$J,'KC RAW'!$B:$B,RESOURCES!$C30)=0,"-",AVERAGEIFS('KC RAW'!$J:$J,'KC RAW'!$B:$B,RESOURCES!$C30)),IF(AVERAGEIFS('KC RAW'!$H:$H,'KC RAW'!$B:$B,RESOURCES!$C30)=0,"-",AVERAGEIFS('KC RAW'!$H:$H,'KC RAW'!$B:$B,RESOURCES!$C30))),"-")</f>
        <v>0.85000000000000009</v>
      </c>
      <c r="AD30" s="50" t="str">
        <f>IFERROR(AVERAGEIFS('CE RAW'!$G:$G,'CE RAW'!$E:$E,RESOURCES!$C30),"-")</f>
        <v>-</v>
      </c>
      <c r="AE30" s="50" t="str">
        <f>IFERROR(VLOOKUP($C30,'FCR RAW'!$A:$I,7,FALSE),"-")</f>
        <v>-</v>
      </c>
      <c r="AF30" s="50" t="str">
        <f>IFERROR(IF(VLOOKUP($C30,'BONUS RAW'!$D:$I,6,FALSE)=100%,100%,"-"),"-")</f>
        <v>-</v>
      </c>
      <c r="AG30" s="52">
        <f t="shared" si="3"/>
        <v>0.95688925871992181</v>
      </c>
      <c r="AH30" s="56">
        <f t="shared" si="0"/>
        <v>28</v>
      </c>
      <c r="AI30" s="57">
        <f t="shared" si="4"/>
        <v>0.95688925871992181</v>
      </c>
      <c r="AJ30" s="57">
        <f t="shared" si="5"/>
        <v>0.90904479578392583</v>
      </c>
      <c r="AK30" s="325" t="str">
        <f>IFERROR(VLOOKUP($C30,'ATTRITION RAW'!$E:$J,6,FALSE),"-")</f>
        <v>-</v>
      </c>
      <c r="AL30" s="176" t="str">
        <f t="shared" si="6"/>
        <v>-</v>
      </c>
      <c r="AM30" s="454" t="str">
        <f>IFERROR(VLOOKUP($C30,'CHURN RAW'!$A:$G,7,FALSE),"-")</f>
        <v>-</v>
      </c>
      <c r="AN30" s="456" t="str">
        <f t="shared" si="1"/>
        <v>QUALITY - PR</v>
      </c>
    </row>
    <row r="31" spans="2:40">
      <c r="B31" s="637">
        <f t="shared" si="7"/>
        <v>28</v>
      </c>
      <c r="C31" s="93">
        <v>10072184</v>
      </c>
      <c r="D31" s="93" t="s">
        <v>119</v>
      </c>
      <c r="E31" s="88" t="s">
        <v>87</v>
      </c>
      <c r="F31" s="88" t="s">
        <v>105</v>
      </c>
      <c r="G31" s="88" t="s">
        <v>106</v>
      </c>
      <c r="H31" s="88" t="s">
        <v>85</v>
      </c>
      <c r="I31" s="88" t="s">
        <v>86</v>
      </c>
      <c r="J31" s="638"/>
      <c r="K31" s="638">
        <f t="shared" si="8"/>
        <v>43739</v>
      </c>
      <c r="L31" s="639" t="str">
        <f t="shared" si="2"/>
        <v>Expert</v>
      </c>
      <c r="M31" s="53">
        <f>IFERROR(VLOOKUP($E31,KPI!$B:$T,MATCH(RESOURCES!M$3,KPI!$B$1:$T$1,0),FALSE),"-")</f>
        <v>0.34</v>
      </c>
      <c r="N31" s="53" t="str">
        <f>IFERROR(VLOOKUP($E31,KPI!$B:$T,MATCH(RESOURCES!N$3,KPI!$B$1:$T$1,0),FALSE),"-")</f>
        <v>-</v>
      </c>
      <c r="O31" s="53">
        <f>IFERROR(VLOOKUP($E31,KPI!$B:$T,MATCH(RESOURCES!O$3,KPI!$B$1:$T$1,0),FALSE),"-")</f>
        <v>0.26</v>
      </c>
      <c r="P31" s="53">
        <f>IFERROR(VLOOKUP($E31,KPI!$B:$T,MATCH(RESOURCES!P$3,KPI!$B$1:$T$1,0),FALSE),"-")</f>
        <v>0.1</v>
      </c>
      <c r="Q31" s="53" t="str">
        <f>IFERROR(VLOOKUP($E31,KPI!$B:$T,MATCH(RESOURCES!Q$3,KPI!$B$1:$T$1,0),FALSE),"-")</f>
        <v>-</v>
      </c>
      <c r="R31" s="53">
        <f>IFERROR(VLOOKUP($E31,KPI!$B:$T,MATCH(RESOURCES!R$3,KPI!$B$1:$T$1,0),FALSE),"-")</f>
        <v>0.15</v>
      </c>
      <c r="S31" s="53">
        <f>IFERROR(VLOOKUP($E31,KPI!$B:$T,MATCH(RESOURCES!S$3,KPI!$B$1:$T$1,0),FALSE),"-")</f>
        <v>0.1</v>
      </c>
      <c r="T31" s="53" t="str">
        <f>IFERROR(VLOOKUP($E31,KPI!$B:$T,MATCH(RESOURCES!T$3,KPI!$B$1:$T$1,0),FALSE),"-")</f>
        <v>-</v>
      </c>
      <c r="U31" s="53" t="str">
        <f>IFERROR(VLOOKUP($E31,KPI!$B:$T,MATCH(RESOURCES!U$3,KPI!$B$1:$T$1,0),FALSE),"-")</f>
        <v>-</v>
      </c>
      <c r="V31" s="53">
        <f>IFERROR(VLOOKUP($E31,KPI!$B:$T,MATCH(RESOURCES!V$3,KPI!$B$1:$T$1,0),FALSE),"-")</f>
        <v>0.05</v>
      </c>
      <c r="W31" s="50">
        <f>IFERROR(VLOOKUP($C31,'PRODUCTIVITY RAW'!$B:$Q,16,FALSE),"-")</f>
        <v>1</v>
      </c>
      <c r="X31" s="50" t="str">
        <f>IFERROR(VLOOKUP($C31,'CHURN RAW'!$A:$H,8,FALSE),"-")</f>
        <v>-</v>
      </c>
      <c r="Y31" s="50">
        <f>IFERROR(IF(AVERAGEIFS('QA RAW'!$G:$G,'QA RAW'!$E:$E,RESOURCES!$C31)=0,"-",AVERAGEIFS('QA RAW'!$G:$G,'QA RAW'!$E:$E,RESOURCES!$C31)),"-")</f>
        <v>1</v>
      </c>
      <c r="Z31" s="50">
        <f>IFERROR(VLOOKUP($C31,'PR CALIBRATION RAW'!$K:$S,MATCH(RESOURCES!Z$3,'PR CALIBRATION RAW'!$K$1:$S$1,0),FALSE),"-")</f>
        <v>0.8</v>
      </c>
      <c r="AA31" s="50" t="str">
        <f>IFERROR(VLOOKUP($C31,'DISPUTES RAW (VQA)'!$N:$U,8,FALSE),"-")</f>
        <v>-</v>
      </c>
      <c r="AB31" s="50">
        <f>IFERROR(VLOOKUP($C31,'ATTENDANCE RAW'!$E:$R,13,FALSE),"-")</f>
        <v>1</v>
      </c>
      <c r="AC31" s="50">
        <f>IFERROR(IF($E31="Voice QA",IF(AVERAGEIFS('KC RAW'!$J:$J,'KC RAW'!$B:$B,RESOURCES!$C31)=0,"-",AVERAGEIFS('KC RAW'!$J:$J,'KC RAW'!$B:$B,RESOURCES!$C31)),IF(AVERAGEIFS('KC RAW'!$H:$H,'KC RAW'!$B:$B,RESOURCES!$C31)=0,"-",AVERAGEIFS('KC RAW'!$H:$H,'KC RAW'!$B:$B,RESOURCES!$C31))),"-")</f>
        <v>0.6</v>
      </c>
      <c r="AD31" s="50" t="str">
        <f>IFERROR(AVERAGEIFS('CE RAW'!$G:$G,'CE RAW'!$E:$E,RESOURCES!$C31),"-")</f>
        <v>-</v>
      </c>
      <c r="AE31" s="50" t="str">
        <f>IFERROR(VLOOKUP($C31,'FCR RAW'!$A:$I,7,FALSE),"-")</f>
        <v>-</v>
      </c>
      <c r="AF31" s="50" t="str">
        <f>IFERROR(IF(VLOOKUP($C31,'BONUS RAW'!$D:$I,6,FALSE)=100%,100%,"-"),"-")</f>
        <v>-</v>
      </c>
      <c r="AG31" s="52">
        <f t="shared" si="3"/>
        <v>0.93684210526315792</v>
      </c>
      <c r="AH31" s="56">
        <f t="shared" si="0"/>
        <v>46</v>
      </c>
      <c r="AI31" s="57">
        <f t="shared" si="4"/>
        <v>0.93684210526315792</v>
      </c>
      <c r="AJ31" s="57">
        <f t="shared" si="5"/>
        <v>0.89000000000000012</v>
      </c>
      <c r="AK31" s="325" t="str">
        <f>IFERROR(VLOOKUP($C31,'ATTRITION RAW'!$E:$J,6,FALSE),"-")</f>
        <v>-</v>
      </c>
      <c r="AL31" s="176" t="str">
        <f t="shared" si="6"/>
        <v>-</v>
      </c>
      <c r="AM31" s="454" t="str">
        <f>IFERROR(VLOOKUP($C31,'CHURN RAW'!$A:$G,7,FALSE),"-")</f>
        <v>-</v>
      </c>
      <c r="AN31" s="456" t="str">
        <f t="shared" si="1"/>
        <v>QUALITY - PR</v>
      </c>
    </row>
    <row r="32" spans="2:40">
      <c r="B32" s="637">
        <f t="shared" si="7"/>
        <v>29</v>
      </c>
      <c r="C32" s="93">
        <v>10071355</v>
      </c>
      <c r="D32" s="93" t="s">
        <v>120</v>
      </c>
      <c r="E32" s="88" t="s">
        <v>87</v>
      </c>
      <c r="F32" s="88" t="s">
        <v>105</v>
      </c>
      <c r="G32" s="88" t="s">
        <v>106</v>
      </c>
      <c r="H32" s="88" t="s">
        <v>85</v>
      </c>
      <c r="I32" s="88" t="s">
        <v>86</v>
      </c>
      <c r="J32" s="638"/>
      <c r="K32" s="638">
        <f t="shared" si="8"/>
        <v>43739</v>
      </c>
      <c r="L32" s="639" t="str">
        <f t="shared" si="2"/>
        <v>Expert</v>
      </c>
      <c r="M32" s="53">
        <f>IFERROR(VLOOKUP($E32,KPI!$B:$T,MATCH(RESOURCES!M$3,KPI!$B$1:$T$1,0),FALSE),"-")</f>
        <v>0.34</v>
      </c>
      <c r="N32" s="53" t="str">
        <f>IFERROR(VLOOKUP($E32,KPI!$B:$T,MATCH(RESOURCES!N$3,KPI!$B$1:$T$1,0),FALSE),"-")</f>
        <v>-</v>
      </c>
      <c r="O32" s="53">
        <f>IFERROR(VLOOKUP($E32,KPI!$B:$T,MATCH(RESOURCES!O$3,KPI!$B$1:$T$1,0),FALSE),"-")</f>
        <v>0.26</v>
      </c>
      <c r="P32" s="53">
        <f>IFERROR(VLOOKUP($E32,KPI!$B:$T,MATCH(RESOURCES!P$3,KPI!$B$1:$T$1,0),FALSE),"-")</f>
        <v>0.1</v>
      </c>
      <c r="Q32" s="53" t="str">
        <f>IFERROR(VLOOKUP($E32,KPI!$B:$T,MATCH(RESOURCES!Q$3,KPI!$B$1:$T$1,0),FALSE),"-")</f>
        <v>-</v>
      </c>
      <c r="R32" s="53">
        <f>IFERROR(VLOOKUP($E32,KPI!$B:$T,MATCH(RESOURCES!R$3,KPI!$B$1:$T$1,0),FALSE),"-")</f>
        <v>0.15</v>
      </c>
      <c r="S32" s="53">
        <f>IFERROR(VLOOKUP($E32,KPI!$B:$T,MATCH(RESOURCES!S$3,KPI!$B$1:$T$1,0),FALSE),"-")</f>
        <v>0.1</v>
      </c>
      <c r="T32" s="53" t="str">
        <f>IFERROR(VLOOKUP($E32,KPI!$B:$T,MATCH(RESOURCES!T$3,KPI!$B$1:$T$1,0),FALSE),"-")</f>
        <v>-</v>
      </c>
      <c r="U32" s="53" t="str">
        <f>IFERROR(VLOOKUP($E32,KPI!$B:$T,MATCH(RESOURCES!U$3,KPI!$B$1:$T$1,0),FALSE),"-")</f>
        <v>-</v>
      </c>
      <c r="V32" s="53">
        <f>IFERROR(VLOOKUP($E32,KPI!$B:$T,MATCH(RESOURCES!V$3,KPI!$B$1:$T$1,0),FALSE),"-")</f>
        <v>0.05</v>
      </c>
      <c r="W32" s="50">
        <f>IFERROR(VLOOKUP($C32,'PRODUCTIVITY RAW'!$B:$Q,16,FALSE),"-")</f>
        <v>1</v>
      </c>
      <c r="X32" s="50" t="str">
        <f>IFERROR(VLOOKUP($C32,'CHURN RAW'!$A:$H,8,FALSE),"-")</f>
        <v>-</v>
      </c>
      <c r="Y32" s="50">
        <f>IFERROR(IF(AVERAGEIFS('QA RAW'!$G:$G,'QA RAW'!$E:$E,RESOURCES!$C32)=0,"-",AVERAGEIFS('QA RAW'!$G:$G,'QA RAW'!$E:$E,RESOURCES!$C32)),"-")</f>
        <v>1</v>
      </c>
      <c r="Z32" s="50">
        <f>IFERROR(VLOOKUP($C32,'PR CALIBRATION RAW'!$K:$S,MATCH(RESOURCES!Z$3,'PR CALIBRATION RAW'!$K$1:$S$1,0),FALSE),"-")</f>
        <v>0.8</v>
      </c>
      <c r="AA32" s="50" t="str">
        <f>IFERROR(VLOOKUP($C32,'DISPUTES RAW (VQA)'!$N:$U,8,FALSE),"-")</f>
        <v>-</v>
      </c>
      <c r="AB32" s="50">
        <f>IFERROR(VLOOKUP($C32,'ATTENDANCE RAW'!$E:$R,13,FALSE),"-")</f>
        <v>1</v>
      </c>
      <c r="AC32" s="50">
        <f>IFERROR(IF($E32="Voice QA",IF(AVERAGEIFS('KC RAW'!$J:$J,'KC RAW'!$B:$B,RESOURCES!$C32)=0,"-",AVERAGEIFS('KC RAW'!$J:$J,'KC RAW'!$B:$B,RESOURCES!$C32)),IF(AVERAGEIFS('KC RAW'!$H:$H,'KC RAW'!$B:$B,RESOURCES!$C32)=0,"-",AVERAGEIFS('KC RAW'!$H:$H,'KC RAW'!$B:$B,RESOURCES!$C32))),"-")</f>
        <v>0.44999999999999996</v>
      </c>
      <c r="AD32" s="50" t="str">
        <f>IFERROR(AVERAGEIFS('CE RAW'!$G:$G,'CE RAW'!$E:$E,RESOURCES!$C32),"-")</f>
        <v>-</v>
      </c>
      <c r="AE32" s="50" t="str">
        <f>IFERROR(VLOOKUP($C32,'FCR RAW'!$A:$I,7,FALSE),"-")</f>
        <v>-</v>
      </c>
      <c r="AF32" s="50" t="str">
        <f>IFERROR(IF(VLOOKUP($C32,'BONUS RAW'!$D:$I,6,FALSE)=100%,100%,"-"),"-")</f>
        <v>-</v>
      </c>
      <c r="AG32" s="52">
        <f t="shared" si="3"/>
        <v>0.92105263157894757</v>
      </c>
      <c r="AH32" s="56">
        <f t="shared" si="0"/>
        <v>58</v>
      </c>
      <c r="AI32" s="57">
        <f t="shared" si="4"/>
        <v>0.92105263157894757</v>
      </c>
      <c r="AJ32" s="57">
        <f t="shared" si="5"/>
        <v>0.87500000000000022</v>
      </c>
      <c r="AK32" s="325" t="str">
        <f>IFERROR(VLOOKUP($C32,'ATTRITION RAW'!$E:$J,6,FALSE),"-")</f>
        <v>-</v>
      </c>
      <c r="AL32" s="176" t="str">
        <f t="shared" si="6"/>
        <v>-</v>
      </c>
      <c r="AM32" s="454" t="str">
        <f>IFERROR(VLOOKUP($C32,'CHURN RAW'!$A:$G,7,FALSE),"-")</f>
        <v>-</v>
      </c>
      <c r="AN32" s="456" t="str">
        <f t="shared" si="1"/>
        <v>QUALITY - PR</v>
      </c>
    </row>
    <row r="33" spans="2:40">
      <c r="B33" s="637">
        <f t="shared" si="7"/>
        <v>30</v>
      </c>
      <c r="C33" s="93">
        <v>10072007</v>
      </c>
      <c r="D33" s="93" t="s">
        <v>121</v>
      </c>
      <c r="E33" s="88" t="s">
        <v>87</v>
      </c>
      <c r="F33" s="88" t="s">
        <v>105</v>
      </c>
      <c r="G33" s="88" t="s">
        <v>106</v>
      </c>
      <c r="H33" s="88" t="s">
        <v>85</v>
      </c>
      <c r="I33" s="88" t="s">
        <v>86</v>
      </c>
      <c r="J33" s="638"/>
      <c r="K33" s="638">
        <f t="shared" si="8"/>
        <v>43739</v>
      </c>
      <c r="L33" s="639" t="str">
        <f t="shared" si="2"/>
        <v>Expert</v>
      </c>
      <c r="M33" s="53">
        <f>IFERROR(VLOOKUP($E33,KPI!$B:$T,MATCH(RESOURCES!M$3,KPI!$B$1:$T$1,0),FALSE),"-")</f>
        <v>0.34</v>
      </c>
      <c r="N33" s="53" t="str">
        <f>IFERROR(VLOOKUP($E33,KPI!$B:$T,MATCH(RESOURCES!N$3,KPI!$B$1:$T$1,0),FALSE),"-")</f>
        <v>-</v>
      </c>
      <c r="O33" s="53">
        <f>IFERROR(VLOOKUP($E33,KPI!$B:$T,MATCH(RESOURCES!O$3,KPI!$B$1:$T$1,0),FALSE),"-")</f>
        <v>0.26</v>
      </c>
      <c r="P33" s="53">
        <f>IFERROR(VLOOKUP($E33,KPI!$B:$T,MATCH(RESOURCES!P$3,KPI!$B$1:$T$1,0),FALSE),"-")</f>
        <v>0.1</v>
      </c>
      <c r="Q33" s="53" t="str">
        <f>IFERROR(VLOOKUP($E33,KPI!$B:$T,MATCH(RESOURCES!Q$3,KPI!$B$1:$T$1,0),FALSE),"-")</f>
        <v>-</v>
      </c>
      <c r="R33" s="53">
        <f>IFERROR(VLOOKUP($E33,KPI!$B:$T,MATCH(RESOURCES!R$3,KPI!$B$1:$T$1,0),FALSE),"-")</f>
        <v>0.15</v>
      </c>
      <c r="S33" s="53">
        <f>IFERROR(VLOOKUP($E33,KPI!$B:$T,MATCH(RESOURCES!S$3,KPI!$B$1:$T$1,0),FALSE),"-")</f>
        <v>0.1</v>
      </c>
      <c r="T33" s="53" t="str">
        <f>IFERROR(VLOOKUP($E33,KPI!$B:$T,MATCH(RESOURCES!T$3,KPI!$B$1:$T$1,0),FALSE),"-")</f>
        <v>-</v>
      </c>
      <c r="U33" s="53" t="str">
        <f>IFERROR(VLOOKUP($E33,KPI!$B:$T,MATCH(RESOURCES!U$3,KPI!$B$1:$T$1,0),FALSE),"-")</f>
        <v>-</v>
      </c>
      <c r="V33" s="53">
        <f>IFERROR(VLOOKUP($E33,KPI!$B:$T,MATCH(RESOURCES!V$3,KPI!$B$1:$T$1,0),FALSE),"-")</f>
        <v>0.05</v>
      </c>
      <c r="W33" s="50">
        <f>IFERROR(VLOOKUP($C33,'PRODUCTIVITY RAW'!$B:$Q,16,FALSE),"-")</f>
        <v>0.96374999999999877</v>
      </c>
      <c r="X33" s="50" t="str">
        <f>IFERROR(VLOOKUP($C33,'CHURN RAW'!$A:$H,8,FALSE),"-")</f>
        <v>-</v>
      </c>
      <c r="Y33" s="50">
        <f>IFERROR(IF(AVERAGEIFS('QA RAW'!$G:$G,'QA RAW'!$E:$E,RESOURCES!$C33)=0,"-",AVERAGEIFS('QA RAW'!$G:$G,'QA RAW'!$E:$E,RESOURCES!$C33)),"-")</f>
        <v>1</v>
      </c>
      <c r="Z33" s="50">
        <f>IFERROR(VLOOKUP($C33,'PR CALIBRATION RAW'!$K:$S,MATCH(RESOURCES!Z$3,'PR CALIBRATION RAW'!$K$1:$S$1,0),FALSE),"-")</f>
        <v>0.6</v>
      </c>
      <c r="AA33" s="50" t="str">
        <f>IFERROR(VLOOKUP($C33,'DISPUTES RAW (VQA)'!$N:$U,8,FALSE),"-")</f>
        <v>-</v>
      </c>
      <c r="AB33" s="50">
        <f>IFERROR(VLOOKUP($C33,'ATTENDANCE RAW'!$E:$R,13,FALSE),"-")</f>
        <v>1</v>
      </c>
      <c r="AC33" s="50">
        <f>IFERROR(IF($E33="Voice QA",IF(AVERAGEIFS('KC RAW'!$J:$J,'KC RAW'!$B:$B,RESOURCES!$C33)=0,"-",AVERAGEIFS('KC RAW'!$J:$J,'KC RAW'!$B:$B,RESOURCES!$C33)),IF(AVERAGEIFS('KC RAW'!$H:$H,'KC RAW'!$B:$B,RESOURCES!$C33)=0,"-",AVERAGEIFS('KC RAW'!$H:$H,'KC RAW'!$B:$B,RESOURCES!$C33))),"-")</f>
        <v>0.5</v>
      </c>
      <c r="AD33" s="50" t="str">
        <f>IFERROR(AVERAGEIFS('CE RAW'!$G:$G,'CE RAW'!$E:$E,RESOURCES!$C33),"-")</f>
        <v>-</v>
      </c>
      <c r="AE33" s="50" t="str">
        <f>IFERROR(VLOOKUP($C33,'FCR RAW'!$A:$I,7,FALSE),"-")</f>
        <v>-</v>
      </c>
      <c r="AF33" s="50" t="str">
        <f>IFERROR(IF(VLOOKUP($C33,'BONUS RAW'!$D:$I,6,FALSE)=100%,100%,"-"),"-")</f>
        <v>-</v>
      </c>
      <c r="AG33" s="52">
        <f t="shared" si="3"/>
        <v>0.89228947368421008</v>
      </c>
      <c r="AH33" s="56">
        <f t="shared" si="0"/>
        <v>95</v>
      </c>
      <c r="AI33" s="57">
        <f t="shared" si="4"/>
        <v>0.89228947368421008</v>
      </c>
      <c r="AJ33" s="57">
        <f t="shared" si="5"/>
        <v>0.84767499999999962</v>
      </c>
      <c r="AK33" s="325" t="str">
        <f>IFERROR(VLOOKUP($C33,'ATTRITION RAW'!$E:$J,6,FALSE),"-")</f>
        <v>-</v>
      </c>
      <c r="AL33" s="176" t="str">
        <f t="shared" si="6"/>
        <v>-</v>
      </c>
      <c r="AM33" s="454" t="str">
        <f>IFERROR(VLOOKUP($C33,'CHURN RAW'!$A:$G,7,FALSE),"-")</f>
        <v>-</v>
      </c>
      <c r="AN33" s="456" t="str">
        <f t="shared" si="1"/>
        <v>QUALITY - PR</v>
      </c>
    </row>
    <row r="34" spans="2:40">
      <c r="B34" s="637">
        <f t="shared" si="7"/>
        <v>31</v>
      </c>
      <c r="C34" s="93">
        <v>10072156</v>
      </c>
      <c r="D34" s="93" t="s">
        <v>122</v>
      </c>
      <c r="E34" s="88" t="s">
        <v>123</v>
      </c>
      <c r="F34" s="88" t="s">
        <v>124</v>
      </c>
      <c r="G34" s="88" t="s">
        <v>106</v>
      </c>
      <c r="H34" s="88" t="s">
        <v>85</v>
      </c>
      <c r="I34" s="88" t="s">
        <v>86</v>
      </c>
      <c r="J34" s="638"/>
      <c r="K34" s="638">
        <f t="shared" si="8"/>
        <v>43739</v>
      </c>
      <c r="L34" s="639" t="str">
        <f t="shared" si="2"/>
        <v>Expert</v>
      </c>
      <c r="M34" s="53">
        <f>IFERROR(VLOOKUP($E34,KPI!$B:$T,MATCH(RESOURCES!M$3,KPI!$B$1:$T$1,0),FALSE),"-")</f>
        <v>0.1</v>
      </c>
      <c r="N34" s="53">
        <f>IFERROR(VLOOKUP($E34,KPI!$B:$T,MATCH(RESOURCES!N$3,KPI!$B$1:$T$1,0),FALSE),"-")</f>
        <v>0.15</v>
      </c>
      <c r="O34" s="53">
        <f>IFERROR(VLOOKUP($E34,KPI!$B:$T,MATCH(RESOURCES!O$3,KPI!$B$1:$T$1,0),FALSE),"-")</f>
        <v>0.1</v>
      </c>
      <c r="P34" s="53" t="str">
        <f>IFERROR(VLOOKUP($E34,KPI!$B:$T,MATCH(RESOURCES!P$3,KPI!$B$1:$T$1,0),FALSE),"-")</f>
        <v>-</v>
      </c>
      <c r="Q34" s="53" t="str">
        <f>IFERROR(VLOOKUP($E34,KPI!$B:$T,MATCH(RESOURCES!Q$3,KPI!$B$1:$T$1,0),FALSE),"-")</f>
        <v>-</v>
      </c>
      <c r="R34" s="53">
        <f>IFERROR(VLOOKUP($E34,KPI!$B:$T,MATCH(RESOURCES!R$3,KPI!$B$1:$T$1,0),FALSE),"-")</f>
        <v>0.15</v>
      </c>
      <c r="S34" s="53">
        <f>IFERROR(VLOOKUP($E34,KPI!$B:$T,MATCH(RESOURCES!S$3,KPI!$B$1:$T$1,0),FALSE),"-")</f>
        <v>0.1</v>
      </c>
      <c r="T34" s="53">
        <f>IFERROR(VLOOKUP($E34,KPI!$B:$T,MATCH(RESOURCES!T$3,KPI!$B$1:$T$1,0),FALSE),"-")</f>
        <v>0.2</v>
      </c>
      <c r="U34" s="53">
        <f>IFERROR(VLOOKUP($E34,KPI!$B:$T,MATCH(RESOURCES!U$3,KPI!$B$1:$T$1,0),FALSE),"-")</f>
        <v>0.15</v>
      </c>
      <c r="V34" s="53">
        <f>IFERROR(VLOOKUP($E34,KPI!$B:$T,MATCH(RESOURCES!V$3,KPI!$B$1:$T$1,0),FALSE),"-")</f>
        <v>0.05</v>
      </c>
      <c r="W34" s="50">
        <f>IFERROR(VLOOKUP($C34,'PRODUCTIVITY RAW'!$B:$Q,16,FALSE),"-")</f>
        <v>0.83833333333333315</v>
      </c>
      <c r="X34" s="50">
        <f>IFERROR(VLOOKUP($C34,'CHURN RAW'!$A:$H,8,FALSE),"-")</f>
        <v>1</v>
      </c>
      <c r="Y34" s="50">
        <f>IFERROR(IF(AVERAGEIFS('QA RAW'!$G:$G,'QA RAW'!$E:$E,RESOURCES!$C34)=0,"-",AVERAGEIFS('QA RAW'!$G:$G,'QA RAW'!$E:$E,RESOURCES!$C34)),"-")</f>
        <v>1</v>
      </c>
      <c r="Z34" s="50" t="str">
        <f>IFERROR(VLOOKUP($C34,'PR CALIBRATION RAW'!$K:$S,MATCH(RESOURCES!Z$3,'PR CALIBRATION RAW'!$K$1:$S$1,0),FALSE),"-")</f>
        <v>-</v>
      </c>
      <c r="AA34" s="50" t="str">
        <f>IFERROR(VLOOKUP($C34,'DISPUTES RAW (VQA)'!$N:$U,8,FALSE),"-")</f>
        <v>-</v>
      </c>
      <c r="AB34" s="50">
        <f>IFERROR(VLOOKUP($C34,'ATTENDANCE RAW'!$E:$R,13,FALSE),"-")</f>
        <v>0.90909090909090906</v>
      </c>
      <c r="AC34" s="50">
        <f>IFERROR(IF($E34="Voice QA",IF(AVERAGEIFS('KC RAW'!$J:$J,'KC RAW'!$B:$B,RESOURCES!$C34)=0,"-",AVERAGEIFS('KC RAW'!$J:$J,'KC RAW'!$B:$B,RESOURCES!$C34)),IF(AVERAGEIFS('KC RAW'!$H:$H,'KC RAW'!$B:$B,RESOURCES!$C34)=0,"-",AVERAGEIFS('KC RAW'!$H:$H,'KC RAW'!$B:$B,RESOURCES!$C34))),"-")</f>
        <v>0.85000000000000009</v>
      </c>
      <c r="AD34" s="50">
        <f>IFERROR(AVERAGEIFS('CE RAW'!$G:$G,'CE RAW'!$E:$E,RESOURCES!$C34),"-")</f>
        <v>0.92220000000000002</v>
      </c>
      <c r="AE34" s="50">
        <f>IFERROR(VLOOKUP($C34,'FCR RAW'!$A:$I,7,FALSE),"-")</f>
        <v>1</v>
      </c>
      <c r="AF34" s="50">
        <f>IFERROR(IF(VLOOKUP($C34,'BONUS RAW'!$D:$I,6,FALSE)=100%,100%,"-"),"-")</f>
        <v>1</v>
      </c>
      <c r="AG34" s="52">
        <f t="shared" si="3"/>
        <v>0.93963696969696975</v>
      </c>
      <c r="AH34" s="56">
        <f t="shared" si="0"/>
        <v>45</v>
      </c>
      <c r="AI34" s="57">
        <f t="shared" si="4"/>
        <v>0.93645996810207333</v>
      </c>
      <c r="AJ34" s="57">
        <f t="shared" si="5"/>
        <v>0.93963696969696975</v>
      </c>
      <c r="AK34" s="325" t="str">
        <f>IFERROR(VLOOKUP($C34,'ATTRITION RAW'!$E:$J,6,FALSE),"-")</f>
        <v>-</v>
      </c>
      <c r="AL34" s="176" t="str">
        <f t="shared" si="6"/>
        <v>-</v>
      </c>
      <c r="AM34" s="454">
        <f>IFERROR(VLOOKUP($C34,'CHURN RAW'!$A:$G,7,FALSE),"-")</f>
        <v>0</v>
      </c>
      <c r="AN34" s="456" t="str">
        <f t="shared" si="1"/>
        <v>QUALITY - DESIGNERS</v>
      </c>
    </row>
    <row r="35" spans="2:40">
      <c r="B35" s="637">
        <f t="shared" si="7"/>
        <v>32</v>
      </c>
      <c r="C35" s="93">
        <v>10072301</v>
      </c>
      <c r="D35" s="93" t="s">
        <v>125</v>
      </c>
      <c r="E35" s="88" t="s">
        <v>123</v>
      </c>
      <c r="F35" s="88" t="s">
        <v>124</v>
      </c>
      <c r="G35" s="88" t="s">
        <v>106</v>
      </c>
      <c r="H35" s="88" t="s">
        <v>85</v>
      </c>
      <c r="I35" s="88" t="s">
        <v>86</v>
      </c>
      <c r="J35" s="638"/>
      <c r="K35" s="638">
        <f t="shared" si="8"/>
        <v>43739</v>
      </c>
      <c r="L35" s="639" t="str">
        <f t="shared" si="2"/>
        <v>Expert</v>
      </c>
      <c r="M35" s="53">
        <f>IFERROR(VLOOKUP($E35,KPI!$B:$T,MATCH(RESOURCES!M$3,KPI!$B$1:$T$1,0),FALSE),"-")</f>
        <v>0.1</v>
      </c>
      <c r="N35" s="53">
        <f>IFERROR(VLOOKUP($E35,KPI!$B:$T,MATCH(RESOURCES!N$3,KPI!$B$1:$T$1,0),FALSE),"-")</f>
        <v>0.15</v>
      </c>
      <c r="O35" s="53">
        <f>IFERROR(VLOOKUP($E35,KPI!$B:$T,MATCH(RESOURCES!O$3,KPI!$B$1:$T$1,0),FALSE),"-")</f>
        <v>0.1</v>
      </c>
      <c r="P35" s="53" t="str">
        <f>IFERROR(VLOOKUP($E35,KPI!$B:$T,MATCH(RESOURCES!P$3,KPI!$B$1:$T$1,0),FALSE),"-")</f>
        <v>-</v>
      </c>
      <c r="Q35" s="53" t="str">
        <f>IFERROR(VLOOKUP($E35,KPI!$B:$T,MATCH(RESOURCES!Q$3,KPI!$B$1:$T$1,0),FALSE),"-")</f>
        <v>-</v>
      </c>
      <c r="R35" s="53">
        <f>IFERROR(VLOOKUP($E35,KPI!$B:$T,MATCH(RESOURCES!R$3,KPI!$B$1:$T$1,0),FALSE),"-")</f>
        <v>0.15</v>
      </c>
      <c r="S35" s="53">
        <f>IFERROR(VLOOKUP($E35,KPI!$B:$T,MATCH(RESOURCES!S$3,KPI!$B$1:$T$1,0),FALSE),"-")</f>
        <v>0.1</v>
      </c>
      <c r="T35" s="53">
        <f>IFERROR(VLOOKUP($E35,KPI!$B:$T,MATCH(RESOURCES!T$3,KPI!$B$1:$T$1,0),FALSE),"-")</f>
        <v>0.2</v>
      </c>
      <c r="U35" s="53">
        <f>IFERROR(VLOOKUP($E35,KPI!$B:$T,MATCH(RESOURCES!U$3,KPI!$B$1:$T$1,0),FALSE),"-")</f>
        <v>0.15</v>
      </c>
      <c r="V35" s="53">
        <f>IFERROR(VLOOKUP($E35,KPI!$B:$T,MATCH(RESOURCES!V$3,KPI!$B$1:$T$1,0),FALSE),"-")</f>
        <v>0.05</v>
      </c>
      <c r="W35" s="50">
        <f>IFERROR(VLOOKUP($C35,'PRODUCTIVITY RAW'!$B:$Q,16,FALSE),"-")</f>
        <v>1</v>
      </c>
      <c r="X35" s="50">
        <f>IFERROR(VLOOKUP($C35,'CHURN RAW'!$A:$H,8,FALSE),"-")</f>
        <v>1</v>
      </c>
      <c r="Y35" s="50">
        <f>IFERROR(IF(AVERAGEIFS('QA RAW'!$G:$G,'QA RAW'!$E:$E,RESOURCES!$C35)=0,"-",AVERAGEIFS('QA RAW'!$G:$G,'QA RAW'!$E:$E,RESOURCES!$C35)),"-")</f>
        <v>1</v>
      </c>
      <c r="Z35" s="50" t="str">
        <f>IFERROR(VLOOKUP($C35,'PR CALIBRATION RAW'!$K:$S,MATCH(RESOURCES!Z$3,'PR CALIBRATION RAW'!$K$1:$S$1,0),FALSE),"-")</f>
        <v>-</v>
      </c>
      <c r="AA35" s="50" t="str">
        <f>IFERROR(VLOOKUP($C35,'DISPUTES RAW (VQA)'!$N:$U,8,FALSE),"-")</f>
        <v>-</v>
      </c>
      <c r="AB35" s="50">
        <f>IFERROR(VLOOKUP($C35,'ATTENDANCE RAW'!$E:$R,13,FALSE),"-")</f>
        <v>0.77272727272727271</v>
      </c>
      <c r="AC35" s="50">
        <f>IFERROR(IF($E35="Voice QA",IF(AVERAGEIFS('KC RAW'!$J:$J,'KC RAW'!$B:$B,RESOURCES!$C35)=0,"-",AVERAGEIFS('KC RAW'!$J:$J,'KC RAW'!$B:$B,RESOURCES!$C35)),IF(AVERAGEIFS('KC RAW'!$H:$H,'KC RAW'!$B:$B,RESOURCES!$C35)=0,"-",AVERAGEIFS('KC RAW'!$H:$H,'KC RAW'!$B:$B,RESOURCES!$C35))),"-")</f>
        <v>0.9</v>
      </c>
      <c r="AD35" s="50">
        <f>IFERROR(AVERAGEIFS('CE RAW'!$G:$G,'CE RAW'!$E:$E,RESOURCES!$C35),"-")</f>
        <v>0.98260000000000003</v>
      </c>
      <c r="AE35" s="50">
        <f>IFERROR(VLOOKUP($C35,'FCR RAW'!$A:$I,7,FALSE),"-")</f>
        <v>0.97872340425531912</v>
      </c>
      <c r="AF35" s="50" t="str">
        <f>IFERROR(IF(VLOOKUP($C35,'BONUS RAW'!$D:$I,6,FALSE)=100%,100%,"-"),"-")</f>
        <v>-</v>
      </c>
      <c r="AG35" s="52">
        <f t="shared" si="3"/>
        <v>0.94656589636567245</v>
      </c>
      <c r="AH35" s="56">
        <f t="shared" si="0"/>
        <v>39</v>
      </c>
      <c r="AI35" s="57">
        <f t="shared" si="4"/>
        <v>0.94656589636567245</v>
      </c>
      <c r="AJ35" s="57">
        <f t="shared" si="5"/>
        <v>0.89923760154738885</v>
      </c>
      <c r="AK35" s="325" t="str">
        <f>IFERROR(VLOOKUP($C35,'ATTRITION RAW'!$E:$J,6,FALSE),"-")</f>
        <v>-</v>
      </c>
      <c r="AL35" s="176" t="str">
        <f t="shared" si="6"/>
        <v>-</v>
      </c>
      <c r="AM35" s="454">
        <f>IFERROR(VLOOKUP($C35,'CHURN RAW'!$A:$G,7,FALSE),"-")</f>
        <v>0</v>
      </c>
      <c r="AN35" s="456" t="str">
        <f t="shared" si="1"/>
        <v>QUALITY - DESIGNERS</v>
      </c>
    </row>
    <row r="36" spans="2:40">
      <c r="B36" s="637">
        <f t="shared" si="7"/>
        <v>33</v>
      </c>
      <c r="C36" s="93">
        <v>10071278</v>
      </c>
      <c r="D36" s="93" t="s">
        <v>126</v>
      </c>
      <c r="E36" s="88" t="s">
        <v>123</v>
      </c>
      <c r="F36" s="88" t="s">
        <v>124</v>
      </c>
      <c r="G36" s="88" t="s">
        <v>106</v>
      </c>
      <c r="H36" s="88" t="s">
        <v>85</v>
      </c>
      <c r="I36" s="88" t="s">
        <v>86</v>
      </c>
      <c r="J36" s="638"/>
      <c r="K36" s="638">
        <f t="shared" si="8"/>
        <v>43739</v>
      </c>
      <c r="L36" s="639" t="str">
        <f t="shared" si="2"/>
        <v>Expert</v>
      </c>
      <c r="M36" s="53">
        <f>IFERROR(VLOOKUP($E36,KPI!$B:$T,MATCH(RESOURCES!M$3,KPI!$B$1:$T$1,0),FALSE),"-")</f>
        <v>0.1</v>
      </c>
      <c r="N36" s="53">
        <f>IFERROR(VLOOKUP($E36,KPI!$B:$T,MATCH(RESOURCES!N$3,KPI!$B$1:$T$1,0),FALSE),"-")</f>
        <v>0.15</v>
      </c>
      <c r="O36" s="53">
        <f>IFERROR(VLOOKUP($E36,KPI!$B:$T,MATCH(RESOURCES!O$3,KPI!$B$1:$T$1,0),FALSE),"-")</f>
        <v>0.1</v>
      </c>
      <c r="P36" s="53" t="str">
        <f>IFERROR(VLOOKUP($E36,KPI!$B:$T,MATCH(RESOURCES!P$3,KPI!$B$1:$T$1,0),FALSE),"-")</f>
        <v>-</v>
      </c>
      <c r="Q36" s="53" t="str">
        <f>IFERROR(VLOOKUP($E36,KPI!$B:$T,MATCH(RESOURCES!Q$3,KPI!$B$1:$T$1,0),FALSE),"-")</f>
        <v>-</v>
      </c>
      <c r="R36" s="53">
        <f>IFERROR(VLOOKUP($E36,KPI!$B:$T,MATCH(RESOURCES!R$3,KPI!$B$1:$T$1,0),FALSE),"-")</f>
        <v>0.15</v>
      </c>
      <c r="S36" s="53">
        <f>IFERROR(VLOOKUP($E36,KPI!$B:$T,MATCH(RESOURCES!S$3,KPI!$B$1:$T$1,0),FALSE),"-")</f>
        <v>0.1</v>
      </c>
      <c r="T36" s="53">
        <f>IFERROR(VLOOKUP($E36,KPI!$B:$T,MATCH(RESOURCES!T$3,KPI!$B$1:$T$1,0),FALSE),"-")</f>
        <v>0.2</v>
      </c>
      <c r="U36" s="53">
        <f>IFERROR(VLOOKUP($E36,KPI!$B:$T,MATCH(RESOURCES!U$3,KPI!$B$1:$T$1,0),FALSE),"-")</f>
        <v>0.15</v>
      </c>
      <c r="V36" s="53">
        <f>IFERROR(VLOOKUP($E36,KPI!$B:$T,MATCH(RESOURCES!V$3,KPI!$B$1:$T$1,0),FALSE),"-")</f>
        <v>0.05</v>
      </c>
      <c r="W36" s="50">
        <f>IFERROR(VLOOKUP($C36,'PRODUCTIVITY RAW'!$B:$Q,16,FALSE),"-")</f>
        <v>1</v>
      </c>
      <c r="X36" s="50">
        <f>IFERROR(VLOOKUP($C36,'CHURN RAW'!$A:$H,8,FALSE),"-")</f>
        <v>1</v>
      </c>
      <c r="Y36" s="50">
        <f>IFERROR(IF(AVERAGEIFS('QA RAW'!$G:$G,'QA RAW'!$E:$E,RESOURCES!$C36)=0,"-",AVERAGEIFS('QA RAW'!$G:$G,'QA RAW'!$E:$E,RESOURCES!$C36)),"-")</f>
        <v>1</v>
      </c>
      <c r="Z36" s="50" t="str">
        <f>IFERROR(VLOOKUP($C36,'PR CALIBRATION RAW'!$K:$S,MATCH(RESOURCES!Z$3,'PR CALIBRATION RAW'!$K$1:$S$1,0),FALSE),"-")</f>
        <v>-</v>
      </c>
      <c r="AA36" s="50" t="str">
        <f>IFERROR(VLOOKUP($C36,'DISPUTES RAW (VQA)'!$N:$U,8,FALSE),"-")</f>
        <v>-</v>
      </c>
      <c r="AB36" s="50">
        <f>IFERROR(VLOOKUP($C36,'ATTENDANCE RAW'!$E:$R,13,FALSE),"-")</f>
        <v>1</v>
      </c>
      <c r="AC36" s="50">
        <f>IFERROR(IF($E36="Voice QA",IF(AVERAGEIFS('KC RAW'!$J:$J,'KC RAW'!$B:$B,RESOURCES!$C36)=0,"-",AVERAGEIFS('KC RAW'!$J:$J,'KC RAW'!$B:$B,RESOURCES!$C36)),IF(AVERAGEIFS('KC RAW'!$H:$H,'KC RAW'!$B:$B,RESOURCES!$C36)=0,"-",AVERAGEIFS('KC RAW'!$H:$H,'KC RAW'!$B:$B,RESOURCES!$C36))),"-")</f>
        <v>0.75</v>
      </c>
      <c r="AD36" s="50">
        <f>IFERROR(AVERAGEIFS('CE RAW'!$G:$G,'CE RAW'!$E:$E,RESOURCES!$C36),"-")</f>
        <v>0.96819999999999995</v>
      </c>
      <c r="AE36" s="50">
        <f>IFERROR(VLOOKUP($C36,'FCR RAW'!$A:$I,7,FALSE),"-")</f>
        <v>1</v>
      </c>
      <c r="AF36" s="50" t="str">
        <f>IFERROR(IF(VLOOKUP($C36,'BONUS RAW'!$D:$I,6,FALSE)=100%,100%,"-"),"-")</f>
        <v>-</v>
      </c>
      <c r="AG36" s="52">
        <f t="shared" si="3"/>
        <v>0.96698947368421051</v>
      </c>
      <c r="AH36" s="56">
        <f t="shared" si="0"/>
        <v>24</v>
      </c>
      <c r="AI36" s="57">
        <f t="shared" si="4"/>
        <v>0.96698947368421051</v>
      </c>
      <c r="AJ36" s="57">
        <f t="shared" si="5"/>
        <v>0.91864000000000001</v>
      </c>
      <c r="AK36" s="325" t="str">
        <f>IFERROR(VLOOKUP($C36,'ATTRITION RAW'!$E:$J,6,FALSE),"-")</f>
        <v>-</v>
      </c>
      <c r="AL36" s="176" t="str">
        <f t="shared" si="6"/>
        <v>-</v>
      </c>
      <c r="AM36" s="454">
        <f>IFERROR(VLOOKUP($C36,'CHURN RAW'!$A:$G,7,FALSE),"-")</f>
        <v>0</v>
      </c>
      <c r="AN36" s="456" t="str">
        <f t="shared" si="1"/>
        <v>QUALITY - DESIGNERS</v>
      </c>
    </row>
    <row r="37" spans="2:40">
      <c r="B37" s="637">
        <f t="shared" si="7"/>
        <v>34</v>
      </c>
      <c r="C37" s="93">
        <v>10072207</v>
      </c>
      <c r="D37" s="93" t="s">
        <v>127</v>
      </c>
      <c r="E37" s="88" t="s">
        <v>123</v>
      </c>
      <c r="F37" s="88" t="s">
        <v>124</v>
      </c>
      <c r="G37" s="88" t="s">
        <v>106</v>
      </c>
      <c r="H37" s="88" t="s">
        <v>85</v>
      </c>
      <c r="I37" s="88" t="s">
        <v>86</v>
      </c>
      <c r="J37" s="638"/>
      <c r="K37" s="638">
        <f t="shared" si="8"/>
        <v>43739</v>
      </c>
      <c r="L37" s="639" t="str">
        <f t="shared" si="2"/>
        <v>Expert</v>
      </c>
      <c r="M37" s="53">
        <f>IFERROR(VLOOKUP($E37,KPI!$B:$T,MATCH(RESOURCES!M$3,KPI!$B$1:$T$1,0),FALSE),"-")</f>
        <v>0.1</v>
      </c>
      <c r="N37" s="53">
        <f>IFERROR(VLOOKUP($E37,KPI!$B:$T,MATCH(RESOURCES!N$3,KPI!$B$1:$T$1,0),FALSE),"-")</f>
        <v>0.15</v>
      </c>
      <c r="O37" s="53">
        <f>IFERROR(VLOOKUP($E37,KPI!$B:$T,MATCH(RESOURCES!O$3,KPI!$B$1:$T$1,0),FALSE),"-")</f>
        <v>0.1</v>
      </c>
      <c r="P37" s="53" t="str">
        <f>IFERROR(VLOOKUP($E37,KPI!$B:$T,MATCH(RESOURCES!P$3,KPI!$B$1:$T$1,0),FALSE),"-")</f>
        <v>-</v>
      </c>
      <c r="Q37" s="53" t="str">
        <f>IFERROR(VLOOKUP($E37,KPI!$B:$T,MATCH(RESOURCES!Q$3,KPI!$B$1:$T$1,0),FALSE),"-")</f>
        <v>-</v>
      </c>
      <c r="R37" s="53">
        <f>IFERROR(VLOOKUP($E37,KPI!$B:$T,MATCH(RESOURCES!R$3,KPI!$B$1:$T$1,0),FALSE),"-")</f>
        <v>0.15</v>
      </c>
      <c r="S37" s="53">
        <f>IFERROR(VLOOKUP($E37,KPI!$B:$T,MATCH(RESOURCES!S$3,KPI!$B$1:$T$1,0),FALSE),"-")</f>
        <v>0.1</v>
      </c>
      <c r="T37" s="53">
        <f>IFERROR(VLOOKUP($E37,KPI!$B:$T,MATCH(RESOURCES!T$3,KPI!$B$1:$T$1,0),FALSE),"-")</f>
        <v>0.2</v>
      </c>
      <c r="U37" s="53">
        <f>IFERROR(VLOOKUP($E37,KPI!$B:$T,MATCH(RESOURCES!U$3,KPI!$B$1:$T$1,0),FALSE),"-")</f>
        <v>0.15</v>
      </c>
      <c r="V37" s="53">
        <f>IFERROR(VLOOKUP($E37,KPI!$B:$T,MATCH(RESOURCES!V$3,KPI!$B$1:$T$1,0),FALSE),"-")</f>
        <v>0.05</v>
      </c>
      <c r="W37" s="50">
        <f>IFERROR(VLOOKUP($C37,'PRODUCTIVITY RAW'!$B:$Q,16,FALSE),"-")</f>
        <v>1</v>
      </c>
      <c r="X37" s="50">
        <f>IFERROR(VLOOKUP($C37,'CHURN RAW'!$A:$H,8,FALSE),"-")</f>
        <v>1</v>
      </c>
      <c r="Y37" s="50">
        <f>IFERROR(IF(AVERAGEIFS('QA RAW'!$G:$G,'QA RAW'!$E:$E,RESOURCES!$C37)=0,"-",AVERAGEIFS('QA RAW'!$G:$G,'QA RAW'!$E:$E,RESOURCES!$C37)),"-")</f>
        <v>1</v>
      </c>
      <c r="Z37" s="50" t="str">
        <f>IFERROR(VLOOKUP($C37,'PR CALIBRATION RAW'!$K:$S,MATCH(RESOURCES!Z$3,'PR CALIBRATION RAW'!$K$1:$S$1,0),FALSE),"-")</f>
        <v>-</v>
      </c>
      <c r="AA37" s="50" t="str">
        <f>IFERROR(VLOOKUP($C37,'DISPUTES RAW (VQA)'!$N:$U,8,FALSE),"-")</f>
        <v>-</v>
      </c>
      <c r="AB37" s="50">
        <f>IFERROR(VLOOKUP($C37,'ATTENDANCE RAW'!$E:$R,13,FALSE),"-")</f>
        <v>1</v>
      </c>
      <c r="AC37" s="50">
        <f>IFERROR(IF($E37="Voice QA",IF(AVERAGEIFS('KC RAW'!$J:$J,'KC RAW'!$B:$B,RESOURCES!$C37)=0,"-",AVERAGEIFS('KC RAW'!$J:$J,'KC RAW'!$B:$B,RESOURCES!$C37)),IF(AVERAGEIFS('KC RAW'!$H:$H,'KC RAW'!$B:$B,RESOURCES!$C37)=0,"-",AVERAGEIFS('KC RAW'!$H:$H,'KC RAW'!$B:$B,RESOURCES!$C37))),"-")</f>
        <v>0.8</v>
      </c>
      <c r="AD37" s="50">
        <f>IFERROR(AVERAGEIFS('CE RAW'!$G:$G,'CE RAW'!$E:$E,RESOURCES!$C37),"-")</f>
        <v>1</v>
      </c>
      <c r="AE37" s="50">
        <f>IFERROR(VLOOKUP($C37,'FCR RAW'!$A:$I,7,FALSE),"-")</f>
        <v>1</v>
      </c>
      <c r="AF37" s="50">
        <f>IFERROR(IF(VLOOKUP($C37,'BONUS RAW'!$D:$I,6,FALSE)=100%,100%,"-"),"-")</f>
        <v>1</v>
      </c>
      <c r="AG37" s="52">
        <f t="shared" si="3"/>
        <v>0.98000000000000009</v>
      </c>
      <c r="AH37" s="56">
        <f t="shared" si="0"/>
        <v>14</v>
      </c>
      <c r="AI37" s="57">
        <f t="shared" si="4"/>
        <v>0.97894736842105257</v>
      </c>
      <c r="AJ37" s="57">
        <f t="shared" si="5"/>
        <v>0.98000000000000009</v>
      </c>
      <c r="AK37" s="325" t="str">
        <f>IFERROR(VLOOKUP($C37,'ATTRITION RAW'!$E:$J,6,FALSE),"-")</f>
        <v>-</v>
      </c>
      <c r="AL37" s="176" t="str">
        <f t="shared" si="6"/>
        <v>-</v>
      </c>
      <c r="AM37" s="454">
        <f>IFERROR(VLOOKUP($C37,'CHURN RAW'!$A:$G,7,FALSE),"-")</f>
        <v>0</v>
      </c>
      <c r="AN37" s="456" t="str">
        <f t="shared" si="1"/>
        <v>QUALITY - DESIGNERS</v>
      </c>
    </row>
    <row r="38" spans="2:40">
      <c r="B38" s="637">
        <f t="shared" si="7"/>
        <v>35</v>
      </c>
      <c r="C38" s="93">
        <v>10071198</v>
      </c>
      <c r="D38" s="93" t="s">
        <v>128</v>
      </c>
      <c r="E38" s="88" t="s">
        <v>123</v>
      </c>
      <c r="F38" s="88" t="s">
        <v>124</v>
      </c>
      <c r="G38" s="88" t="s">
        <v>106</v>
      </c>
      <c r="H38" s="88" t="s">
        <v>85</v>
      </c>
      <c r="I38" s="88" t="s">
        <v>86</v>
      </c>
      <c r="J38" s="638"/>
      <c r="K38" s="638">
        <f t="shared" si="8"/>
        <v>43739</v>
      </c>
      <c r="L38" s="639" t="str">
        <f t="shared" si="2"/>
        <v>Expert</v>
      </c>
      <c r="M38" s="53">
        <f>IFERROR(VLOOKUP($E38,KPI!$B:$T,MATCH(RESOURCES!M$3,KPI!$B$1:$T$1,0),FALSE),"-")</f>
        <v>0.1</v>
      </c>
      <c r="N38" s="53">
        <f>IFERROR(VLOOKUP($E38,KPI!$B:$T,MATCH(RESOURCES!N$3,KPI!$B$1:$T$1,0),FALSE),"-")</f>
        <v>0.15</v>
      </c>
      <c r="O38" s="53">
        <f>IFERROR(VLOOKUP($E38,KPI!$B:$T,MATCH(RESOURCES!O$3,KPI!$B$1:$T$1,0),FALSE),"-")</f>
        <v>0.1</v>
      </c>
      <c r="P38" s="53" t="str">
        <f>IFERROR(VLOOKUP($E38,KPI!$B:$T,MATCH(RESOURCES!P$3,KPI!$B$1:$T$1,0),FALSE),"-")</f>
        <v>-</v>
      </c>
      <c r="Q38" s="53" t="str">
        <f>IFERROR(VLOOKUP($E38,KPI!$B:$T,MATCH(RESOURCES!Q$3,KPI!$B$1:$T$1,0),FALSE),"-")</f>
        <v>-</v>
      </c>
      <c r="R38" s="53">
        <f>IFERROR(VLOOKUP($E38,KPI!$B:$T,MATCH(RESOURCES!R$3,KPI!$B$1:$T$1,0),FALSE),"-")</f>
        <v>0.15</v>
      </c>
      <c r="S38" s="53">
        <f>IFERROR(VLOOKUP($E38,KPI!$B:$T,MATCH(RESOURCES!S$3,KPI!$B$1:$T$1,0),FALSE),"-")</f>
        <v>0.1</v>
      </c>
      <c r="T38" s="53">
        <f>IFERROR(VLOOKUP($E38,KPI!$B:$T,MATCH(RESOURCES!T$3,KPI!$B$1:$T$1,0),FALSE),"-")</f>
        <v>0.2</v>
      </c>
      <c r="U38" s="53">
        <f>IFERROR(VLOOKUP($E38,KPI!$B:$T,MATCH(RESOURCES!U$3,KPI!$B$1:$T$1,0),FALSE),"-")</f>
        <v>0.15</v>
      </c>
      <c r="V38" s="53">
        <f>IFERROR(VLOOKUP($E38,KPI!$B:$T,MATCH(RESOURCES!V$3,KPI!$B$1:$T$1,0),FALSE),"-")</f>
        <v>0.05</v>
      </c>
      <c r="W38" s="50">
        <f>IFERROR(VLOOKUP($C38,'PRODUCTIVITY RAW'!$B:$Q,16,FALSE),"-")</f>
        <v>1</v>
      </c>
      <c r="X38" s="50">
        <f>IFERROR(VLOOKUP($C38,'CHURN RAW'!$A:$H,8,FALSE),"-")</f>
        <v>1</v>
      </c>
      <c r="Y38" s="50">
        <f>IFERROR(IF(AVERAGEIFS('QA RAW'!$G:$G,'QA RAW'!$E:$E,RESOURCES!$C38)=0,"-",AVERAGEIFS('QA RAW'!$G:$G,'QA RAW'!$E:$E,RESOURCES!$C38)),"-")</f>
        <v>1</v>
      </c>
      <c r="Z38" s="50" t="str">
        <f>IFERROR(VLOOKUP($C38,'PR CALIBRATION RAW'!$K:$S,MATCH(RESOURCES!Z$3,'PR CALIBRATION RAW'!$K$1:$S$1,0),FALSE),"-")</f>
        <v>-</v>
      </c>
      <c r="AA38" s="50" t="str">
        <f>IFERROR(VLOOKUP($C38,'DISPUTES RAW (VQA)'!$N:$U,8,FALSE),"-")</f>
        <v>-</v>
      </c>
      <c r="AB38" s="50">
        <f>IFERROR(VLOOKUP($C38,'ATTENDANCE RAW'!$E:$R,13,FALSE),"-")</f>
        <v>1</v>
      </c>
      <c r="AC38" s="50">
        <f>IFERROR(IF($E38="Voice QA",IF(AVERAGEIFS('KC RAW'!$J:$J,'KC RAW'!$B:$B,RESOURCES!$C38)=0,"-",AVERAGEIFS('KC RAW'!$J:$J,'KC RAW'!$B:$B,RESOURCES!$C38)),IF(AVERAGEIFS('KC RAW'!$H:$H,'KC RAW'!$B:$B,RESOURCES!$C38)=0,"-",AVERAGEIFS('KC RAW'!$H:$H,'KC RAW'!$B:$B,RESOURCES!$C38))),"-")</f>
        <v>0.9</v>
      </c>
      <c r="AD38" s="50">
        <f>IFERROR(AVERAGEIFS('CE RAW'!$G:$G,'CE RAW'!$E:$E,RESOURCES!$C38),"-")</f>
        <v>0.95450000000000002</v>
      </c>
      <c r="AE38" s="50">
        <f>IFERROR(VLOOKUP($C38,'FCR RAW'!$A:$I,7,FALSE),"-")</f>
        <v>1</v>
      </c>
      <c r="AF38" s="50">
        <f>IFERROR(IF(VLOOKUP($C38,'BONUS RAW'!$D:$I,6,FALSE)=100%,100%,"-"),"-")</f>
        <v>1</v>
      </c>
      <c r="AG38" s="52">
        <f t="shared" si="3"/>
        <v>0.98089999999999999</v>
      </c>
      <c r="AH38" s="56">
        <f t="shared" si="0"/>
        <v>12</v>
      </c>
      <c r="AI38" s="57">
        <f t="shared" si="4"/>
        <v>0.97989473684210515</v>
      </c>
      <c r="AJ38" s="57">
        <f t="shared" si="5"/>
        <v>0.98089999999999999</v>
      </c>
      <c r="AK38" s="325" t="str">
        <f>IFERROR(VLOOKUP($C38,'ATTRITION RAW'!$E:$J,6,FALSE),"-")</f>
        <v>-</v>
      </c>
      <c r="AL38" s="176" t="str">
        <f t="shared" si="6"/>
        <v>-</v>
      </c>
      <c r="AM38" s="454">
        <f>IFERROR(VLOOKUP($C38,'CHURN RAW'!$A:$G,7,FALSE),"-")</f>
        <v>0</v>
      </c>
      <c r="AN38" s="456" t="str">
        <f t="shared" si="1"/>
        <v>QUALITY - DESIGNERS</v>
      </c>
    </row>
    <row r="39" spans="2:40">
      <c r="B39" s="637">
        <f t="shared" si="7"/>
        <v>36</v>
      </c>
      <c r="C39" s="93">
        <v>10072040</v>
      </c>
      <c r="D39" s="93" t="s">
        <v>129</v>
      </c>
      <c r="E39" s="88" t="s">
        <v>123</v>
      </c>
      <c r="F39" s="88" t="s">
        <v>124</v>
      </c>
      <c r="G39" s="88" t="s">
        <v>106</v>
      </c>
      <c r="H39" s="88" t="s">
        <v>85</v>
      </c>
      <c r="I39" s="88" t="s">
        <v>86</v>
      </c>
      <c r="J39" s="638"/>
      <c r="K39" s="638">
        <f t="shared" si="8"/>
        <v>43739</v>
      </c>
      <c r="L39" s="639" t="str">
        <f t="shared" si="2"/>
        <v>Expert</v>
      </c>
      <c r="M39" s="53">
        <f>IFERROR(VLOOKUP($E39,KPI!$B:$T,MATCH(RESOURCES!M$3,KPI!$B$1:$T$1,0),FALSE),"-")</f>
        <v>0.1</v>
      </c>
      <c r="N39" s="627"/>
      <c r="O39" s="627"/>
      <c r="P39" s="53" t="str">
        <f>IFERROR(VLOOKUP($E39,KPI!$B:$T,MATCH(RESOURCES!P$3,KPI!$B$1:$T$1,0),FALSE),"-")</f>
        <v>-</v>
      </c>
      <c r="Q39" s="53" t="str">
        <f>IFERROR(VLOOKUP($E39,KPI!$B:$T,MATCH(RESOURCES!Q$3,KPI!$B$1:$T$1,0),FALSE),"-")</f>
        <v>-</v>
      </c>
      <c r="R39" s="53">
        <f>IFERROR(VLOOKUP($E39,KPI!$B:$T,MATCH(RESOURCES!R$3,KPI!$B$1:$T$1,0),FALSE),"-")</f>
        <v>0.15</v>
      </c>
      <c r="S39" s="53">
        <f>IFERROR(VLOOKUP($E39,KPI!$B:$T,MATCH(RESOURCES!S$3,KPI!$B$1:$T$1,0),FALSE),"-")</f>
        <v>0.1</v>
      </c>
      <c r="T39" s="53">
        <f>IFERROR(VLOOKUP($E39,KPI!$B:$T,MATCH(RESOURCES!T$3,KPI!$B$1:$T$1,0),FALSE),"-")</f>
        <v>0.2</v>
      </c>
      <c r="U39" s="53">
        <f>IFERROR(VLOOKUP($E39,KPI!$B:$T,MATCH(RESOURCES!U$3,KPI!$B$1:$T$1,0),FALSE),"-")</f>
        <v>0.15</v>
      </c>
      <c r="V39" s="53">
        <f>IFERROR(VLOOKUP($E39,KPI!$B:$T,MATCH(RESOURCES!V$3,KPI!$B$1:$T$1,0),FALSE),"-")</f>
        <v>0.05</v>
      </c>
      <c r="W39" s="50">
        <f>IFERROR(VLOOKUP($C39,'PRODUCTIVITY RAW'!$B:$Q,16,FALSE),"-")</f>
        <v>0.74928571428571411</v>
      </c>
      <c r="X39" s="50" t="str">
        <f>IFERROR(VLOOKUP($C39,'CHURN RAW'!$A:$H,8,FALSE),"-")</f>
        <v>NO SCORE</v>
      </c>
      <c r="Y39" s="50" t="str">
        <f>IFERROR(IF(AVERAGEIFS('QA RAW'!$G:$G,'QA RAW'!$E:$E,RESOURCES!$C39)=0,"-",AVERAGEIFS('QA RAW'!$G:$G,'QA RAW'!$E:$E,RESOURCES!$C39)),"-")</f>
        <v>-</v>
      </c>
      <c r="Z39" s="50" t="str">
        <f>IFERROR(VLOOKUP($C39,'PR CALIBRATION RAW'!$K:$S,MATCH(RESOURCES!Z$3,'PR CALIBRATION RAW'!$K$1:$S$1,0),FALSE),"-")</f>
        <v>-</v>
      </c>
      <c r="AA39" s="50" t="str">
        <f>IFERROR(VLOOKUP($C39,'DISPUTES RAW (VQA)'!$N:$U,8,FALSE),"-")</f>
        <v>-</v>
      </c>
      <c r="AB39" s="50">
        <f>IFERROR(VLOOKUP($C39,'ATTENDANCE RAW'!$E:$R,13,FALSE),"-")</f>
        <v>0.90909090909090906</v>
      </c>
      <c r="AC39" s="50">
        <f>IFERROR(IF($E39="Voice QA",IF(AVERAGEIFS('KC RAW'!$J:$J,'KC RAW'!$B:$B,RESOURCES!$C39)=0,"-",AVERAGEIFS('KC RAW'!$J:$J,'KC RAW'!$B:$B,RESOURCES!$C39)),IF(AVERAGEIFS('KC RAW'!$H:$H,'KC RAW'!$B:$B,RESOURCES!$C39)=0,"-",AVERAGEIFS('KC RAW'!$H:$H,'KC RAW'!$B:$B,RESOURCES!$C39))),"-")</f>
        <v>0.75</v>
      </c>
      <c r="AD39" s="50">
        <f>IFERROR(AVERAGEIFS('CE RAW'!$G:$G,'CE RAW'!$E:$E,RESOURCES!$C39),"-")</f>
        <v>1</v>
      </c>
      <c r="AE39" s="50">
        <f>IFERROR(VLOOKUP($C39,'FCR RAW'!$A:$I,7,FALSE),"-")</f>
        <v>0.96666666666666667</v>
      </c>
      <c r="AF39" s="50" t="str">
        <f>IFERROR(IF(VLOOKUP($C39,'BONUS RAW'!$D:$I,6,FALSE)=100%,100%,"-"),"-")</f>
        <v>-</v>
      </c>
      <c r="AG39" s="52">
        <f t="shared" si="3"/>
        <v>0.90184601113172524</v>
      </c>
      <c r="AH39" s="56">
        <f t="shared" si="0"/>
        <v>83</v>
      </c>
      <c r="AI39" s="57">
        <f t="shared" si="4"/>
        <v>0.90184601113172524</v>
      </c>
      <c r="AJ39" s="57">
        <f t="shared" si="5"/>
        <v>0.84172294372294354</v>
      </c>
      <c r="AK39" s="325" t="str">
        <f>IFERROR(VLOOKUP($C39,'ATTRITION RAW'!$E:$J,6,FALSE),"-")</f>
        <v>-</v>
      </c>
      <c r="AL39" s="176" t="str">
        <f t="shared" si="6"/>
        <v>-</v>
      </c>
      <c r="AM39" s="454" t="str">
        <f>IFERROR(VLOOKUP($C39,'CHURN RAW'!$A:$G,7,FALSE),"-")</f>
        <v>-</v>
      </c>
      <c r="AN39" s="456" t="str">
        <f t="shared" si="1"/>
        <v>QUALITY - DESIGNERS</v>
      </c>
    </row>
    <row r="40" spans="2:40">
      <c r="B40" s="637">
        <f t="shared" si="7"/>
        <v>37</v>
      </c>
      <c r="C40" s="93">
        <v>10071199</v>
      </c>
      <c r="D40" s="93" t="s">
        <v>130</v>
      </c>
      <c r="E40" s="88" t="s">
        <v>123</v>
      </c>
      <c r="F40" s="88" t="s">
        <v>124</v>
      </c>
      <c r="G40" s="88" t="s">
        <v>106</v>
      </c>
      <c r="H40" s="88" t="s">
        <v>85</v>
      </c>
      <c r="I40" s="88" t="s">
        <v>86</v>
      </c>
      <c r="J40" s="638"/>
      <c r="K40" s="638">
        <f t="shared" si="8"/>
        <v>43739</v>
      </c>
      <c r="L40" s="639" t="str">
        <f t="shared" si="2"/>
        <v>Expert</v>
      </c>
      <c r="M40" s="53">
        <f>IFERROR(VLOOKUP($E40,KPI!$B:$T,MATCH(RESOURCES!M$3,KPI!$B$1:$T$1,0),FALSE),"-")</f>
        <v>0.1</v>
      </c>
      <c r="N40" s="53">
        <f>IFERROR(VLOOKUP($E40,KPI!$B:$T,MATCH(RESOURCES!N$3,KPI!$B$1:$T$1,0),FALSE),"-")</f>
        <v>0.15</v>
      </c>
      <c r="O40" s="53">
        <f>IFERROR(VLOOKUP($E40,KPI!$B:$T,MATCH(RESOURCES!O$3,KPI!$B$1:$T$1,0),FALSE),"-")</f>
        <v>0.1</v>
      </c>
      <c r="P40" s="53" t="str">
        <f>IFERROR(VLOOKUP($E40,KPI!$B:$T,MATCH(RESOURCES!P$3,KPI!$B$1:$T$1,0),FALSE),"-")</f>
        <v>-</v>
      </c>
      <c r="Q40" s="53" t="str">
        <f>IFERROR(VLOOKUP($E40,KPI!$B:$T,MATCH(RESOURCES!Q$3,KPI!$B$1:$T$1,0),FALSE),"-")</f>
        <v>-</v>
      </c>
      <c r="R40" s="53">
        <f>IFERROR(VLOOKUP($E40,KPI!$B:$T,MATCH(RESOURCES!R$3,KPI!$B$1:$T$1,0),FALSE),"-")</f>
        <v>0.15</v>
      </c>
      <c r="S40" s="53">
        <f>IFERROR(VLOOKUP($E40,KPI!$B:$T,MATCH(RESOURCES!S$3,KPI!$B$1:$T$1,0),FALSE),"-")</f>
        <v>0.1</v>
      </c>
      <c r="T40" s="53">
        <f>IFERROR(VLOOKUP($E40,KPI!$B:$T,MATCH(RESOURCES!T$3,KPI!$B$1:$T$1,0),FALSE),"-")</f>
        <v>0.2</v>
      </c>
      <c r="U40" s="53">
        <f>IFERROR(VLOOKUP($E40,KPI!$B:$T,MATCH(RESOURCES!U$3,KPI!$B$1:$T$1,0),FALSE),"-")</f>
        <v>0.15</v>
      </c>
      <c r="V40" s="53">
        <f>IFERROR(VLOOKUP($E40,KPI!$B:$T,MATCH(RESOURCES!V$3,KPI!$B$1:$T$1,0),FALSE),"-")</f>
        <v>0.05</v>
      </c>
      <c r="W40" s="50">
        <f>IFERROR(VLOOKUP($C40,'PRODUCTIVITY RAW'!$B:$Q,16,FALSE),"-")</f>
        <v>1</v>
      </c>
      <c r="X40" s="50">
        <f>IFERROR(VLOOKUP($C40,'CHURN RAW'!$A:$H,8,FALSE),"-")</f>
        <v>1</v>
      </c>
      <c r="Y40" s="50">
        <f>IFERROR(IF(AVERAGEIFS('QA RAW'!$G:$G,'QA RAW'!$E:$E,RESOURCES!$C40)=0,"-",AVERAGEIFS('QA RAW'!$G:$G,'QA RAW'!$E:$E,RESOURCES!$C40)),"-")</f>
        <v>1</v>
      </c>
      <c r="Z40" s="50" t="str">
        <f>IFERROR(VLOOKUP($C40,'PR CALIBRATION RAW'!$K:$S,MATCH(RESOURCES!Z$3,'PR CALIBRATION RAW'!$K$1:$S$1,0),FALSE),"-")</f>
        <v>-</v>
      </c>
      <c r="AA40" s="50" t="str">
        <f>IFERROR(VLOOKUP($C40,'DISPUTES RAW (VQA)'!$N:$U,8,FALSE),"-")</f>
        <v>-</v>
      </c>
      <c r="AB40" s="50">
        <f>IFERROR(VLOOKUP($C40,'ATTENDANCE RAW'!$E:$R,13,FALSE),"-")</f>
        <v>1</v>
      </c>
      <c r="AC40" s="50">
        <f>IFERROR(IF($E40="Voice QA",IF(AVERAGEIFS('KC RAW'!$J:$J,'KC RAW'!$B:$B,RESOURCES!$C40)=0,"-",AVERAGEIFS('KC RAW'!$J:$J,'KC RAW'!$B:$B,RESOURCES!$C40)),IF(AVERAGEIFS('KC RAW'!$H:$H,'KC RAW'!$B:$B,RESOURCES!$C40)=0,"-",AVERAGEIFS('KC RAW'!$H:$H,'KC RAW'!$B:$B,RESOURCES!$C40))),"-")</f>
        <v>0.85000000000000009</v>
      </c>
      <c r="AD40" s="50">
        <f>IFERROR(AVERAGEIFS('CE RAW'!$G:$G,'CE RAW'!$E:$E,RESOURCES!$C40),"-")</f>
        <v>0.99050000000000005</v>
      </c>
      <c r="AE40" s="50">
        <f>IFERROR(VLOOKUP($C40,'FCR RAW'!$A:$I,7,FALSE),"-")</f>
        <v>1</v>
      </c>
      <c r="AF40" s="50" t="str">
        <f>IFERROR(IF(VLOOKUP($C40,'BONUS RAW'!$D:$I,6,FALSE)=100%,100%,"-"),"-")</f>
        <v>-</v>
      </c>
      <c r="AG40" s="52">
        <f t="shared" si="3"/>
        <v>0.98221052631578942</v>
      </c>
      <c r="AH40" s="56">
        <f t="shared" si="0"/>
        <v>10</v>
      </c>
      <c r="AI40" s="57">
        <f t="shared" si="4"/>
        <v>0.98221052631578942</v>
      </c>
      <c r="AJ40" s="57">
        <f t="shared" si="5"/>
        <v>0.93310000000000004</v>
      </c>
      <c r="AK40" s="325" t="str">
        <f>IFERROR(VLOOKUP($C40,'ATTRITION RAW'!$E:$J,6,FALSE),"-")</f>
        <v>-</v>
      </c>
      <c r="AL40" s="176" t="str">
        <f t="shared" si="6"/>
        <v>-</v>
      </c>
      <c r="AM40" s="454">
        <f>IFERROR(VLOOKUP($C40,'CHURN RAW'!$A:$G,7,FALSE),"-")</f>
        <v>0</v>
      </c>
      <c r="AN40" s="456" t="str">
        <f t="shared" si="1"/>
        <v>QUALITY - DESIGNERS</v>
      </c>
    </row>
    <row r="41" spans="2:40">
      <c r="B41" s="637">
        <f t="shared" si="7"/>
        <v>38</v>
      </c>
      <c r="C41" s="93">
        <v>10072452</v>
      </c>
      <c r="D41" s="93" t="s">
        <v>131</v>
      </c>
      <c r="E41" s="88" t="s">
        <v>123</v>
      </c>
      <c r="F41" s="88" t="s">
        <v>124</v>
      </c>
      <c r="G41" s="88" t="s">
        <v>106</v>
      </c>
      <c r="H41" s="88" t="s">
        <v>85</v>
      </c>
      <c r="I41" s="88" t="s">
        <v>86</v>
      </c>
      <c r="J41" s="638"/>
      <c r="K41" s="638">
        <f t="shared" si="8"/>
        <v>43739</v>
      </c>
      <c r="L41" s="639" t="str">
        <f t="shared" si="2"/>
        <v>Expert</v>
      </c>
      <c r="M41" s="53">
        <f>IFERROR(VLOOKUP($E41,KPI!$B:$T,MATCH(RESOURCES!M$3,KPI!$B$1:$T$1,0),FALSE),"-")</f>
        <v>0.1</v>
      </c>
      <c r="N41" s="627"/>
      <c r="O41" s="627"/>
      <c r="P41" s="53" t="str">
        <f>IFERROR(VLOOKUP($E41,KPI!$B:$T,MATCH(RESOURCES!P$3,KPI!$B$1:$T$1,0),FALSE),"-")</f>
        <v>-</v>
      </c>
      <c r="Q41" s="53" t="str">
        <f>IFERROR(VLOOKUP($E41,KPI!$B:$T,MATCH(RESOURCES!Q$3,KPI!$B$1:$T$1,0),FALSE),"-")</f>
        <v>-</v>
      </c>
      <c r="R41" s="53">
        <f>IFERROR(VLOOKUP($E41,KPI!$B:$T,MATCH(RESOURCES!R$3,KPI!$B$1:$T$1,0),FALSE),"-")</f>
        <v>0.15</v>
      </c>
      <c r="S41" s="53">
        <f>IFERROR(VLOOKUP($E41,KPI!$B:$T,MATCH(RESOURCES!S$3,KPI!$B$1:$T$1,0),FALSE),"-")</f>
        <v>0.1</v>
      </c>
      <c r="T41" s="53">
        <f>IFERROR(VLOOKUP($E41,KPI!$B:$T,MATCH(RESOURCES!T$3,KPI!$B$1:$T$1,0),FALSE),"-")</f>
        <v>0.2</v>
      </c>
      <c r="U41" s="53">
        <f>IFERROR(VLOOKUP($E41,KPI!$B:$T,MATCH(RESOURCES!U$3,KPI!$B$1:$T$1,0),FALSE),"-")</f>
        <v>0.15</v>
      </c>
      <c r="V41" s="53">
        <f>IFERROR(VLOOKUP($E41,KPI!$B:$T,MATCH(RESOURCES!V$3,KPI!$B$1:$T$1,0),FALSE),"-")</f>
        <v>0.05</v>
      </c>
      <c r="W41" s="50">
        <f>IFERROR(VLOOKUP($C41,'PRODUCTIVITY RAW'!$B:$Q,16,FALSE),"-")</f>
        <v>0.92394736842105274</v>
      </c>
      <c r="X41" s="50" t="str">
        <f>IFERROR(VLOOKUP($C41,'CHURN RAW'!$A:$H,8,FALSE),"-")</f>
        <v>NO SCORE</v>
      </c>
      <c r="Y41" s="50" t="str">
        <f>IFERROR(IF(AVERAGEIFS('QA RAW'!$G:$G,'QA RAW'!$E:$E,RESOURCES!$C41)=0,"-",AVERAGEIFS('QA RAW'!$G:$G,'QA RAW'!$E:$E,RESOURCES!$C41)),"-")</f>
        <v>-</v>
      </c>
      <c r="Z41" s="50" t="str">
        <f>IFERROR(VLOOKUP($C41,'PR CALIBRATION RAW'!$K:$S,MATCH(RESOURCES!Z$3,'PR CALIBRATION RAW'!$K$1:$S$1,0),FALSE),"-")</f>
        <v>-</v>
      </c>
      <c r="AA41" s="50" t="str">
        <f>IFERROR(VLOOKUP($C41,'DISPUTES RAW (VQA)'!$N:$U,8,FALSE),"-")</f>
        <v>-</v>
      </c>
      <c r="AB41" s="50">
        <f>IFERROR(VLOOKUP($C41,'ATTENDANCE RAW'!$E:$R,13,FALSE),"-")</f>
        <v>1</v>
      </c>
      <c r="AC41" s="50">
        <f>IFERROR(IF($E41="Voice QA",IF(AVERAGEIFS('KC RAW'!$J:$J,'KC RAW'!$B:$B,RESOURCES!$C41)=0,"-",AVERAGEIFS('KC RAW'!$J:$J,'KC RAW'!$B:$B,RESOURCES!$C41)),IF(AVERAGEIFS('KC RAW'!$H:$H,'KC RAW'!$B:$B,RESOURCES!$C41)=0,"-",AVERAGEIFS('KC RAW'!$H:$H,'KC RAW'!$B:$B,RESOURCES!$C41))),"-")</f>
        <v>0.8</v>
      </c>
      <c r="AD41" s="50">
        <f>IFERROR(AVERAGEIFS('CE RAW'!$G:$G,'CE RAW'!$E:$E,RESOURCES!$C41),"-")</f>
        <v>0.99380000000000002</v>
      </c>
      <c r="AE41" s="50">
        <f>IFERROR(VLOOKUP($C41,'FCR RAW'!$A:$I,7,FALSE),"-")</f>
        <v>1</v>
      </c>
      <c r="AF41" s="50">
        <f>IFERROR(IF(VLOOKUP($C41,'BONUS RAW'!$D:$I,6,FALSE)=100%,100%,"-"),"-")</f>
        <v>1</v>
      </c>
      <c r="AG41" s="52">
        <f t="shared" si="3"/>
        <v>0.96153964912280709</v>
      </c>
      <c r="AH41" s="56">
        <f t="shared" si="0"/>
        <v>26</v>
      </c>
      <c r="AI41" s="57">
        <f t="shared" si="4"/>
        <v>0.95879248120300753</v>
      </c>
      <c r="AJ41" s="57">
        <f t="shared" si="5"/>
        <v>0.96153964912280709</v>
      </c>
      <c r="AK41" s="325" t="str">
        <f>IFERROR(VLOOKUP($C41,'ATTRITION RAW'!$E:$J,6,FALSE),"-")</f>
        <v>-</v>
      </c>
      <c r="AL41" s="176" t="str">
        <f t="shared" si="6"/>
        <v>-</v>
      </c>
      <c r="AM41" s="454" t="str">
        <f>IFERROR(VLOOKUP($C41,'CHURN RAW'!$A:$G,7,FALSE),"-")</f>
        <v>-</v>
      </c>
      <c r="AN41" s="456" t="str">
        <f t="shared" si="1"/>
        <v>QUALITY - DESIGNERS</v>
      </c>
    </row>
    <row r="42" spans="2:40">
      <c r="B42" s="637">
        <f t="shared" si="7"/>
        <v>39</v>
      </c>
      <c r="C42" s="93">
        <v>10071178</v>
      </c>
      <c r="D42" s="93" t="s">
        <v>132</v>
      </c>
      <c r="E42" s="88" t="s">
        <v>123</v>
      </c>
      <c r="F42" s="88" t="s">
        <v>124</v>
      </c>
      <c r="G42" s="88" t="s">
        <v>106</v>
      </c>
      <c r="H42" s="88" t="s">
        <v>85</v>
      </c>
      <c r="I42" s="88" t="s">
        <v>86</v>
      </c>
      <c r="J42" s="638"/>
      <c r="K42" s="638">
        <f t="shared" si="8"/>
        <v>43739</v>
      </c>
      <c r="L42" s="639" t="str">
        <f t="shared" si="2"/>
        <v>Expert</v>
      </c>
      <c r="M42" s="53">
        <f>IFERROR(VLOOKUP($E42,KPI!$B:$T,MATCH(RESOURCES!M$3,KPI!$B$1:$T$1,0),FALSE),"-")</f>
        <v>0.1</v>
      </c>
      <c r="N42" s="627"/>
      <c r="O42" s="627"/>
      <c r="P42" s="53" t="str">
        <f>IFERROR(VLOOKUP($E42,KPI!$B:$T,MATCH(RESOURCES!P$3,KPI!$B$1:$T$1,0),FALSE),"-")</f>
        <v>-</v>
      </c>
      <c r="Q42" s="53" t="str">
        <f>IFERROR(VLOOKUP($E42,KPI!$B:$T,MATCH(RESOURCES!Q$3,KPI!$B$1:$T$1,0),FALSE),"-")</f>
        <v>-</v>
      </c>
      <c r="R42" s="53">
        <f>IFERROR(VLOOKUP($E42,KPI!$B:$T,MATCH(RESOURCES!R$3,KPI!$B$1:$T$1,0),FALSE),"-")</f>
        <v>0.15</v>
      </c>
      <c r="S42" s="53">
        <f>IFERROR(VLOOKUP($E42,KPI!$B:$T,MATCH(RESOURCES!S$3,KPI!$B$1:$T$1,0),FALSE),"-")</f>
        <v>0.1</v>
      </c>
      <c r="T42" s="53">
        <f>IFERROR(VLOOKUP($E42,KPI!$B:$T,MATCH(RESOURCES!T$3,KPI!$B$1:$T$1,0),FALSE),"-")</f>
        <v>0.2</v>
      </c>
      <c r="U42" s="53">
        <f>IFERROR(VLOOKUP($E42,KPI!$B:$T,MATCH(RESOURCES!U$3,KPI!$B$1:$T$1,0),FALSE),"-")</f>
        <v>0.15</v>
      </c>
      <c r="V42" s="53">
        <f>IFERROR(VLOOKUP($E42,KPI!$B:$T,MATCH(RESOURCES!V$3,KPI!$B$1:$T$1,0),FALSE),"-")</f>
        <v>0.05</v>
      </c>
      <c r="W42" s="50">
        <f>IFERROR(VLOOKUP($C42,'PRODUCTIVITY RAW'!$B:$Q,16,FALSE),"-")</f>
        <v>1</v>
      </c>
      <c r="X42" s="50" t="str">
        <f>IFERROR(VLOOKUP($C42,'CHURN RAW'!$A:$H,8,FALSE),"-")</f>
        <v>NO SCORE</v>
      </c>
      <c r="Y42" s="50" t="str">
        <f>IFERROR(IF(AVERAGEIFS('QA RAW'!$G:$G,'QA RAW'!$E:$E,RESOURCES!$C42)=0,"-",AVERAGEIFS('QA RAW'!$G:$G,'QA RAW'!$E:$E,RESOURCES!$C42)),"-")</f>
        <v>-</v>
      </c>
      <c r="Z42" s="50" t="str">
        <f>IFERROR(VLOOKUP($C42,'PR CALIBRATION RAW'!$K:$S,MATCH(RESOURCES!Z$3,'PR CALIBRATION RAW'!$K$1:$S$1,0),FALSE),"-")</f>
        <v>-</v>
      </c>
      <c r="AA42" s="50" t="str">
        <f>IFERROR(VLOOKUP($C42,'DISPUTES RAW (VQA)'!$N:$U,8,FALSE),"-")</f>
        <v>-</v>
      </c>
      <c r="AB42" s="50">
        <f>IFERROR(VLOOKUP($C42,'ATTENDANCE RAW'!$E:$R,13,FALSE),"-")</f>
        <v>1</v>
      </c>
      <c r="AC42" s="50">
        <f>IFERROR(IF($E42="Voice QA",IF(AVERAGEIFS('KC RAW'!$J:$J,'KC RAW'!$B:$B,RESOURCES!$C42)=0,"-",AVERAGEIFS('KC RAW'!$J:$J,'KC RAW'!$B:$B,RESOURCES!$C42)),IF(AVERAGEIFS('KC RAW'!$H:$H,'KC RAW'!$B:$B,RESOURCES!$C42)=0,"-",AVERAGEIFS('KC RAW'!$H:$H,'KC RAW'!$B:$B,RESOURCES!$C42))),"-")</f>
        <v>0.95</v>
      </c>
      <c r="AD42" s="50">
        <f>IFERROR(AVERAGEIFS('CE RAW'!$G:$G,'CE RAW'!$E:$E,RESOURCES!$C42),"-")</f>
        <v>1</v>
      </c>
      <c r="AE42" s="50">
        <f>IFERROR(VLOOKUP($C42,'FCR RAW'!$A:$I,7,FALSE),"-")</f>
        <v>0.95890410958904104</v>
      </c>
      <c r="AF42" s="50" t="str">
        <f>IFERROR(IF(VLOOKUP($C42,'BONUS RAW'!$D:$I,6,FALSE)=100%,100%,"-"),"-")</f>
        <v>-</v>
      </c>
      <c r="AG42" s="52">
        <f t="shared" si="3"/>
        <v>0.98405088062622292</v>
      </c>
      <c r="AH42" s="56">
        <f t="shared" si="0"/>
        <v>9</v>
      </c>
      <c r="AI42" s="57">
        <f t="shared" si="4"/>
        <v>0.98405088062622292</v>
      </c>
      <c r="AJ42" s="57">
        <f t="shared" si="5"/>
        <v>0.91844748858447467</v>
      </c>
      <c r="AK42" s="325" t="str">
        <f>IFERROR(VLOOKUP($C42,'ATTRITION RAW'!$E:$J,6,FALSE),"-")</f>
        <v>-</v>
      </c>
      <c r="AL42" s="176" t="str">
        <f t="shared" si="6"/>
        <v>-</v>
      </c>
      <c r="AM42" s="454" t="str">
        <f>IFERROR(VLOOKUP($C42,'CHURN RAW'!$A:$G,7,FALSE),"-")</f>
        <v>-</v>
      </c>
      <c r="AN42" s="456" t="str">
        <f t="shared" si="1"/>
        <v>QUALITY - DESIGNERS</v>
      </c>
    </row>
    <row r="43" spans="2:40">
      <c r="B43" s="637">
        <f t="shared" si="7"/>
        <v>40</v>
      </c>
      <c r="C43" s="93">
        <v>10071439</v>
      </c>
      <c r="D43" s="93" t="s">
        <v>133</v>
      </c>
      <c r="E43" s="88" t="s">
        <v>123</v>
      </c>
      <c r="F43" s="88" t="s">
        <v>124</v>
      </c>
      <c r="G43" s="88" t="s">
        <v>106</v>
      </c>
      <c r="H43" s="88" t="s">
        <v>85</v>
      </c>
      <c r="I43" s="88" t="s">
        <v>86</v>
      </c>
      <c r="J43" s="638"/>
      <c r="K43" s="638">
        <f t="shared" si="8"/>
        <v>43739</v>
      </c>
      <c r="L43" s="639" t="str">
        <f t="shared" si="2"/>
        <v>Expert</v>
      </c>
      <c r="M43" s="53">
        <f>IFERROR(VLOOKUP($E43,KPI!$B:$T,MATCH(RESOURCES!M$3,KPI!$B$1:$T$1,0),FALSE),"-")</f>
        <v>0.1</v>
      </c>
      <c r="N43" s="627"/>
      <c r="O43" s="627"/>
      <c r="P43" s="53" t="str">
        <f>IFERROR(VLOOKUP($E43,KPI!$B:$T,MATCH(RESOURCES!P$3,KPI!$B$1:$T$1,0),FALSE),"-")</f>
        <v>-</v>
      </c>
      <c r="Q43" s="53" t="str">
        <f>IFERROR(VLOOKUP($E43,KPI!$B:$T,MATCH(RESOURCES!Q$3,KPI!$B$1:$T$1,0),FALSE),"-")</f>
        <v>-</v>
      </c>
      <c r="R43" s="53">
        <f>IFERROR(VLOOKUP($E43,KPI!$B:$T,MATCH(RESOURCES!R$3,KPI!$B$1:$T$1,0),FALSE),"-")</f>
        <v>0.15</v>
      </c>
      <c r="S43" s="53">
        <f>IFERROR(VLOOKUP($E43,KPI!$B:$T,MATCH(RESOURCES!S$3,KPI!$B$1:$T$1,0),FALSE),"-")</f>
        <v>0.1</v>
      </c>
      <c r="T43" s="53">
        <f>IFERROR(VLOOKUP($E43,KPI!$B:$T,MATCH(RESOURCES!T$3,KPI!$B$1:$T$1,0),FALSE),"-")</f>
        <v>0.2</v>
      </c>
      <c r="U43" s="53">
        <f>IFERROR(VLOOKUP($E43,KPI!$B:$T,MATCH(RESOURCES!U$3,KPI!$B$1:$T$1,0),FALSE),"-")</f>
        <v>0.15</v>
      </c>
      <c r="V43" s="53">
        <f>IFERROR(VLOOKUP($E43,KPI!$B:$T,MATCH(RESOURCES!V$3,KPI!$B$1:$T$1,0),FALSE),"-")</f>
        <v>0.05</v>
      </c>
      <c r="W43" s="50">
        <f>IFERROR(VLOOKUP($C43,'PRODUCTIVITY RAW'!$B:$Q,16,FALSE),"-")</f>
        <v>1</v>
      </c>
      <c r="X43" s="50" t="str">
        <f>IFERROR(VLOOKUP($C43,'CHURN RAW'!$A:$H,8,FALSE),"-")</f>
        <v>NO SCORE</v>
      </c>
      <c r="Y43" s="50" t="str">
        <f>IFERROR(IF(AVERAGEIFS('QA RAW'!$G:$G,'QA RAW'!$E:$E,RESOURCES!$C43)=0,"-",AVERAGEIFS('QA RAW'!$G:$G,'QA RAW'!$E:$E,RESOURCES!$C43)),"-")</f>
        <v>-</v>
      </c>
      <c r="Z43" s="50" t="str">
        <f>IFERROR(VLOOKUP($C43,'PR CALIBRATION RAW'!$K:$S,MATCH(RESOURCES!Z$3,'PR CALIBRATION RAW'!$K$1:$S$1,0),FALSE),"-")</f>
        <v>-</v>
      </c>
      <c r="AA43" s="50" t="str">
        <f>IFERROR(VLOOKUP($C43,'DISPUTES RAW (VQA)'!$N:$U,8,FALSE),"-")</f>
        <v>-</v>
      </c>
      <c r="AB43" s="50">
        <f>IFERROR(VLOOKUP($C43,'ATTENDANCE RAW'!$E:$R,13,FALSE),"-")</f>
        <v>1</v>
      </c>
      <c r="AC43" s="50">
        <f>IFERROR(IF($E43="Voice QA",IF(AVERAGEIFS('KC RAW'!$J:$J,'KC RAW'!$B:$B,RESOURCES!$C43)=0,"-",AVERAGEIFS('KC RAW'!$J:$J,'KC RAW'!$B:$B,RESOURCES!$C43)),IF(AVERAGEIFS('KC RAW'!$H:$H,'KC RAW'!$B:$B,RESOURCES!$C43)=0,"-",AVERAGEIFS('KC RAW'!$H:$H,'KC RAW'!$B:$B,RESOURCES!$C43))),"-")</f>
        <v>0.85</v>
      </c>
      <c r="AD43" s="50">
        <f>IFERROR(AVERAGEIFS('CE RAW'!$G:$G,'CE RAW'!$E:$E,RESOURCES!$C43),"-")</f>
        <v>0.99170000000000003</v>
      </c>
      <c r="AE43" s="50">
        <f>IFERROR(VLOOKUP($C43,'FCR RAW'!$A:$I,7,FALSE),"-")</f>
        <v>1</v>
      </c>
      <c r="AF43" s="50" t="str">
        <f>IFERROR(IF(VLOOKUP($C43,'BONUS RAW'!$D:$I,6,FALSE)=100%,100%,"-"),"-")</f>
        <v>-</v>
      </c>
      <c r="AG43" s="52">
        <f t="shared" si="3"/>
        <v>0.97619999999999996</v>
      </c>
      <c r="AH43" s="56">
        <f t="shared" si="0"/>
        <v>16</v>
      </c>
      <c r="AI43" s="57">
        <f t="shared" si="4"/>
        <v>0.97619999999999996</v>
      </c>
      <c r="AJ43" s="57">
        <f t="shared" si="5"/>
        <v>0.91111999999999993</v>
      </c>
      <c r="AK43" s="325" t="str">
        <f>IFERROR(VLOOKUP($C43,'ATTRITION RAW'!$E:$J,6,FALSE),"-")</f>
        <v>-</v>
      </c>
      <c r="AL43" s="176" t="str">
        <f t="shared" si="6"/>
        <v>-</v>
      </c>
      <c r="AM43" s="454" t="str">
        <f>IFERROR(VLOOKUP($C43,'CHURN RAW'!$A:$G,7,FALSE),"-")</f>
        <v>-</v>
      </c>
      <c r="AN43" s="456" t="str">
        <f t="shared" si="1"/>
        <v>QUALITY - DESIGNERS</v>
      </c>
    </row>
    <row r="44" spans="2:40">
      <c r="B44" s="637">
        <f t="shared" si="7"/>
        <v>41</v>
      </c>
      <c r="C44" s="93">
        <v>10071314</v>
      </c>
      <c r="D44" s="93" t="s">
        <v>134</v>
      </c>
      <c r="E44" s="88" t="s">
        <v>123</v>
      </c>
      <c r="F44" s="88" t="s">
        <v>124</v>
      </c>
      <c r="G44" s="88" t="s">
        <v>106</v>
      </c>
      <c r="H44" s="88" t="s">
        <v>85</v>
      </c>
      <c r="I44" s="88" t="s">
        <v>86</v>
      </c>
      <c r="J44" s="638"/>
      <c r="K44" s="638">
        <f t="shared" si="8"/>
        <v>43739</v>
      </c>
      <c r="L44" s="639" t="str">
        <f t="shared" si="2"/>
        <v>Expert</v>
      </c>
      <c r="M44" s="53">
        <f>IFERROR(VLOOKUP($E44,KPI!$B:$T,MATCH(RESOURCES!M$3,KPI!$B$1:$T$1,0),FALSE),"-")</f>
        <v>0.1</v>
      </c>
      <c r="N44" s="53">
        <f>IFERROR(VLOOKUP($E44,KPI!$B:$T,MATCH(RESOURCES!N$3,KPI!$B$1:$T$1,0),FALSE),"-")</f>
        <v>0.15</v>
      </c>
      <c r="O44" s="53">
        <f>IFERROR(VLOOKUP($E44,KPI!$B:$T,MATCH(RESOURCES!O$3,KPI!$B$1:$T$1,0),FALSE),"-")</f>
        <v>0.1</v>
      </c>
      <c r="P44" s="53" t="str">
        <f>IFERROR(VLOOKUP($E44,KPI!$B:$T,MATCH(RESOURCES!P$3,KPI!$B$1:$T$1,0),FALSE),"-")</f>
        <v>-</v>
      </c>
      <c r="Q44" s="53" t="str">
        <f>IFERROR(VLOOKUP($E44,KPI!$B:$T,MATCH(RESOURCES!Q$3,KPI!$B$1:$T$1,0),FALSE),"-")</f>
        <v>-</v>
      </c>
      <c r="R44" s="53">
        <f>IFERROR(VLOOKUP($E44,KPI!$B:$T,MATCH(RESOURCES!R$3,KPI!$B$1:$T$1,0),FALSE),"-")</f>
        <v>0.15</v>
      </c>
      <c r="S44" s="53">
        <f>IFERROR(VLOOKUP($E44,KPI!$B:$T,MATCH(RESOURCES!S$3,KPI!$B$1:$T$1,0),FALSE),"-")</f>
        <v>0.1</v>
      </c>
      <c r="T44" s="53">
        <f>IFERROR(VLOOKUP($E44,KPI!$B:$T,MATCH(RESOURCES!T$3,KPI!$B$1:$T$1,0),FALSE),"-")</f>
        <v>0.2</v>
      </c>
      <c r="U44" s="53">
        <f>IFERROR(VLOOKUP($E44,KPI!$B:$T,MATCH(RESOURCES!U$3,KPI!$B$1:$T$1,0),FALSE),"-")</f>
        <v>0.15</v>
      </c>
      <c r="V44" s="53">
        <f>IFERROR(VLOOKUP($E44,KPI!$B:$T,MATCH(RESOURCES!V$3,KPI!$B$1:$T$1,0),FALSE),"-")</f>
        <v>0.05</v>
      </c>
      <c r="W44" s="50">
        <f>IFERROR(VLOOKUP($C44,'PRODUCTIVITY RAW'!$B:$Q,16,FALSE),"-")</f>
        <v>0.996789473684211</v>
      </c>
      <c r="X44" s="50">
        <f>IFERROR(VLOOKUP($C44,'CHURN RAW'!$A:$H,8,FALSE),"-")</f>
        <v>1</v>
      </c>
      <c r="Y44" s="50">
        <f>IFERROR(IF(AVERAGEIFS('QA RAW'!$G:$G,'QA RAW'!$E:$E,RESOURCES!$C44)=0,"-",AVERAGEIFS('QA RAW'!$G:$G,'QA RAW'!$E:$E,RESOURCES!$C44)),"-")</f>
        <v>1</v>
      </c>
      <c r="Z44" s="50" t="str">
        <f>IFERROR(VLOOKUP($C44,'PR CALIBRATION RAW'!$K:$S,MATCH(RESOURCES!Z$3,'PR CALIBRATION RAW'!$K$1:$S$1,0),FALSE),"-")</f>
        <v>-</v>
      </c>
      <c r="AA44" s="50" t="str">
        <f>IFERROR(VLOOKUP($C44,'DISPUTES RAW (VQA)'!$N:$U,8,FALSE),"-")</f>
        <v>-</v>
      </c>
      <c r="AB44" s="50">
        <f>IFERROR(VLOOKUP($C44,'ATTENDANCE RAW'!$E:$R,13,FALSE),"-")</f>
        <v>0.86363636363636365</v>
      </c>
      <c r="AC44" s="50">
        <f>IFERROR(IF($E44="Voice QA",IF(AVERAGEIFS('KC RAW'!$J:$J,'KC RAW'!$B:$B,RESOURCES!$C44)=0,"-",AVERAGEIFS('KC RAW'!$J:$J,'KC RAW'!$B:$B,RESOURCES!$C44)),IF(AVERAGEIFS('KC RAW'!$H:$H,'KC RAW'!$B:$B,RESOURCES!$C44)=0,"-",AVERAGEIFS('KC RAW'!$H:$H,'KC RAW'!$B:$B,RESOURCES!$C44))),"-")</f>
        <v>1</v>
      </c>
      <c r="AD44" s="50">
        <f>IFERROR(AVERAGEIFS('CE RAW'!$G:$G,'CE RAW'!$E:$E,RESOURCES!$C44),"-")</f>
        <v>0.96</v>
      </c>
      <c r="AE44" s="50">
        <f>IFERROR(VLOOKUP($C44,'FCR RAW'!$A:$I,7,FALSE),"-")</f>
        <v>1</v>
      </c>
      <c r="AF44" s="50" t="str">
        <f>IFERROR(IF(VLOOKUP($C44,'BONUS RAW'!$D:$I,6,FALSE)=100%,100%,"-"),"-")</f>
        <v>-</v>
      </c>
      <c r="AG44" s="52">
        <f t="shared" si="3"/>
        <v>0.96970989675144803</v>
      </c>
      <c r="AH44" s="56">
        <f t="shared" si="0"/>
        <v>21</v>
      </c>
      <c r="AI44" s="57">
        <f t="shared" si="4"/>
        <v>0.96970989675144803</v>
      </c>
      <c r="AJ44" s="57">
        <f t="shared" si="5"/>
        <v>0.92122440191387567</v>
      </c>
      <c r="AK44" s="325" t="str">
        <f>IFERROR(VLOOKUP($C44,'ATTRITION RAW'!$E:$J,6,FALSE),"-")</f>
        <v>-</v>
      </c>
      <c r="AL44" s="176" t="str">
        <f t="shared" si="6"/>
        <v>-</v>
      </c>
      <c r="AM44" s="454">
        <f>IFERROR(VLOOKUP($C44,'CHURN RAW'!$A:$G,7,FALSE),"-")</f>
        <v>0</v>
      </c>
      <c r="AN44" s="456" t="str">
        <f t="shared" si="1"/>
        <v>QUALITY - DESIGNERS</v>
      </c>
    </row>
    <row r="45" spans="2:40">
      <c r="B45" s="637">
        <f t="shared" si="7"/>
        <v>42</v>
      </c>
      <c r="C45" s="93">
        <v>10071904</v>
      </c>
      <c r="D45" s="93" t="s">
        <v>135</v>
      </c>
      <c r="E45" s="88" t="s">
        <v>123</v>
      </c>
      <c r="F45" s="88" t="s">
        <v>124</v>
      </c>
      <c r="G45" s="88" t="s">
        <v>106</v>
      </c>
      <c r="H45" s="88" t="s">
        <v>85</v>
      </c>
      <c r="I45" s="88" t="s">
        <v>86</v>
      </c>
      <c r="J45" s="638"/>
      <c r="K45" s="638">
        <f t="shared" si="8"/>
        <v>43739</v>
      </c>
      <c r="L45" s="639" t="str">
        <f t="shared" si="2"/>
        <v>Expert</v>
      </c>
      <c r="M45" s="53">
        <f>IFERROR(VLOOKUP($E45,KPI!$B:$T,MATCH(RESOURCES!M$3,KPI!$B$1:$T$1,0),FALSE),"-")</f>
        <v>0.1</v>
      </c>
      <c r="N45" s="53">
        <f>IFERROR(VLOOKUP($E45,KPI!$B:$T,MATCH(RESOURCES!N$3,KPI!$B$1:$T$1,0),FALSE),"-")</f>
        <v>0.15</v>
      </c>
      <c r="O45" s="53">
        <f>IFERROR(VLOOKUP($E45,KPI!$B:$T,MATCH(RESOURCES!O$3,KPI!$B$1:$T$1,0),FALSE),"-")</f>
        <v>0.1</v>
      </c>
      <c r="P45" s="53" t="str">
        <f>IFERROR(VLOOKUP($E45,KPI!$B:$T,MATCH(RESOURCES!P$3,KPI!$B$1:$T$1,0),FALSE),"-")</f>
        <v>-</v>
      </c>
      <c r="Q45" s="53" t="str">
        <f>IFERROR(VLOOKUP($E45,KPI!$B:$T,MATCH(RESOURCES!Q$3,KPI!$B$1:$T$1,0),FALSE),"-")</f>
        <v>-</v>
      </c>
      <c r="R45" s="53">
        <f>IFERROR(VLOOKUP($E45,KPI!$B:$T,MATCH(RESOURCES!R$3,KPI!$B$1:$T$1,0),FALSE),"-")</f>
        <v>0.15</v>
      </c>
      <c r="S45" s="53">
        <f>IFERROR(VLOOKUP($E45,KPI!$B:$T,MATCH(RESOURCES!S$3,KPI!$B$1:$T$1,0),FALSE),"-")</f>
        <v>0.1</v>
      </c>
      <c r="T45" s="53">
        <f>IFERROR(VLOOKUP($E45,KPI!$B:$T,MATCH(RESOURCES!T$3,KPI!$B$1:$T$1,0),FALSE),"-")</f>
        <v>0.2</v>
      </c>
      <c r="U45" s="53">
        <f>IFERROR(VLOOKUP($E45,KPI!$B:$T,MATCH(RESOURCES!U$3,KPI!$B$1:$T$1,0),FALSE),"-")</f>
        <v>0.15</v>
      </c>
      <c r="V45" s="53">
        <f>IFERROR(VLOOKUP($E45,KPI!$B:$T,MATCH(RESOURCES!V$3,KPI!$B$1:$T$1,0),FALSE),"-")</f>
        <v>0.05</v>
      </c>
      <c r="W45" s="50">
        <f>IFERROR(VLOOKUP($C45,'PRODUCTIVITY RAW'!$B:$Q,16,FALSE),"-")</f>
        <v>1</v>
      </c>
      <c r="X45" s="50">
        <f>IFERROR(VLOOKUP($C45,'CHURN RAW'!$A:$H,8,FALSE),"-")</f>
        <v>1</v>
      </c>
      <c r="Y45" s="50">
        <f>IFERROR(IF(AVERAGEIFS('QA RAW'!$G:$G,'QA RAW'!$E:$E,RESOURCES!$C45)=0,"-",AVERAGEIFS('QA RAW'!$G:$G,'QA RAW'!$E:$E,RESOURCES!$C45)),"-")</f>
        <v>1</v>
      </c>
      <c r="Z45" s="50" t="str">
        <f>IFERROR(VLOOKUP($C45,'PR CALIBRATION RAW'!$K:$S,MATCH(RESOURCES!Z$3,'PR CALIBRATION RAW'!$K$1:$S$1,0),FALSE),"-")</f>
        <v>-</v>
      </c>
      <c r="AA45" s="50" t="str">
        <f>IFERROR(VLOOKUP($C45,'DISPUTES RAW (VQA)'!$N:$U,8,FALSE),"-")</f>
        <v>-</v>
      </c>
      <c r="AB45" s="50">
        <f>IFERROR(VLOOKUP($C45,'ATTENDANCE RAW'!$E:$R,13,FALSE),"-")</f>
        <v>1</v>
      </c>
      <c r="AC45" s="50">
        <f>IFERROR(IF($E45="Voice QA",IF(AVERAGEIFS('KC RAW'!$J:$J,'KC RAW'!$B:$B,RESOURCES!$C45)=0,"-",AVERAGEIFS('KC RAW'!$J:$J,'KC RAW'!$B:$B,RESOURCES!$C45)),IF(AVERAGEIFS('KC RAW'!$H:$H,'KC RAW'!$B:$B,RESOURCES!$C45)=0,"-",AVERAGEIFS('KC RAW'!$H:$H,'KC RAW'!$B:$B,RESOURCES!$C45))),"-")</f>
        <v>0.9</v>
      </c>
      <c r="AD45" s="50">
        <f>IFERROR(AVERAGEIFS('CE RAW'!$G:$G,'CE RAW'!$E:$E,RESOURCES!$C45),"-")</f>
        <v>0.96109999999999995</v>
      </c>
      <c r="AE45" s="50">
        <f>IFERROR(VLOOKUP($C45,'FCR RAW'!$A:$I,7,FALSE),"-")</f>
        <v>1</v>
      </c>
      <c r="AF45" s="50" t="str">
        <f>IFERROR(IF(VLOOKUP($C45,'BONUS RAW'!$D:$I,6,FALSE)=100%,100%,"-"),"-")</f>
        <v>-</v>
      </c>
      <c r="AG45" s="52">
        <f t="shared" si="3"/>
        <v>0.98128421052631565</v>
      </c>
      <c r="AH45" s="56">
        <f t="shared" si="0"/>
        <v>11</v>
      </c>
      <c r="AI45" s="57">
        <f t="shared" si="4"/>
        <v>0.98128421052631565</v>
      </c>
      <c r="AJ45" s="57">
        <f t="shared" si="5"/>
        <v>0.93221999999999994</v>
      </c>
      <c r="AK45" s="325" t="str">
        <f>IFERROR(VLOOKUP($C45,'ATTRITION RAW'!$E:$J,6,FALSE),"-")</f>
        <v>-</v>
      </c>
      <c r="AL45" s="176" t="str">
        <f t="shared" si="6"/>
        <v>-</v>
      </c>
      <c r="AM45" s="454">
        <f>IFERROR(VLOOKUP($C45,'CHURN RAW'!$A:$G,7,FALSE),"-")</f>
        <v>0</v>
      </c>
      <c r="AN45" s="456" t="str">
        <f t="shared" si="1"/>
        <v>QUALITY - DESIGNERS</v>
      </c>
    </row>
    <row r="46" spans="2:40">
      <c r="B46" s="637">
        <f t="shared" si="7"/>
        <v>43</v>
      </c>
      <c r="C46" s="93">
        <v>10072201</v>
      </c>
      <c r="D46" s="93" t="s">
        <v>136</v>
      </c>
      <c r="E46" s="88" t="s">
        <v>83</v>
      </c>
      <c r="F46" s="88" t="s">
        <v>137</v>
      </c>
      <c r="G46" s="88" t="s">
        <v>85</v>
      </c>
      <c r="H46" s="88" t="s">
        <v>85</v>
      </c>
      <c r="I46" s="88" t="s">
        <v>86</v>
      </c>
      <c r="J46" s="638"/>
      <c r="K46" s="638">
        <f t="shared" si="8"/>
        <v>43739</v>
      </c>
      <c r="L46" s="639" t="str">
        <f t="shared" si="2"/>
        <v>Expert</v>
      </c>
      <c r="M46" s="53">
        <f>IFERROR(VLOOKUP($E46,KPI!$B:$T,MATCH(RESOURCES!M$3,KPI!$B$1:$T$1,0),FALSE),"-")</f>
        <v>0.25</v>
      </c>
      <c r="N46" s="53">
        <f>IFERROR(VLOOKUP($E46,KPI!$B:$T,MATCH(RESOURCES!N$3,KPI!$B$1:$T$1,0),FALSE),"-")</f>
        <v>0.25</v>
      </c>
      <c r="O46" s="53">
        <f>IFERROR(VLOOKUP($E46,KPI!$B:$T,MATCH(RESOURCES!O$3,KPI!$B$1:$T$1,0),FALSE),"-")</f>
        <v>0.1</v>
      </c>
      <c r="P46" s="53" t="str">
        <f>IFERROR(VLOOKUP($E46,KPI!$B:$T,MATCH(RESOURCES!P$3,KPI!$B$1:$T$1,0),FALSE),"-")</f>
        <v>-</v>
      </c>
      <c r="Q46" s="53" t="str">
        <f>IFERROR(VLOOKUP($E46,KPI!$B:$T,MATCH(RESOURCES!Q$3,KPI!$B$1:$T$1,0),FALSE),"-")</f>
        <v>-</v>
      </c>
      <c r="R46" s="53">
        <f>IFERROR(VLOOKUP($E46,KPI!$B:$T,MATCH(RESOURCES!R$3,KPI!$B$1:$T$1,0),FALSE),"-")</f>
        <v>0.15</v>
      </c>
      <c r="S46" s="53">
        <f>IFERROR(VLOOKUP($E46,KPI!$B:$T,MATCH(RESOURCES!S$3,KPI!$B$1:$T$1,0),FALSE),"-")</f>
        <v>0.2</v>
      </c>
      <c r="T46" s="53" t="str">
        <f>IFERROR(VLOOKUP($E46,KPI!$B:$T,MATCH(RESOURCES!T$3,KPI!$B$1:$T$1,0),FALSE),"-")</f>
        <v>-</v>
      </c>
      <c r="U46" s="53" t="str">
        <f>IFERROR(VLOOKUP($E46,KPI!$B:$T,MATCH(RESOURCES!U$3,KPI!$B$1:$T$1,0),FALSE),"-")</f>
        <v>-</v>
      </c>
      <c r="V46" s="53">
        <f>IFERROR(VLOOKUP($E46,KPI!$B:$T,MATCH(RESOURCES!V$3,KPI!$B$1:$T$1,0),FALSE),"-")</f>
        <v>0.05</v>
      </c>
      <c r="W46" s="50">
        <f>IFERROR(VLOOKUP($C46,'PRODUCTIVITY RAW'!$B:$Q,16,FALSE),"-")</f>
        <v>1</v>
      </c>
      <c r="X46" s="50">
        <f>IFERROR(VLOOKUP($C46,'CHURN RAW'!$A:$H,8,FALSE),"-")</f>
        <v>1</v>
      </c>
      <c r="Y46" s="50">
        <f>IFERROR(IF(AVERAGEIFS('QA RAW'!$G:$G,'QA RAW'!$E:$E,RESOURCES!$C46)=0,"-",AVERAGEIFS('QA RAW'!$G:$G,'QA RAW'!$E:$E,RESOURCES!$C46)),"-")</f>
        <v>1</v>
      </c>
      <c r="Z46" s="50" t="str">
        <f>IFERROR(VLOOKUP($C46,'PR CALIBRATION RAW'!$K:$S,MATCH(RESOURCES!Z$3,'PR CALIBRATION RAW'!$K$1:$S$1,0),FALSE),"-")</f>
        <v>-</v>
      </c>
      <c r="AA46" s="50" t="str">
        <f>IFERROR(VLOOKUP($C46,'DISPUTES RAW (VQA)'!$N:$U,8,FALSE),"-")</f>
        <v>-</v>
      </c>
      <c r="AB46" s="50">
        <f>IFERROR(VLOOKUP($C46,'ATTENDANCE RAW'!$E:$R,13,FALSE),"-")</f>
        <v>1</v>
      </c>
      <c r="AC46" s="50">
        <f>IFERROR(IF($E46="Voice QA",IF(AVERAGEIFS('KC RAW'!$J:$J,'KC RAW'!$B:$B,RESOURCES!$C46)=0,"-",AVERAGEIFS('KC RAW'!$J:$J,'KC RAW'!$B:$B,RESOURCES!$C46)),IF(AVERAGEIFS('KC RAW'!$H:$H,'KC RAW'!$B:$B,RESOURCES!$C46)=0,"-",AVERAGEIFS('KC RAW'!$H:$H,'KC RAW'!$B:$B,RESOURCES!$C46))),"-")</f>
        <v>0.55000000000000004</v>
      </c>
      <c r="AD46" s="50" t="str">
        <f>IFERROR(AVERAGEIFS('CE RAW'!$G:$G,'CE RAW'!$E:$E,RESOURCES!$C46),"-")</f>
        <v>-</v>
      </c>
      <c r="AE46" s="50" t="str">
        <f>IFERROR(VLOOKUP($C46,'FCR RAW'!$A:$I,7,FALSE),"-")</f>
        <v>-</v>
      </c>
      <c r="AF46" s="50">
        <f>IFERROR(IF(VLOOKUP($C46,'BONUS RAW'!$D:$I,6,FALSE)=100%,100%,"-"),"-")</f>
        <v>1</v>
      </c>
      <c r="AG46" s="52">
        <f t="shared" si="3"/>
        <v>0.91</v>
      </c>
      <c r="AH46" s="56">
        <f t="shared" si="0"/>
        <v>71</v>
      </c>
      <c r="AI46" s="57">
        <f t="shared" si="4"/>
        <v>0.90526315789473688</v>
      </c>
      <c r="AJ46" s="57">
        <f t="shared" si="5"/>
        <v>0.91</v>
      </c>
      <c r="AK46" s="325" t="str">
        <f>IFERROR(VLOOKUP($C46,'ATTRITION RAW'!$E:$J,6,FALSE),"-")</f>
        <v>-</v>
      </c>
      <c r="AL46" s="176" t="str">
        <f t="shared" si="6"/>
        <v>-</v>
      </c>
      <c r="AM46" s="454">
        <f>IFERROR(VLOOKUP($C46,'CHURN RAW'!$A:$G,7,FALSE),"-")</f>
        <v>0</v>
      </c>
      <c r="AN46" s="456" t="str">
        <f t="shared" si="1"/>
        <v>QUALITY - DESIGNERS</v>
      </c>
    </row>
    <row r="47" spans="2:40">
      <c r="B47" s="637">
        <f t="shared" si="7"/>
        <v>44</v>
      </c>
      <c r="C47" s="93">
        <v>10071631</v>
      </c>
      <c r="D47" s="93" t="s">
        <v>138</v>
      </c>
      <c r="E47" s="88" t="s">
        <v>83</v>
      </c>
      <c r="F47" s="88" t="s">
        <v>137</v>
      </c>
      <c r="G47" s="88" t="s">
        <v>85</v>
      </c>
      <c r="H47" s="88" t="s">
        <v>85</v>
      </c>
      <c r="I47" s="88" t="s">
        <v>86</v>
      </c>
      <c r="J47" s="638"/>
      <c r="K47" s="638">
        <f t="shared" si="8"/>
        <v>43739</v>
      </c>
      <c r="L47" s="639" t="str">
        <f t="shared" si="2"/>
        <v>Expert</v>
      </c>
      <c r="M47" s="53">
        <f>IFERROR(VLOOKUP($E47,KPI!$B:$T,MATCH(RESOURCES!M$3,KPI!$B$1:$T$1,0),FALSE),"-")</f>
        <v>0.25</v>
      </c>
      <c r="N47" s="53">
        <f>IFERROR(VLOOKUP($E47,KPI!$B:$T,MATCH(RESOURCES!N$3,KPI!$B$1:$T$1,0),FALSE),"-")</f>
        <v>0.25</v>
      </c>
      <c r="O47" s="53">
        <f>IFERROR(VLOOKUP($E47,KPI!$B:$T,MATCH(RESOURCES!O$3,KPI!$B$1:$T$1,0),FALSE),"-")</f>
        <v>0.1</v>
      </c>
      <c r="P47" s="53" t="str">
        <f>IFERROR(VLOOKUP($E47,KPI!$B:$T,MATCH(RESOURCES!P$3,KPI!$B$1:$T$1,0),FALSE),"-")</f>
        <v>-</v>
      </c>
      <c r="Q47" s="53" t="str">
        <f>IFERROR(VLOOKUP($E47,KPI!$B:$T,MATCH(RESOURCES!Q$3,KPI!$B$1:$T$1,0),FALSE),"-")</f>
        <v>-</v>
      </c>
      <c r="R47" s="53">
        <f>IFERROR(VLOOKUP($E47,KPI!$B:$T,MATCH(RESOURCES!R$3,KPI!$B$1:$T$1,0),FALSE),"-")</f>
        <v>0.15</v>
      </c>
      <c r="S47" s="53">
        <f>IFERROR(VLOOKUP($E47,KPI!$B:$T,MATCH(RESOURCES!S$3,KPI!$B$1:$T$1,0),FALSE),"-")</f>
        <v>0.2</v>
      </c>
      <c r="T47" s="53" t="str">
        <f>IFERROR(VLOOKUP($E47,KPI!$B:$T,MATCH(RESOURCES!T$3,KPI!$B$1:$T$1,0),FALSE),"-")</f>
        <v>-</v>
      </c>
      <c r="U47" s="53" t="str">
        <f>IFERROR(VLOOKUP($E47,KPI!$B:$T,MATCH(RESOURCES!U$3,KPI!$B$1:$T$1,0),FALSE),"-")</f>
        <v>-</v>
      </c>
      <c r="V47" s="53">
        <f>IFERROR(VLOOKUP($E47,KPI!$B:$T,MATCH(RESOURCES!V$3,KPI!$B$1:$T$1,0),FALSE),"-")</f>
        <v>0.05</v>
      </c>
      <c r="W47" s="50">
        <f>IFERROR(VLOOKUP($C47,'PRODUCTIVITY RAW'!$B:$Q,16,FALSE),"-")</f>
        <v>1</v>
      </c>
      <c r="X47" s="50">
        <f>IFERROR(VLOOKUP($C47,'CHURN RAW'!$A:$H,8,FALSE),"-")</f>
        <v>0.9</v>
      </c>
      <c r="Y47" s="50">
        <f>IFERROR(IF(AVERAGEIFS('QA RAW'!$G:$G,'QA RAW'!$E:$E,RESOURCES!$C47)=0,"-",AVERAGEIFS('QA RAW'!$G:$G,'QA RAW'!$E:$E,RESOURCES!$C47)),"-")</f>
        <v>0.99790000000000001</v>
      </c>
      <c r="Z47" s="50" t="str">
        <f>IFERROR(VLOOKUP($C47,'PR CALIBRATION RAW'!$K:$S,MATCH(RESOURCES!Z$3,'PR CALIBRATION RAW'!$K$1:$S$1,0),FALSE),"-")</f>
        <v>-</v>
      </c>
      <c r="AA47" s="50" t="str">
        <f>IFERROR(VLOOKUP($C47,'DISPUTES RAW (VQA)'!$N:$U,8,FALSE),"-")</f>
        <v>-</v>
      </c>
      <c r="AB47" s="50">
        <f>IFERROR(VLOOKUP($C47,'ATTENDANCE RAW'!$E:$R,13,FALSE),"-")</f>
        <v>1</v>
      </c>
      <c r="AC47" s="50">
        <f>IFERROR(IF($E47="Voice QA",IF(AVERAGEIFS('KC RAW'!$J:$J,'KC RAW'!$B:$B,RESOURCES!$C47)=0,"-",AVERAGEIFS('KC RAW'!$J:$J,'KC RAW'!$B:$B,RESOURCES!$C47)),IF(AVERAGEIFS('KC RAW'!$H:$H,'KC RAW'!$B:$B,RESOURCES!$C47)=0,"-",AVERAGEIFS('KC RAW'!$H:$H,'KC RAW'!$B:$B,RESOURCES!$C47))),"-")</f>
        <v>0.7</v>
      </c>
      <c r="AD47" s="50" t="str">
        <f>IFERROR(AVERAGEIFS('CE RAW'!$G:$G,'CE RAW'!$E:$E,RESOURCES!$C47),"-")</f>
        <v>-</v>
      </c>
      <c r="AE47" s="50" t="str">
        <f>IFERROR(VLOOKUP($C47,'FCR RAW'!$A:$I,7,FALSE),"-")</f>
        <v>-</v>
      </c>
      <c r="AF47" s="50">
        <f>IFERROR(IF(VLOOKUP($C47,'BONUS RAW'!$D:$I,6,FALSE)=100%,100%,"-"),"-")</f>
        <v>1</v>
      </c>
      <c r="AG47" s="52">
        <f t="shared" si="3"/>
        <v>0.9147900000000001</v>
      </c>
      <c r="AH47" s="56">
        <f t="shared" si="0"/>
        <v>64</v>
      </c>
      <c r="AI47" s="57">
        <f t="shared" si="4"/>
        <v>0.91030526315789484</v>
      </c>
      <c r="AJ47" s="57">
        <f t="shared" si="5"/>
        <v>0.9147900000000001</v>
      </c>
      <c r="AK47" s="325" t="str">
        <f>IFERROR(VLOOKUP($C47,'ATTRITION RAW'!$E:$J,6,FALSE),"-")</f>
        <v>-</v>
      </c>
      <c r="AL47" s="176" t="str">
        <f t="shared" si="6"/>
        <v>-</v>
      </c>
      <c r="AM47" s="454">
        <f>IFERROR(VLOOKUP($C47,'CHURN RAW'!$A:$G,7,FALSE),"-")</f>
        <v>0.13039999999999999</v>
      </c>
      <c r="AN47" s="456" t="str">
        <f t="shared" si="1"/>
        <v>QUALITY - DESIGNERS</v>
      </c>
    </row>
    <row r="48" spans="2:40">
      <c r="B48" s="637">
        <f t="shared" si="7"/>
        <v>45</v>
      </c>
      <c r="C48" s="93">
        <v>10072157</v>
      </c>
      <c r="D48" s="93" t="s">
        <v>139</v>
      </c>
      <c r="E48" s="88" t="s">
        <v>83</v>
      </c>
      <c r="F48" s="88" t="s">
        <v>137</v>
      </c>
      <c r="G48" s="88" t="s">
        <v>85</v>
      </c>
      <c r="H48" s="88" t="s">
        <v>85</v>
      </c>
      <c r="I48" s="88" t="s">
        <v>86</v>
      </c>
      <c r="J48" s="638"/>
      <c r="K48" s="638">
        <f t="shared" si="8"/>
        <v>43739</v>
      </c>
      <c r="L48" s="639" t="str">
        <f t="shared" si="2"/>
        <v>Expert</v>
      </c>
      <c r="M48" s="53">
        <f>IFERROR(VLOOKUP($E48,KPI!$B:$T,MATCH(RESOURCES!M$3,KPI!$B$1:$T$1,0),FALSE),"-")</f>
        <v>0.25</v>
      </c>
      <c r="N48" s="53">
        <f>IFERROR(VLOOKUP($E48,KPI!$B:$T,MATCH(RESOURCES!N$3,KPI!$B$1:$T$1,0),FALSE),"-")</f>
        <v>0.25</v>
      </c>
      <c r="O48" s="53">
        <f>IFERROR(VLOOKUP($E48,KPI!$B:$T,MATCH(RESOURCES!O$3,KPI!$B$1:$T$1,0),FALSE),"-")</f>
        <v>0.1</v>
      </c>
      <c r="P48" s="53" t="str">
        <f>IFERROR(VLOOKUP($E48,KPI!$B:$T,MATCH(RESOURCES!P$3,KPI!$B$1:$T$1,0),FALSE),"-")</f>
        <v>-</v>
      </c>
      <c r="Q48" s="53" t="str">
        <f>IFERROR(VLOOKUP($E48,KPI!$B:$T,MATCH(RESOURCES!Q$3,KPI!$B$1:$T$1,0),FALSE),"-")</f>
        <v>-</v>
      </c>
      <c r="R48" s="53">
        <f>IFERROR(VLOOKUP($E48,KPI!$B:$T,MATCH(RESOURCES!R$3,KPI!$B$1:$T$1,0),FALSE),"-")</f>
        <v>0.15</v>
      </c>
      <c r="S48" s="53">
        <f>IFERROR(VLOOKUP($E48,KPI!$B:$T,MATCH(RESOURCES!S$3,KPI!$B$1:$T$1,0),FALSE),"-")</f>
        <v>0.2</v>
      </c>
      <c r="T48" s="53" t="str">
        <f>IFERROR(VLOOKUP($E48,KPI!$B:$T,MATCH(RESOURCES!T$3,KPI!$B$1:$T$1,0),FALSE),"-")</f>
        <v>-</v>
      </c>
      <c r="U48" s="53" t="str">
        <f>IFERROR(VLOOKUP($E48,KPI!$B:$T,MATCH(RESOURCES!U$3,KPI!$B$1:$T$1,0),FALSE),"-")</f>
        <v>-</v>
      </c>
      <c r="V48" s="53">
        <f>IFERROR(VLOOKUP($E48,KPI!$B:$T,MATCH(RESOURCES!V$3,KPI!$B$1:$T$1,0),FALSE),"-")</f>
        <v>0.05</v>
      </c>
      <c r="W48" s="50">
        <f>IFERROR(VLOOKUP($C48,'PRODUCTIVITY RAW'!$B:$Q,16,FALSE),"-")</f>
        <v>1</v>
      </c>
      <c r="X48" s="50">
        <f>IFERROR(VLOOKUP($C48,'CHURN RAW'!$A:$H,8,FALSE),"-")</f>
        <v>0.9</v>
      </c>
      <c r="Y48" s="50">
        <f>IFERROR(IF(AVERAGEIFS('QA RAW'!$G:$G,'QA RAW'!$E:$E,RESOURCES!$C48)=0,"-",AVERAGEIFS('QA RAW'!$G:$G,'QA RAW'!$E:$E,RESOURCES!$C48)),"-")</f>
        <v>0.99695</v>
      </c>
      <c r="Z48" s="50" t="str">
        <f>IFERROR(VLOOKUP($C48,'PR CALIBRATION RAW'!$K:$S,MATCH(RESOURCES!Z$3,'PR CALIBRATION RAW'!$K$1:$S$1,0),FALSE),"-")</f>
        <v>-</v>
      </c>
      <c r="AA48" s="50" t="str">
        <f>IFERROR(VLOOKUP($C48,'DISPUTES RAW (VQA)'!$N:$U,8,FALSE),"-")</f>
        <v>-</v>
      </c>
      <c r="AB48" s="50">
        <f>IFERROR(VLOOKUP($C48,'ATTENDANCE RAW'!$E:$R,13,FALSE),"-")</f>
        <v>1</v>
      </c>
      <c r="AC48" s="50">
        <f>IFERROR(IF($E48="Voice QA",IF(AVERAGEIFS('KC RAW'!$J:$J,'KC RAW'!$B:$B,RESOURCES!$C48)=0,"-",AVERAGEIFS('KC RAW'!$J:$J,'KC RAW'!$B:$B,RESOURCES!$C48)),IF(AVERAGEIFS('KC RAW'!$H:$H,'KC RAW'!$B:$B,RESOURCES!$C48)=0,"-",AVERAGEIFS('KC RAW'!$H:$H,'KC RAW'!$B:$B,RESOURCES!$C48))),"-")</f>
        <v>0.8</v>
      </c>
      <c r="AD48" s="50" t="str">
        <f>IFERROR(AVERAGEIFS('CE RAW'!$G:$G,'CE RAW'!$E:$E,RESOURCES!$C48),"-")</f>
        <v>-</v>
      </c>
      <c r="AE48" s="50" t="str">
        <f>IFERROR(VLOOKUP($C48,'FCR RAW'!$A:$I,7,FALSE),"-")</f>
        <v>-</v>
      </c>
      <c r="AF48" s="50" t="str">
        <f>IFERROR(IF(VLOOKUP($C48,'BONUS RAW'!$D:$I,6,FALSE)=100%,100%,"-"),"-")</f>
        <v>-</v>
      </c>
      <c r="AG48" s="52">
        <f t="shared" si="3"/>
        <v>0.93125789473684217</v>
      </c>
      <c r="AH48" s="56">
        <f t="shared" si="0"/>
        <v>53</v>
      </c>
      <c r="AI48" s="57">
        <f t="shared" si="4"/>
        <v>0.93125789473684217</v>
      </c>
      <c r="AJ48" s="57">
        <f t="shared" si="5"/>
        <v>0.88469500000000001</v>
      </c>
      <c r="AK48" s="325" t="str">
        <f>IFERROR(VLOOKUP($C48,'ATTRITION RAW'!$E:$J,6,FALSE),"-")</f>
        <v>-</v>
      </c>
      <c r="AL48" s="176" t="str">
        <f t="shared" si="6"/>
        <v>-</v>
      </c>
      <c r="AM48" s="454">
        <f>IFERROR(VLOOKUP($C48,'CHURN RAW'!$A:$G,7,FALSE),"-")</f>
        <v>0.12</v>
      </c>
      <c r="AN48" s="456" t="str">
        <f t="shared" si="1"/>
        <v>QUALITY - DESIGNERS</v>
      </c>
    </row>
    <row r="49" spans="2:40">
      <c r="B49" s="637">
        <f t="shared" si="7"/>
        <v>46</v>
      </c>
      <c r="C49" s="93">
        <v>10071958</v>
      </c>
      <c r="D49" s="93" t="s">
        <v>140</v>
      </c>
      <c r="E49" s="88" t="s">
        <v>83</v>
      </c>
      <c r="F49" s="88" t="s">
        <v>137</v>
      </c>
      <c r="G49" s="88" t="s">
        <v>85</v>
      </c>
      <c r="H49" s="88" t="s">
        <v>85</v>
      </c>
      <c r="I49" s="88" t="s">
        <v>86</v>
      </c>
      <c r="J49" s="638"/>
      <c r="K49" s="638">
        <f t="shared" si="8"/>
        <v>43739</v>
      </c>
      <c r="L49" s="639" t="str">
        <f t="shared" si="2"/>
        <v>Expert</v>
      </c>
      <c r="M49" s="53">
        <f>IFERROR(VLOOKUP($E49,KPI!$B:$T,MATCH(RESOURCES!M$3,KPI!$B$1:$T$1,0),FALSE),"-")</f>
        <v>0.25</v>
      </c>
      <c r="N49" s="53">
        <f>IFERROR(VLOOKUP($E49,KPI!$B:$T,MATCH(RESOURCES!N$3,KPI!$B$1:$T$1,0),FALSE),"-")</f>
        <v>0.25</v>
      </c>
      <c r="O49" s="53">
        <f>IFERROR(VLOOKUP($E49,KPI!$B:$T,MATCH(RESOURCES!O$3,KPI!$B$1:$T$1,0),FALSE),"-")</f>
        <v>0.1</v>
      </c>
      <c r="P49" s="53" t="str">
        <f>IFERROR(VLOOKUP($E49,KPI!$B:$T,MATCH(RESOURCES!P$3,KPI!$B$1:$T$1,0),FALSE),"-")</f>
        <v>-</v>
      </c>
      <c r="Q49" s="53" t="str">
        <f>IFERROR(VLOOKUP($E49,KPI!$B:$T,MATCH(RESOURCES!Q$3,KPI!$B$1:$T$1,0),FALSE),"-")</f>
        <v>-</v>
      </c>
      <c r="R49" s="53">
        <f>IFERROR(VLOOKUP($E49,KPI!$B:$T,MATCH(RESOURCES!R$3,KPI!$B$1:$T$1,0),FALSE),"-")</f>
        <v>0.15</v>
      </c>
      <c r="S49" s="53">
        <f>IFERROR(VLOOKUP($E49,KPI!$B:$T,MATCH(RESOURCES!S$3,KPI!$B$1:$T$1,0),FALSE),"-")</f>
        <v>0.2</v>
      </c>
      <c r="T49" s="53" t="str">
        <f>IFERROR(VLOOKUP($E49,KPI!$B:$T,MATCH(RESOURCES!T$3,KPI!$B$1:$T$1,0),FALSE),"-")</f>
        <v>-</v>
      </c>
      <c r="U49" s="53" t="str">
        <f>IFERROR(VLOOKUP($E49,KPI!$B:$T,MATCH(RESOURCES!U$3,KPI!$B$1:$T$1,0),FALSE),"-")</f>
        <v>-</v>
      </c>
      <c r="V49" s="53">
        <f>IFERROR(VLOOKUP($E49,KPI!$B:$T,MATCH(RESOURCES!V$3,KPI!$B$1:$T$1,0),FALSE),"-")</f>
        <v>0.05</v>
      </c>
      <c r="W49" s="50">
        <f>IFERROR(VLOOKUP($C49,'PRODUCTIVITY RAW'!$B:$Q,16,FALSE),"-")</f>
        <v>0.90039062500000022</v>
      </c>
      <c r="X49" s="50">
        <f>IFERROR(VLOOKUP($C49,'CHURN RAW'!$A:$H,8,FALSE),"-")</f>
        <v>0.8</v>
      </c>
      <c r="Y49" s="50">
        <f>IFERROR(IF(AVERAGEIFS('QA RAW'!$G:$G,'QA RAW'!$E:$E,RESOURCES!$C49)=0,"-",AVERAGEIFS('QA RAW'!$G:$G,'QA RAW'!$E:$E,RESOURCES!$C49)),"-")</f>
        <v>0.99519999999999997</v>
      </c>
      <c r="Z49" s="50" t="str">
        <f>IFERROR(VLOOKUP($C49,'PR CALIBRATION RAW'!$K:$S,MATCH(RESOURCES!Z$3,'PR CALIBRATION RAW'!$K$1:$S$1,0),FALSE),"-")</f>
        <v>-</v>
      </c>
      <c r="AA49" s="50" t="str">
        <f>IFERROR(VLOOKUP($C49,'DISPUTES RAW (VQA)'!$N:$U,8,FALSE),"-")</f>
        <v>-</v>
      </c>
      <c r="AB49" s="50">
        <f>IFERROR(VLOOKUP($C49,'ATTENDANCE RAW'!$E:$R,13,FALSE),"-")</f>
        <v>0.95454545454545459</v>
      </c>
      <c r="AC49" s="50">
        <f>IFERROR(IF($E49="Voice QA",IF(AVERAGEIFS('KC RAW'!$J:$J,'KC RAW'!$B:$B,RESOURCES!$C49)=0,"-",AVERAGEIFS('KC RAW'!$J:$J,'KC RAW'!$B:$B,RESOURCES!$C49)),IF(AVERAGEIFS('KC RAW'!$H:$H,'KC RAW'!$B:$B,RESOURCES!$C49)=0,"-",AVERAGEIFS('KC RAW'!$H:$H,'KC RAW'!$B:$B,RESOURCES!$C49))),"-")</f>
        <v>0.85000000000000009</v>
      </c>
      <c r="AD49" s="50" t="str">
        <f>IFERROR(AVERAGEIFS('CE RAW'!$G:$G,'CE RAW'!$E:$E,RESOURCES!$C49),"-")</f>
        <v>-</v>
      </c>
      <c r="AE49" s="50" t="str">
        <f>IFERROR(VLOOKUP($C49,'FCR RAW'!$A:$I,7,FALSE),"-")</f>
        <v>-</v>
      </c>
      <c r="AF49" s="50" t="str">
        <f>IFERROR(IF(VLOOKUP($C49,'BONUS RAW'!$D:$I,6,FALSE)=100%,100%,"-"),"-")</f>
        <v>-</v>
      </c>
      <c r="AG49" s="52">
        <f t="shared" si="3"/>
        <v>0.88189418361244032</v>
      </c>
      <c r="AH49" s="56">
        <f t="shared" si="0"/>
        <v>107</v>
      </c>
      <c r="AI49" s="57">
        <f t="shared" si="4"/>
        <v>0.88189418361244032</v>
      </c>
      <c r="AJ49" s="57">
        <f t="shared" si="5"/>
        <v>0.83779947443181824</v>
      </c>
      <c r="AK49" s="325" t="str">
        <f>IFERROR(VLOOKUP($C49,'ATTRITION RAW'!$E:$J,6,FALSE),"-")</f>
        <v>-</v>
      </c>
      <c r="AL49" s="176" t="str">
        <f t="shared" si="6"/>
        <v>-</v>
      </c>
      <c r="AM49" s="454">
        <f>IFERROR(VLOOKUP($C49,'CHURN RAW'!$A:$G,7,FALSE),"-")</f>
        <v>0.16669999999999999</v>
      </c>
      <c r="AN49" s="456" t="str">
        <f t="shared" si="1"/>
        <v>QUALITY - DESIGNERS</v>
      </c>
    </row>
    <row r="50" spans="2:40">
      <c r="B50" s="637">
        <f t="shared" si="7"/>
        <v>47</v>
      </c>
      <c r="C50" s="93">
        <v>10071039</v>
      </c>
      <c r="D50" s="93" t="s">
        <v>141</v>
      </c>
      <c r="E50" s="88" t="s">
        <v>142</v>
      </c>
      <c r="F50" s="88" t="s">
        <v>137</v>
      </c>
      <c r="G50" s="88" t="s">
        <v>85</v>
      </c>
      <c r="H50" s="88" t="s">
        <v>85</v>
      </c>
      <c r="I50" s="88" t="s">
        <v>86</v>
      </c>
      <c r="J50" s="638"/>
      <c r="K50" s="638">
        <f t="shared" si="8"/>
        <v>43739</v>
      </c>
      <c r="L50" s="639" t="str">
        <f t="shared" si="2"/>
        <v>Expert</v>
      </c>
      <c r="M50" s="53">
        <f>IFERROR(VLOOKUP($E50,KPI!$B:$T,MATCH(RESOURCES!M$3,KPI!$B$1:$T$1,0),FALSE),"-")</f>
        <v>0.3</v>
      </c>
      <c r="N50" s="53">
        <f>IFERROR(VLOOKUP($E50,KPI!$B:$T,MATCH(RESOURCES!N$3,KPI!$B$1:$T$1,0),FALSE),"-")</f>
        <v>0.2</v>
      </c>
      <c r="O50" s="53">
        <f>IFERROR(VLOOKUP($E50,KPI!$B:$T,MATCH(RESOURCES!O$3,KPI!$B$1:$T$1,0),FALSE),"-")</f>
        <v>0.1</v>
      </c>
      <c r="P50" s="53" t="str">
        <f>IFERROR(VLOOKUP($E50,KPI!$B:$T,MATCH(RESOURCES!P$3,KPI!$B$1:$T$1,0),FALSE),"-")</f>
        <v>-</v>
      </c>
      <c r="Q50" s="53" t="str">
        <f>IFERROR(VLOOKUP($E50,KPI!$B:$T,MATCH(RESOURCES!Q$3,KPI!$B$1:$T$1,0),FALSE),"-")</f>
        <v>-</v>
      </c>
      <c r="R50" s="53">
        <f>IFERROR(VLOOKUP($E50,KPI!$B:$T,MATCH(RESOURCES!R$3,KPI!$B$1:$T$1,0),FALSE),"-")</f>
        <v>0.15</v>
      </c>
      <c r="S50" s="53">
        <f>IFERROR(VLOOKUP($E50,KPI!$B:$T,MATCH(RESOURCES!S$3,KPI!$B$1:$T$1,0),FALSE),"-")</f>
        <v>0.2</v>
      </c>
      <c r="T50" s="53" t="str">
        <f>IFERROR(VLOOKUP($E50,KPI!$B:$T,MATCH(RESOURCES!T$3,KPI!$B$1:$T$1,0),FALSE),"-")</f>
        <v>-</v>
      </c>
      <c r="U50" s="53" t="str">
        <f>IFERROR(VLOOKUP($E50,KPI!$B:$T,MATCH(RESOURCES!U$3,KPI!$B$1:$T$1,0),FALSE),"-")</f>
        <v>-</v>
      </c>
      <c r="V50" s="53">
        <f>IFERROR(VLOOKUP($E50,KPI!$B:$T,MATCH(RESOURCES!V$3,KPI!$B$1:$T$1,0),FALSE),"-")</f>
        <v>0.05</v>
      </c>
      <c r="W50" s="50">
        <f>IFERROR(VLOOKUP($C50,'PRODUCTIVITY RAW'!$B:$Q,16,FALSE),"-")</f>
        <v>1</v>
      </c>
      <c r="X50" s="50">
        <f>IFERROR(VLOOKUP($C50,'CHURN RAW'!$A:$H,8,FALSE),"-")</f>
        <v>1</v>
      </c>
      <c r="Y50" s="50">
        <f>IFERROR(IF(AVERAGEIFS('QA RAW'!$G:$G,'QA RAW'!$E:$E,RESOURCES!$C50)=0,"-",AVERAGEIFS('QA RAW'!$G:$G,'QA RAW'!$E:$E,RESOURCES!$C50)),"-")</f>
        <v>1</v>
      </c>
      <c r="Z50" s="50" t="str">
        <f>IFERROR(VLOOKUP($C50,'PR CALIBRATION RAW'!$K:$S,MATCH(RESOURCES!Z$3,'PR CALIBRATION RAW'!$K$1:$S$1,0),FALSE),"-")</f>
        <v>-</v>
      </c>
      <c r="AA50" s="50" t="str">
        <f>IFERROR(VLOOKUP($C50,'DISPUTES RAW (VQA)'!$N:$U,8,FALSE),"-")</f>
        <v>-</v>
      </c>
      <c r="AB50" s="50">
        <f>IFERROR(VLOOKUP($C50,'ATTENDANCE RAW'!$E:$R,13,FALSE),"-")</f>
        <v>1</v>
      </c>
      <c r="AC50" s="50">
        <f>IFERROR(IF($E50="Voice QA",IF(AVERAGEIFS('KC RAW'!$J:$J,'KC RAW'!$B:$B,RESOURCES!$C50)=0,"-",AVERAGEIFS('KC RAW'!$J:$J,'KC RAW'!$B:$B,RESOURCES!$C50)),IF(AVERAGEIFS('KC RAW'!$H:$H,'KC RAW'!$B:$B,RESOURCES!$C50)=0,"-",AVERAGEIFS('KC RAW'!$H:$H,'KC RAW'!$B:$B,RESOURCES!$C50))),"-")</f>
        <v>0.85</v>
      </c>
      <c r="AD50" s="50" t="str">
        <f>IFERROR(AVERAGEIFS('CE RAW'!$G:$G,'CE RAW'!$E:$E,RESOURCES!$C50),"-")</f>
        <v>-</v>
      </c>
      <c r="AE50" s="50" t="str">
        <f>IFERROR(VLOOKUP($C50,'FCR RAW'!$A:$I,7,FALSE),"-")</f>
        <v>-</v>
      </c>
      <c r="AF50" s="50" t="str">
        <f>IFERROR(IF(VLOOKUP($C50,'BONUS RAW'!$D:$I,6,FALSE)=100%,100%,"-"),"-")</f>
        <v>-</v>
      </c>
      <c r="AG50" s="52">
        <f t="shared" si="3"/>
        <v>0.96842105263157907</v>
      </c>
      <c r="AH50" s="56">
        <f t="shared" si="0"/>
        <v>22</v>
      </c>
      <c r="AI50" s="57">
        <f t="shared" si="4"/>
        <v>0.96842105263157907</v>
      </c>
      <c r="AJ50" s="57">
        <f t="shared" si="5"/>
        <v>0.92</v>
      </c>
      <c r="AK50" s="325" t="str">
        <f>IFERROR(VLOOKUP($C50,'ATTRITION RAW'!$E:$J,6,FALSE),"-")</f>
        <v>-</v>
      </c>
      <c r="AL50" s="176" t="str">
        <f t="shared" si="6"/>
        <v>-</v>
      </c>
      <c r="AM50" s="454">
        <f>IFERROR(VLOOKUP($C50,'CHURN RAW'!$A:$G,7,FALSE),"-")</f>
        <v>0</v>
      </c>
      <c r="AN50" s="456" t="str">
        <f t="shared" si="1"/>
        <v>QUALITY - DESIGNERS</v>
      </c>
    </row>
    <row r="51" spans="2:40">
      <c r="B51" s="637">
        <f t="shared" si="7"/>
        <v>48</v>
      </c>
      <c r="C51" s="93">
        <v>10071261</v>
      </c>
      <c r="D51" s="93" t="s">
        <v>143</v>
      </c>
      <c r="E51" s="88" t="s">
        <v>83</v>
      </c>
      <c r="F51" s="88" t="s">
        <v>137</v>
      </c>
      <c r="G51" s="88" t="s">
        <v>85</v>
      </c>
      <c r="H51" s="88" t="s">
        <v>85</v>
      </c>
      <c r="I51" s="88" t="s">
        <v>86</v>
      </c>
      <c r="J51" s="638"/>
      <c r="K51" s="638">
        <f t="shared" si="8"/>
        <v>43739</v>
      </c>
      <c r="L51" s="639" t="str">
        <f t="shared" si="2"/>
        <v>Expert</v>
      </c>
      <c r="M51" s="53">
        <f>IFERROR(VLOOKUP($E51,KPI!$B:$T,MATCH(RESOURCES!M$3,KPI!$B$1:$T$1,0),FALSE),"-")</f>
        <v>0.25</v>
      </c>
      <c r="N51" s="53">
        <f>IFERROR(VLOOKUP($E51,KPI!$B:$T,MATCH(RESOURCES!N$3,KPI!$B$1:$T$1,0),FALSE),"-")</f>
        <v>0.25</v>
      </c>
      <c r="O51" s="53">
        <f>IFERROR(VLOOKUP($E51,KPI!$B:$T,MATCH(RESOURCES!O$3,KPI!$B$1:$T$1,0),FALSE),"-")</f>
        <v>0.1</v>
      </c>
      <c r="P51" s="53" t="str">
        <f>IFERROR(VLOOKUP($E51,KPI!$B:$T,MATCH(RESOURCES!P$3,KPI!$B$1:$T$1,0),FALSE),"-")</f>
        <v>-</v>
      </c>
      <c r="Q51" s="53" t="str">
        <f>IFERROR(VLOOKUP($E51,KPI!$B:$T,MATCH(RESOURCES!Q$3,KPI!$B$1:$T$1,0),FALSE),"-")</f>
        <v>-</v>
      </c>
      <c r="R51" s="53">
        <f>IFERROR(VLOOKUP($E51,KPI!$B:$T,MATCH(RESOURCES!R$3,KPI!$B$1:$T$1,0),FALSE),"-")</f>
        <v>0.15</v>
      </c>
      <c r="S51" s="53">
        <f>IFERROR(VLOOKUP($E51,KPI!$B:$T,MATCH(RESOURCES!S$3,KPI!$B$1:$T$1,0),FALSE),"-")</f>
        <v>0.2</v>
      </c>
      <c r="T51" s="53" t="str">
        <f>IFERROR(VLOOKUP($E51,KPI!$B:$T,MATCH(RESOURCES!T$3,KPI!$B$1:$T$1,0),FALSE),"-")</f>
        <v>-</v>
      </c>
      <c r="U51" s="53" t="str">
        <f>IFERROR(VLOOKUP($E51,KPI!$B:$T,MATCH(RESOURCES!U$3,KPI!$B$1:$T$1,0),FALSE),"-")</f>
        <v>-</v>
      </c>
      <c r="V51" s="53">
        <f>IFERROR(VLOOKUP($E51,KPI!$B:$T,MATCH(RESOURCES!V$3,KPI!$B$1:$T$1,0),FALSE),"-")</f>
        <v>0.05</v>
      </c>
      <c r="W51" s="50">
        <f>IFERROR(VLOOKUP($C51,'PRODUCTIVITY RAW'!$B:$Q,16,FALSE),"-")</f>
        <v>1</v>
      </c>
      <c r="X51" s="50">
        <f>IFERROR(VLOOKUP($C51,'CHURN RAW'!$A:$H,8,FALSE),"-")</f>
        <v>0.9</v>
      </c>
      <c r="Y51" s="50">
        <f>IFERROR(IF(AVERAGEIFS('QA RAW'!$G:$G,'QA RAW'!$E:$E,RESOURCES!$C51)=0,"-",AVERAGEIFS('QA RAW'!$G:$G,'QA RAW'!$E:$E,RESOURCES!$C51)),"-")</f>
        <v>0.99870000000000003</v>
      </c>
      <c r="Z51" s="50" t="str">
        <f>IFERROR(VLOOKUP($C51,'PR CALIBRATION RAW'!$K:$S,MATCH(RESOURCES!Z$3,'PR CALIBRATION RAW'!$K$1:$S$1,0),FALSE),"-")</f>
        <v>-</v>
      </c>
      <c r="AA51" s="50" t="str">
        <f>IFERROR(VLOOKUP($C51,'DISPUTES RAW (VQA)'!$N:$U,8,FALSE),"-")</f>
        <v>-</v>
      </c>
      <c r="AB51" s="50">
        <f>IFERROR(VLOOKUP($C51,'ATTENDANCE RAW'!$E:$R,13,FALSE),"-")</f>
        <v>1</v>
      </c>
      <c r="AC51" s="50">
        <f>IFERROR(IF($E51="Voice QA",IF(AVERAGEIFS('KC RAW'!$J:$J,'KC RAW'!$B:$B,RESOURCES!$C51)=0,"-",AVERAGEIFS('KC RAW'!$J:$J,'KC RAW'!$B:$B,RESOURCES!$C51)),IF(AVERAGEIFS('KC RAW'!$H:$H,'KC RAW'!$B:$B,RESOURCES!$C51)=0,"-",AVERAGEIFS('KC RAW'!$H:$H,'KC RAW'!$B:$B,RESOURCES!$C51))),"-")</f>
        <v>0.7</v>
      </c>
      <c r="AD51" s="50" t="str">
        <f>IFERROR(AVERAGEIFS('CE RAW'!$G:$G,'CE RAW'!$E:$E,RESOURCES!$C51),"-")</f>
        <v>-</v>
      </c>
      <c r="AE51" s="50" t="str">
        <f>IFERROR(VLOOKUP($C51,'FCR RAW'!$A:$I,7,FALSE),"-")</f>
        <v>-</v>
      </c>
      <c r="AF51" s="50" t="str">
        <f>IFERROR(IF(VLOOKUP($C51,'BONUS RAW'!$D:$I,6,FALSE)=100%,100%,"-"),"-")</f>
        <v>-</v>
      </c>
      <c r="AG51" s="52">
        <f t="shared" si="3"/>
        <v>0.91038947368421064</v>
      </c>
      <c r="AH51" s="56">
        <f t="shared" si="0"/>
        <v>69</v>
      </c>
      <c r="AI51" s="57">
        <f t="shared" si="4"/>
        <v>0.91038947368421064</v>
      </c>
      <c r="AJ51" s="57">
        <f t="shared" si="5"/>
        <v>0.86487000000000003</v>
      </c>
      <c r="AK51" s="325" t="str">
        <f>IFERROR(VLOOKUP($C51,'ATTRITION RAW'!$E:$J,6,FALSE),"-")</f>
        <v>-</v>
      </c>
      <c r="AL51" s="176" t="str">
        <f t="shared" si="6"/>
        <v>-</v>
      </c>
      <c r="AM51" s="454">
        <f>IFERROR(VLOOKUP($C51,'CHURN RAW'!$A:$G,7,FALSE),"-")</f>
        <v>9.0899999999999995E-2</v>
      </c>
      <c r="AN51" s="456" t="str">
        <f t="shared" si="1"/>
        <v>QUALITY - DESIGNERS</v>
      </c>
    </row>
    <row r="52" spans="2:40">
      <c r="B52" s="637">
        <f t="shared" si="7"/>
        <v>49</v>
      </c>
      <c r="C52" s="93">
        <v>10071751</v>
      </c>
      <c r="D52" s="93" t="s">
        <v>144</v>
      </c>
      <c r="E52" s="88" t="s">
        <v>83</v>
      </c>
      <c r="F52" s="88" t="s">
        <v>137</v>
      </c>
      <c r="G52" s="88" t="s">
        <v>85</v>
      </c>
      <c r="H52" s="88" t="s">
        <v>85</v>
      </c>
      <c r="I52" s="88" t="s">
        <v>86</v>
      </c>
      <c r="J52" s="638"/>
      <c r="K52" s="638">
        <f t="shared" si="8"/>
        <v>43739</v>
      </c>
      <c r="L52" s="639" t="str">
        <f t="shared" si="2"/>
        <v>Expert</v>
      </c>
      <c r="M52" s="53">
        <f>IFERROR(VLOOKUP($E52,KPI!$B:$T,MATCH(RESOURCES!M$3,KPI!$B$1:$T$1,0),FALSE),"-")</f>
        <v>0.25</v>
      </c>
      <c r="N52" s="53">
        <f>IFERROR(VLOOKUP($E52,KPI!$B:$T,MATCH(RESOURCES!N$3,KPI!$B$1:$T$1,0),FALSE),"-")</f>
        <v>0.25</v>
      </c>
      <c r="O52" s="53">
        <f>IFERROR(VLOOKUP($E52,KPI!$B:$T,MATCH(RESOURCES!O$3,KPI!$B$1:$T$1,0),FALSE),"-")</f>
        <v>0.1</v>
      </c>
      <c r="P52" s="53" t="str">
        <f>IFERROR(VLOOKUP($E52,KPI!$B:$T,MATCH(RESOURCES!P$3,KPI!$B$1:$T$1,0),FALSE),"-")</f>
        <v>-</v>
      </c>
      <c r="Q52" s="53" t="str">
        <f>IFERROR(VLOOKUP($E52,KPI!$B:$T,MATCH(RESOURCES!Q$3,KPI!$B$1:$T$1,0),FALSE),"-")</f>
        <v>-</v>
      </c>
      <c r="R52" s="53">
        <f>IFERROR(VLOOKUP($E52,KPI!$B:$T,MATCH(RESOURCES!R$3,KPI!$B$1:$T$1,0),FALSE),"-")</f>
        <v>0.15</v>
      </c>
      <c r="S52" s="53">
        <f>IFERROR(VLOOKUP($E52,KPI!$B:$T,MATCH(RESOURCES!S$3,KPI!$B$1:$T$1,0),FALSE),"-")</f>
        <v>0.2</v>
      </c>
      <c r="T52" s="53" t="str">
        <f>IFERROR(VLOOKUP($E52,KPI!$B:$T,MATCH(RESOURCES!T$3,KPI!$B$1:$T$1,0),FALSE),"-")</f>
        <v>-</v>
      </c>
      <c r="U52" s="53" t="str">
        <f>IFERROR(VLOOKUP($E52,KPI!$B:$T,MATCH(RESOURCES!U$3,KPI!$B$1:$T$1,0),FALSE),"-")</f>
        <v>-</v>
      </c>
      <c r="V52" s="53">
        <f>IFERROR(VLOOKUP($E52,KPI!$B:$T,MATCH(RESOURCES!V$3,KPI!$B$1:$T$1,0),FALSE),"-")</f>
        <v>0.05</v>
      </c>
      <c r="W52" s="50">
        <f>IFERROR(VLOOKUP($C52,'PRODUCTIVITY RAW'!$B:$Q,16,FALSE),"-")</f>
        <v>1</v>
      </c>
      <c r="X52" s="50">
        <f>IFERROR(VLOOKUP($C52,'CHURN RAW'!$A:$H,8,FALSE),"-")</f>
        <v>0.8</v>
      </c>
      <c r="Y52" s="50">
        <f>IFERROR(IF(AVERAGEIFS('QA RAW'!$G:$G,'QA RAW'!$E:$E,RESOURCES!$C52)=0,"-",AVERAGEIFS('QA RAW'!$G:$G,'QA RAW'!$E:$E,RESOURCES!$C52)),"-")</f>
        <v>0.95820000000000005</v>
      </c>
      <c r="Z52" s="50" t="str">
        <f>IFERROR(VLOOKUP($C52,'PR CALIBRATION RAW'!$K:$S,MATCH(RESOURCES!Z$3,'PR CALIBRATION RAW'!$K$1:$S$1,0),FALSE),"-")</f>
        <v>-</v>
      </c>
      <c r="AA52" s="50" t="str">
        <f>IFERROR(VLOOKUP($C52,'DISPUTES RAW (VQA)'!$N:$U,8,FALSE),"-")</f>
        <v>-</v>
      </c>
      <c r="AB52" s="50">
        <f>IFERROR(VLOOKUP($C52,'ATTENDANCE RAW'!$E:$R,13,FALSE),"-")</f>
        <v>1</v>
      </c>
      <c r="AC52" s="50">
        <f>IFERROR(IF($E52="Voice QA",IF(AVERAGEIFS('KC RAW'!$J:$J,'KC RAW'!$B:$B,RESOURCES!$C52)=0,"-",AVERAGEIFS('KC RAW'!$J:$J,'KC RAW'!$B:$B,RESOURCES!$C52)),IF(AVERAGEIFS('KC RAW'!$H:$H,'KC RAW'!$B:$B,RESOURCES!$C52)=0,"-",AVERAGEIFS('KC RAW'!$H:$H,'KC RAW'!$B:$B,RESOURCES!$C52))),"-")</f>
        <v>0.75</v>
      </c>
      <c r="AD52" s="50" t="str">
        <f>IFERROR(AVERAGEIFS('CE RAW'!$G:$G,'CE RAW'!$E:$E,RESOURCES!$C52),"-")</f>
        <v>-</v>
      </c>
      <c r="AE52" s="50" t="str">
        <f>IFERROR(VLOOKUP($C52,'FCR RAW'!$A:$I,7,FALSE),"-")</f>
        <v>-</v>
      </c>
      <c r="AF52" s="50">
        <f>IFERROR(IF(VLOOKUP($C52,'BONUS RAW'!$D:$I,6,FALSE)=100%,100%,"-"),"-")</f>
        <v>1</v>
      </c>
      <c r="AG52" s="52">
        <f t="shared" si="3"/>
        <v>0.89582000000000006</v>
      </c>
      <c r="AH52" s="56">
        <f t="shared" si="0"/>
        <v>90</v>
      </c>
      <c r="AI52" s="57">
        <f t="shared" si="4"/>
        <v>0.8903368421052632</v>
      </c>
      <c r="AJ52" s="57">
        <f t="shared" si="5"/>
        <v>0.89582000000000006</v>
      </c>
      <c r="AK52" s="325" t="str">
        <f>IFERROR(VLOOKUP($C52,'ATTRITION RAW'!$E:$J,6,FALSE),"-")</f>
        <v>-</v>
      </c>
      <c r="AL52" s="176" t="str">
        <f t="shared" si="6"/>
        <v>-</v>
      </c>
      <c r="AM52" s="454">
        <f>IFERROR(VLOOKUP($C52,'CHURN RAW'!$A:$G,7,FALSE),"-")</f>
        <v>0.15379999999999999</v>
      </c>
      <c r="AN52" s="456" t="str">
        <f t="shared" si="1"/>
        <v>QUALITY - DESIGNERS</v>
      </c>
    </row>
    <row r="53" spans="2:40">
      <c r="B53" s="637">
        <f t="shared" si="7"/>
        <v>50</v>
      </c>
      <c r="C53" s="93">
        <v>10072238</v>
      </c>
      <c r="D53" s="93" t="s">
        <v>145</v>
      </c>
      <c r="E53" s="88" t="s">
        <v>83</v>
      </c>
      <c r="F53" s="88" t="s">
        <v>137</v>
      </c>
      <c r="G53" s="88" t="s">
        <v>85</v>
      </c>
      <c r="H53" s="88" t="s">
        <v>85</v>
      </c>
      <c r="I53" s="88" t="s">
        <v>86</v>
      </c>
      <c r="J53" s="638"/>
      <c r="K53" s="638">
        <f t="shared" si="8"/>
        <v>43739</v>
      </c>
      <c r="L53" s="639" t="str">
        <f t="shared" si="2"/>
        <v>Expert</v>
      </c>
      <c r="M53" s="53">
        <f>IFERROR(VLOOKUP($E53,KPI!$B:$T,MATCH(RESOURCES!M$3,KPI!$B$1:$T$1,0),FALSE),"-")</f>
        <v>0.25</v>
      </c>
      <c r="N53" s="53">
        <f>IFERROR(VLOOKUP($E53,KPI!$B:$T,MATCH(RESOURCES!N$3,KPI!$B$1:$T$1,0),FALSE),"-")</f>
        <v>0.25</v>
      </c>
      <c r="O53" s="53">
        <f>IFERROR(VLOOKUP($E53,KPI!$B:$T,MATCH(RESOURCES!O$3,KPI!$B$1:$T$1,0),FALSE),"-")</f>
        <v>0.1</v>
      </c>
      <c r="P53" s="53" t="str">
        <f>IFERROR(VLOOKUP($E53,KPI!$B:$T,MATCH(RESOURCES!P$3,KPI!$B$1:$T$1,0),FALSE),"-")</f>
        <v>-</v>
      </c>
      <c r="Q53" s="53" t="str">
        <f>IFERROR(VLOOKUP($E53,KPI!$B:$T,MATCH(RESOURCES!Q$3,KPI!$B$1:$T$1,0),FALSE),"-")</f>
        <v>-</v>
      </c>
      <c r="R53" s="53">
        <f>IFERROR(VLOOKUP($E53,KPI!$B:$T,MATCH(RESOURCES!R$3,KPI!$B$1:$T$1,0),FALSE),"-")</f>
        <v>0.15</v>
      </c>
      <c r="S53" s="53">
        <f>IFERROR(VLOOKUP($E53,KPI!$B:$T,MATCH(RESOURCES!S$3,KPI!$B$1:$T$1,0),FALSE),"-")</f>
        <v>0.2</v>
      </c>
      <c r="T53" s="53" t="str">
        <f>IFERROR(VLOOKUP($E53,KPI!$B:$T,MATCH(RESOURCES!T$3,KPI!$B$1:$T$1,0),FALSE),"-")</f>
        <v>-</v>
      </c>
      <c r="U53" s="53" t="str">
        <f>IFERROR(VLOOKUP($E53,KPI!$B:$T,MATCH(RESOURCES!U$3,KPI!$B$1:$T$1,0),FALSE),"-")</f>
        <v>-</v>
      </c>
      <c r="V53" s="53">
        <f>IFERROR(VLOOKUP($E53,KPI!$B:$T,MATCH(RESOURCES!V$3,KPI!$B$1:$T$1,0),FALSE),"-")</f>
        <v>0.05</v>
      </c>
      <c r="W53" s="50">
        <f>IFERROR(VLOOKUP($C53,'PRODUCTIVITY RAW'!$B:$Q,16,FALSE),"-")</f>
        <v>1</v>
      </c>
      <c r="X53" s="50">
        <f>IFERROR(VLOOKUP($C53,'CHURN RAW'!$A:$H,8,FALSE),"-")</f>
        <v>0.8</v>
      </c>
      <c r="Y53" s="50">
        <f>IFERROR(IF(AVERAGEIFS('QA RAW'!$G:$G,'QA RAW'!$E:$E,RESOURCES!$C53)=0,"-",AVERAGEIFS('QA RAW'!$G:$G,'QA RAW'!$E:$E,RESOURCES!$C53)),"-")</f>
        <v>0.99470000000000003</v>
      </c>
      <c r="Z53" s="50" t="str">
        <f>IFERROR(VLOOKUP($C53,'PR CALIBRATION RAW'!$K:$S,MATCH(RESOURCES!Z$3,'PR CALIBRATION RAW'!$K$1:$S$1,0),FALSE),"-")</f>
        <v>-</v>
      </c>
      <c r="AA53" s="50" t="str">
        <f>IFERROR(VLOOKUP($C53,'DISPUTES RAW (VQA)'!$N:$U,8,FALSE),"-")</f>
        <v>-</v>
      </c>
      <c r="AB53" s="50">
        <f>IFERROR(VLOOKUP($C53,'ATTENDANCE RAW'!$E:$R,13,FALSE),"-")</f>
        <v>0.95454545454545459</v>
      </c>
      <c r="AC53" s="50">
        <f>IFERROR(IF($E53="Voice QA",IF(AVERAGEIFS('KC RAW'!$J:$J,'KC RAW'!$B:$B,RESOURCES!$C53)=0,"-",AVERAGEIFS('KC RAW'!$J:$J,'KC RAW'!$B:$B,RESOURCES!$C53)),IF(AVERAGEIFS('KC RAW'!$H:$H,'KC RAW'!$B:$B,RESOURCES!$C53)=0,"-",AVERAGEIFS('KC RAW'!$H:$H,'KC RAW'!$B:$B,RESOURCES!$C53))),"-")</f>
        <v>0.7</v>
      </c>
      <c r="AD53" s="50" t="str">
        <f>IFERROR(AVERAGEIFS('CE RAW'!$G:$G,'CE RAW'!$E:$E,RESOURCES!$C53),"-")</f>
        <v>-</v>
      </c>
      <c r="AE53" s="50" t="str">
        <f>IFERROR(VLOOKUP($C53,'FCR RAW'!$A:$I,7,FALSE),"-")</f>
        <v>-</v>
      </c>
      <c r="AF53" s="50">
        <f>IFERROR(IF(VLOOKUP($C53,'BONUS RAW'!$D:$I,6,FALSE)=100%,100%,"-"),"-")</f>
        <v>1</v>
      </c>
      <c r="AG53" s="52">
        <f t="shared" si="3"/>
        <v>0.88265181818181826</v>
      </c>
      <c r="AH53" s="56">
        <f t="shared" si="0"/>
        <v>106</v>
      </c>
      <c r="AI53" s="57">
        <f t="shared" si="4"/>
        <v>0.87647559808612452</v>
      </c>
      <c r="AJ53" s="57">
        <f t="shared" si="5"/>
        <v>0.88265181818181826</v>
      </c>
      <c r="AK53" s="325" t="str">
        <f>IFERROR(VLOOKUP($C53,'ATTRITION RAW'!$E:$J,6,FALSE),"-")</f>
        <v>-</v>
      </c>
      <c r="AL53" s="176" t="str">
        <f t="shared" si="6"/>
        <v>-</v>
      </c>
      <c r="AM53" s="454">
        <f>IFERROR(VLOOKUP($C53,'CHURN RAW'!$A:$G,7,FALSE),"-")</f>
        <v>0.17860000000000001</v>
      </c>
      <c r="AN53" s="456" t="str">
        <f t="shared" si="1"/>
        <v>QUALITY - DESIGNERS</v>
      </c>
    </row>
    <row r="54" spans="2:40">
      <c r="B54" s="637">
        <f t="shared" si="7"/>
        <v>51</v>
      </c>
      <c r="C54" s="93">
        <v>10071275</v>
      </c>
      <c r="D54" s="628" t="s">
        <v>146</v>
      </c>
      <c r="E54" s="88" t="s">
        <v>83</v>
      </c>
      <c r="F54" s="88" t="s">
        <v>137</v>
      </c>
      <c r="G54" s="88" t="s">
        <v>85</v>
      </c>
      <c r="H54" s="88" t="s">
        <v>85</v>
      </c>
      <c r="I54" s="88" t="s">
        <v>86</v>
      </c>
      <c r="J54" s="638"/>
      <c r="K54" s="638">
        <f t="shared" si="8"/>
        <v>43739</v>
      </c>
      <c r="L54" s="639" t="str">
        <f t="shared" si="2"/>
        <v>Expert</v>
      </c>
      <c r="M54" s="53">
        <f>IFERROR(VLOOKUP($E54,KPI!$B:$T,MATCH(RESOURCES!M$3,KPI!$B$1:$T$1,0),FALSE),"-")</f>
        <v>0.25</v>
      </c>
      <c r="N54" s="53">
        <f>IFERROR(VLOOKUP($E54,KPI!$B:$T,MATCH(RESOURCES!N$3,KPI!$B$1:$T$1,0),FALSE),"-")</f>
        <v>0.25</v>
      </c>
      <c r="O54" s="53">
        <f>IFERROR(VLOOKUP($E54,KPI!$B:$T,MATCH(RESOURCES!O$3,KPI!$B$1:$T$1,0),FALSE),"-")</f>
        <v>0.1</v>
      </c>
      <c r="P54" s="53" t="str">
        <f>IFERROR(VLOOKUP($E54,KPI!$B:$T,MATCH(RESOURCES!P$3,KPI!$B$1:$T$1,0),FALSE),"-")</f>
        <v>-</v>
      </c>
      <c r="Q54" s="53" t="str">
        <f>IFERROR(VLOOKUP($E54,KPI!$B:$T,MATCH(RESOURCES!Q$3,KPI!$B$1:$T$1,0),FALSE),"-")</f>
        <v>-</v>
      </c>
      <c r="R54" s="53">
        <f>IFERROR(VLOOKUP($E54,KPI!$B:$T,MATCH(RESOURCES!R$3,KPI!$B$1:$T$1,0),FALSE),"-")</f>
        <v>0.15</v>
      </c>
      <c r="S54" s="53">
        <f>IFERROR(VLOOKUP($E54,KPI!$B:$T,MATCH(RESOURCES!S$3,KPI!$B$1:$T$1,0),FALSE),"-")</f>
        <v>0.2</v>
      </c>
      <c r="T54" s="53" t="str">
        <f>IFERROR(VLOOKUP($E54,KPI!$B:$T,MATCH(RESOURCES!T$3,KPI!$B$1:$T$1,0),FALSE),"-")</f>
        <v>-</v>
      </c>
      <c r="U54" s="53" t="str">
        <f>IFERROR(VLOOKUP($E54,KPI!$B:$T,MATCH(RESOURCES!U$3,KPI!$B$1:$T$1,0),FALSE),"-")</f>
        <v>-</v>
      </c>
      <c r="V54" s="53">
        <f>IFERROR(VLOOKUP($E54,KPI!$B:$T,MATCH(RESOURCES!V$3,KPI!$B$1:$T$1,0),FALSE),"-")</f>
        <v>0.05</v>
      </c>
      <c r="W54" s="50">
        <f>IFERROR(VLOOKUP($C54,'PRODUCTIVITY RAW'!$B:$Q,16,FALSE),"-")</f>
        <v>1</v>
      </c>
      <c r="X54" s="50">
        <f>IFERROR(VLOOKUP($C54,'CHURN RAW'!$A:$H,8,FALSE),"-")</f>
        <v>1</v>
      </c>
      <c r="Y54" s="50">
        <f>IFERROR(IF(AVERAGEIFS('QA RAW'!$G:$G,'QA RAW'!$E:$E,RESOURCES!$C54)=0,"-",AVERAGEIFS('QA RAW'!$G:$G,'QA RAW'!$E:$E,RESOURCES!$C54)),"-")</f>
        <v>1</v>
      </c>
      <c r="Z54" s="50" t="str">
        <f>IFERROR(VLOOKUP($C54,'PR CALIBRATION RAW'!$K:$S,MATCH(RESOURCES!Z$3,'PR CALIBRATION RAW'!$K$1:$S$1,0),FALSE),"-")</f>
        <v>-</v>
      </c>
      <c r="AA54" s="50" t="str">
        <f>IFERROR(VLOOKUP($C54,'DISPUTES RAW (VQA)'!$N:$U,8,FALSE),"-")</f>
        <v>-</v>
      </c>
      <c r="AB54" s="50">
        <f>IFERROR(VLOOKUP($C54,'ATTENDANCE RAW'!$E:$R,13,FALSE),"-")</f>
        <v>0.95454545454545459</v>
      </c>
      <c r="AC54" s="50">
        <f>IFERROR(IF($E54="Voice QA",IF(AVERAGEIFS('KC RAW'!$J:$J,'KC RAW'!$B:$B,RESOURCES!$C54)=0,"-",AVERAGEIFS('KC RAW'!$J:$J,'KC RAW'!$B:$B,RESOURCES!$C54)),IF(AVERAGEIFS('KC RAW'!$H:$H,'KC RAW'!$B:$B,RESOURCES!$C54)=0,"-",AVERAGEIFS('KC RAW'!$H:$H,'KC RAW'!$B:$B,RESOURCES!$C54))),"-")</f>
        <v>0.5</v>
      </c>
      <c r="AD54" s="50" t="str">
        <f>IFERROR(AVERAGEIFS('CE RAW'!$G:$G,'CE RAW'!$E:$E,RESOURCES!$C54),"-")</f>
        <v>-</v>
      </c>
      <c r="AE54" s="50" t="str">
        <f>IFERROR(VLOOKUP($C54,'FCR RAW'!$A:$I,7,FALSE),"-")</f>
        <v>-</v>
      </c>
      <c r="AF54" s="50" t="str">
        <f>IFERROR(IF(VLOOKUP($C54,'BONUS RAW'!$D:$I,6,FALSE)=100%,100%,"-"),"-")</f>
        <v>-</v>
      </c>
      <c r="AG54" s="52">
        <f t="shared" si="3"/>
        <v>0.88755980861244022</v>
      </c>
      <c r="AH54" s="56">
        <f t="shared" si="0"/>
        <v>101</v>
      </c>
      <c r="AI54" s="57">
        <f t="shared" si="4"/>
        <v>0.88755980861244022</v>
      </c>
      <c r="AJ54" s="57">
        <f t="shared" si="5"/>
        <v>0.84318181818181814</v>
      </c>
      <c r="AK54" s="325" t="str">
        <f>IFERROR(VLOOKUP($C54,'ATTRITION RAW'!$E:$J,6,FALSE),"-")</f>
        <v>-</v>
      </c>
      <c r="AL54" s="176" t="str">
        <f t="shared" si="6"/>
        <v>-</v>
      </c>
      <c r="AM54" s="454">
        <f>IFERROR(VLOOKUP($C54,'CHURN RAW'!$A:$G,7,FALSE),"-")</f>
        <v>0</v>
      </c>
      <c r="AN54" s="456" t="str">
        <f t="shared" si="1"/>
        <v>QUALITY - DESIGNERS</v>
      </c>
    </row>
    <row r="55" spans="2:40">
      <c r="B55" s="637">
        <f t="shared" si="7"/>
        <v>52</v>
      </c>
      <c r="C55" s="93">
        <v>10072233</v>
      </c>
      <c r="D55" s="93" t="s">
        <v>147</v>
      </c>
      <c r="E55" s="88" t="s">
        <v>83</v>
      </c>
      <c r="F55" s="88" t="s">
        <v>137</v>
      </c>
      <c r="G55" s="88" t="s">
        <v>85</v>
      </c>
      <c r="H55" s="88" t="s">
        <v>85</v>
      </c>
      <c r="I55" s="88" t="s">
        <v>86</v>
      </c>
      <c r="J55" s="638">
        <v>43731</v>
      </c>
      <c r="K55" s="638">
        <f t="shared" si="8"/>
        <v>43739</v>
      </c>
      <c r="L55" s="639" t="str">
        <f t="shared" si="2"/>
        <v>Beginner</v>
      </c>
      <c r="M55" s="53">
        <f>IFERROR(VLOOKUP($E55,KPI!$B:$T,MATCH(RESOURCES!M$3,KPI!$B$1:$T$1,0),FALSE),"-")</f>
        <v>0.25</v>
      </c>
      <c r="N55" s="53">
        <f>IFERROR(VLOOKUP($E55,KPI!$B:$T,MATCH(RESOURCES!N$3,KPI!$B$1:$T$1,0),FALSE),"-")</f>
        <v>0.25</v>
      </c>
      <c r="O55" s="53">
        <f>IFERROR(VLOOKUP($E55,KPI!$B:$T,MATCH(RESOURCES!O$3,KPI!$B$1:$T$1,0),FALSE),"-")</f>
        <v>0.1</v>
      </c>
      <c r="P55" s="53" t="str">
        <f>IFERROR(VLOOKUP($E55,KPI!$B:$T,MATCH(RESOURCES!P$3,KPI!$B$1:$T$1,0),FALSE),"-")</f>
        <v>-</v>
      </c>
      <c r="Q55" s="53" t="str">
        <f>IFERROR(VLOOKUP($E55,KPI!$B:$T,MATCH(RESOURCES!Q$3,KPI!$B$1:$T$1,0),FALSE),"-")</f>
        <v>-</v>
      </c>
      <c r="R55" s="53">
        <f>IFERROR(VLOOKUP($E55,KPI!$B:$T,MATCH(RESOURCES!R$3,KPI!$B$1:$T$1,0),FALSE),"-")</f>
        <v>0.15</v>
      </c>
      <c r="S55" s="53">
        <f>IFERROR(VLOOKUP($E55,KPI!$B:$T,MATCH(RESOURCES!S$3,KPI!$B$1:$T$1,0),FALSE),"-")</f>
        <v>0.2</v>
      </c>
      <c r="T55" s="53" t="str">
        <f>IFERROR(VLOOKUP($E55,KPI!$B:$T,MATCH(RESOURCES!T$3,KPI!$B$1:$T$1,0),FALSE),"-")</f>
        <v>-</v>
      </c>
      <c r="U55" s="53" t="str">
        <f>IFERROR(VLOOKUP($E55,KPI!$B:$T,MATCH(RESOURCES!U$3,KPI!$B$1:$T$1,0),FALSE),"-")</f>
        <v>-</v>
      </c>
      <c r="V55" s="53">
        <f>IFERROR(VLOOKUP($E55,KPI!$B:$T,MATCH(RESOURCES!V$3,KPI!$B$1:$T$1,0),FALSE),"-")</f>
        <v>0.05</v>
      </c>
      <c r="W55" s="50">
        <f>IFERROR(VLOOKUP($C55,'PRODUCTIVITY RAW'!$B:$Q,16,FALSE),"-")</f>
        <v>1</v>
      </c>
      <c r="X55" s="50">
        <f>IFERROR(VLOOKUP($C55,'CHURN RAW'!$A:$H,8,FALSE),"-")</f>
        <v>0.8</v>
      </c>
      <c r="Y55" s="50">
        <f>IFERROR(IF(AVERAGEIFS('QA RAW'!$G:$G,'QA RAW'!$E:$E,RESOURCES!$C55)=0,"-",AVERAGEIFS('QA RAW'!$G:$G,'QA RAW'!$E:$E,RESOURCES!$C55)),"-")</f>
        <v>0.99539999999999995</v>
      </c>
      <c r="Z55" s="50" t="str">
        <f>IFERROR(VLOOKUP($C55,'PR CALIBRATION RAW'!$K:$S,MATCH(RESOURCES!Z$3,'PR CALIBRATION RAW'!$K$1:$S$1,0),FALSE),"-")</f>
        <v>-</v>
      </c>
      <c r="AA55" s="50" t="str">
        <f>IFERROR(VLOOKUP($C55,'DISPUTES RAW (VQA)'!$N:$U,8,FALSE),"-")</f>
        <v>-</v>
      </c>
      <c r="AB55" s="50">
        <f>IFERROR(VLOOKUP($C55,'ATTENDANCE RAW'!$E:$R,13,FALSE),"-")</f>
        <v>1</v>
      </c>
      <c r="AC55" s="50">
        <f>IFERROR(IF($E55="Voice QA",IF(AVERAGEIFS('KC RAW'!$J:$J,'KC RAW'!$B:$B,RESOURCES!$C55)=0,"-",AVERAGEIFS('KC RAW'!$J:$J,'KC RAW'!$B:$B,RESOURCES!$C55)),IF(AVERAGEIFS('KC RAW'!$H:$H,'KC RAW'!$B:$B,RESOURCES!$C55)=0,"-",AVERAGEIFS('KC RAW'!$H:$H,'KC RAW'!$B:$B,RESOURCES!$C55))),"-")</f>
        <v>0.8</v>
      </c>
      <c r="AD55" s="50" t="str">
        <f>IFERROR(AVERAGEIFS('CE RAW'!$G:$G,'CE RAW'!$E:$E,RESOURCES!$C55),"-")</f>
        <v>-</v>
      </c>
      <c r="AE55" s="50" t="str">
        <f>IFERROR(VLOOKUP($C55,'FCR RAW'!$A:$I,7,FALSE),"-")</f>
        <v>-</v>
      </c>
      <c r="AF55" s="50" t="str">
        <f>IFERROR(IF(VLOOKUP($C55,'BONUS RAW'!$D:$I,6,FALSE)=100%,100%,"-"),"-")</f>
        <v>-</v>
      </c>
      <c r="AG55" s="52">
        <f t="shared" si="3"/>
        <v>0.90477894736842113</v>
      </c>
      <c r="AH55" s="56">
        <f t="shared" si="0"/>
        <v>79</v>
      </c>
      <c r="AI55" s="57">
        <f t="shared" si="4"/>
        <v>0.90477894736842113</v>
      </c>
      <c r="AJ55" s="57">
        <f t="shared" si="5"/>
        <v>0.85954000000000008</v>
      </c>
      <c r="AK55" s="325" t="str">
        <f>IFERROR(VLOOKUP($C55,'ATTRITION RAW'!$E:$J,6,FALSE),"-")</f>
        <v>-</v>
      </c>
      <c r="AL55" s="176" t="str">
        <f t="shared" si="6"/>
        <v>-</v>
      </c>
      <c r="AM55" s="454">
        <f>IFERROR(VLOOKUP($C55,'CHURN RAW'!$A:$G,7,FALSE),"-")</f>
        <v>0.1613</v>
      </c>
      <c r="AN55" s="456" t="str">
        <f t="shared" si="1"/>
        <v>QUALITY - DESIGNERS</v>
      </c>
    </row>
    <row r="56" spans="2:40">
      <c r="B56" s="637">
        <f t="shared" si="7"/>
        <v>53</v>
      </c>
      <c r="C56" s="93">
        <v>10072026</v>
      </c>
      <c r="D56" s="93" t="s">
        <v>148</v>
      </c>
      <c r="E56" s="88" t="s">
        <v>83</v>
      </c>
      <c r="F56" s="88" t="s">
        <v>137</v>
      </c>
      <c r="G56" s="88" t="s">
        <v>85</v>
      </c>
      <c r="H56" s="88" t="s">
        <v>85</v>
      </c>
      <c r="I56" s="88" t="s">
        <v>86</v>
      </c>
      <c r="J56" s="638"/>
      <c r="K56" s="638">
        <f t="shared" si="8"/>
        <v>43739</v>
      </c>
      <c r="L56" s="639" t="str">
        <f t="shared" si="2"/>
        <v>Expert</v>
      </c>
      <c r="M56" s="53">
        <f>IFERROR(VLOOKUP($E56,KPI!$B:$T,MATCH(RESOURCES!M$3,KPI!$B$1:$T$1,0),FALSE),"-")</f>
        <v>0.25</v>
      </c>
      <c r="N56" s="53">
        <f>IFERROR(VLOOKUP($E56,KPI!$B:$T,MATCH(RESOURCES!N$3,KPI!$B$1:$T$1,0),FALSE),"-")</f>
        <v>0.25</v>
      </c>
      <c r="O56" s="53">
        <f>IFERROR(VLOOKUP($E56,KPI!$B:$T,MATCH(RESOURCES!O$3,KPI!$B$1:$T$1,0),FALSE),"-")</f>
        <v>0.1</v>
      </c>
      <c r="P56" s="53" t="str">
        <f>IFERROR(VLOOKUP($E56,KPI!$B:$T,MATCH(RESOURCES!P$3,KPI!$B$1:$T$1,0),FALSE),"-")</f>
        <v>-</v>
      </c>
      <c r="Q56" s="53" t="str">
        <f>IFERROR(VLOOKUP($E56,KPI!$B:$T,MATCH(RESOURCES!Q$3,KPI!$B$1:$T$1,0),FALSE),"-")</f>
        <v>-</v>
      </c>
      <c r="R56" s="53">
        <f>IFERROR(VLOOKUP($E56,KPI!$B:$T,MATCH(RESOURCES!R$3,KPI!$B$1:$T$1,0),FALSE),"-")</f>
        <v>0.15</v>
      </c>
      <c r="S56" s="53">
        <f>IFERROR(VLOOKUP($E56,KPI!$B:$T,MATCH(RESOURCES!S$3,KPI!$B$1:$T$1,0),FALSE),"-")</f>
        <v>0.2</v>
      </c>
      <c r="T56" s="53" t="str">
        <f>IFERROR(VLOOKUP($E56,KPI!$B:$T,MATCH(RESOURCES!T$3,KPI!$B$1:$T$1,0),FALSE),"-")</f>
        <v>-</v>
      </c>
      <c r="U56" s="53" t="str">
        <f>IFERROR(VLOOKUP($E56,KPI!$B:$T,MATCH(RESOURCES!U$3,KPI!$B$1:$T$1,0),FALSE),"-")</f>
        <v>-</v>
      </c>
      <c r="V56" s="53">
        <f>IFERROR(VLOOKUP($E56,KPI!$B:$T,MATCH(RESOURCES!V$3,KPI!$B$1:$T$1,0),FALSE),"-")</f>
        <v>0.05</v>
      </c>
      <c r="W56" s="50">
        <f>IFERROR(VLOOKUP($C56,'PRODUCTIVITY RAW'!$B:$Q,16,FALSE),"-")</f>
        <v>1</v>
      </c>
      <c r="X56" s="50">
        <f>IFERROR(VLOOKUP($C56,'CHURN RAW'!$A:$H,8,FALSE),"-")</f>
        <v>0.9</v>
      </c>
      <c r="Y56" s="50">
        <f>IFERROR(IF(AVERAGEIFS('QA RAW'!$G:$G,'QA RAW'!$E:$E,RESOURCES!$C56)=0,"-",AVERAGEIFS('QA RAW'!$G:$G,'QA RAW'!$E:$E,RESOURCES!$C56)),"-")</f>
        <v>0.99750000000000005</v>
      </c>
      <c r="Z56" s="50" t="str">
        <f>IFERROR(VLOOKUP($C56,'PR CALIBRATION RAW'!$K:$S,MATCH(RESOURCES!Z$3,'PR CALIBRATION RAW'!$K$1:$S$1,0),FALSE),"-")</f>
        <v>-</v>
      </c>
      <c r="AA56" s="50" t="str">
        <f>IFERROR(VLOOKUP($C56,'DISPUTES RAW (VQA)'!$N:$U,8,FALSE),"-")</f>
        <v>-</v>
      </c>
      <c r="AB56" s="50">
        <f>IFERROR(VLOOKUP($C56,'ATTENDANCE RAW'!$E:$R,13,FALSE),"-")</f>
        <v>1</v>
      </c>
      <c r="AC56" s="50">
        <f>IFERROR(IF($E56="Voice QA",IF(AVERAGEIFS('KC RAW'!$J:$J,'KC RAW'!$B:$B,RESOURCES!$C56)=0,"-",AVERAGEIFS('KC RAW'!$J:$J,'KC RAW'!$B:$B,RESOURCES!$C56)),IF(AVERAGEIFS('KC RAW'!$H:$H,'KC RAW'!$B:$B,RESOURCES!$C56)=0,"-",AVERAGEIFS('KC RAW'!$H:$H,'KC RAW'!$B:$B,RESOURCES!$C56))),"-")</f>
        <v>0.55000000000000004</v>
      </c>
      <c r="AD56" s="50" t="str">
        <f>IFERROR(AVERAGEIFS('CE RAW'!$G:$G,'CE RAW'!$E:$E,RESOURCES!$C56),"-")</f>
        <v>-</v>
      </c>
      <c r="AE56" s="50" t="str">
        <f>IFERROR(VLOOKUP($C56,'FCR RAW'!$A:$I,7,FALSE),"-")</f>
        <v>-</v>
      </c>
      <c r="AF56" s="50" t="str">
        <f>IFERROR(IF(VLOOKUP($C56,'BONUS RAW'!$D:$I,6,FALSE)=100%,100%,"-"),"-")</f>
        <v>-</v>
      </c>
      <c r="AG56" s="52">
        <f t="shared" si="3"/>
        <v>0.87868421052631585</v>
      </c>
      <c r="AH56" s="56">
        <f t="shared" si="0"/>
        <v>110</v>
      </c>
      <c r="AI56" s="57">
        <f t="shared" si="4"/>
        <v>0.87868421052631585</v>
      </c>
      <c r="AJ56" s="57">
        <f t="shared" si="5"/>
        <v>0.83474999999999999</v>
      </c>
      <c r="AK56" s="325" t="str">
        <f>IFERROR(VLOOKUP($C56,'ATTRITION RAW'!$E:$J,6,FALSE),"-")</f>
        <v>-</v>
      </c>
      <c r="AL56" s="176" t="str">
        <f t="shared" si="6"/>
        <v>-</v>
      </c>
      <c r="AM56" s="454">
        <f>IFERROR(VLOOKUP($C56,'CHURN RAW'!$A:$G,7,FALSE),"-")</f>
        <v>0.13789999999999999</v>
      </c>
      <c r="AN56" s="456" t="str">
        <f t="shared" si="1"/>
        <v>QUALITY - DESIGNERS</v>
      </c>
    </row>
    <row r="57" spans="2:40">
      <c r="B57" s="637">
        <f t="shared" si="7"/>
        <v>54</v>
      </c>
      <c r="C57" s="93">
        <v>10072179</v>
      </c>
      <c r="D57" s="93" t="s">
        <v>149</v>
      </c>
      <c r="E57" s="88" t="s">
        <v>83</v>
      </c>
      <c r="F57" s="88" t="s">
        <v>137</v>
      </c>
      <c r="G57" s="88" t="s">
        <v>85</v>
      </c>
      <c r="H57" s="88" t="s">
        <v>85</v>
      </c>
      <c r="I57" s="88" t="s">
        <v>86</v>
      </c>
      <c r="J57" s="638"/>
      <c r="K57" s="638">
        <f t="shared" si="8"/>
        <v>43739</v>
      </c>
      <c r="L57" s="639" t="str">
        <f t="shared" si="2"/>
        <v>Expert</v>
      </c>
      <c r="M57" s="53">
        <f>IFERROR(VLOOKUP($E57,KPI!$B:$T,MATCH(RESOURCES!M$3,KPI!$B$1:$T$1,0),FALSE),"-")</f>
        <v>0.25</v>
      </c>
      <c r="N57" s="53">
        <f>IFERROR(VLOOKUP($E57,KPI!$B:$T,MATCH(RESOURCES!N$3,KPI!$B$1:$T$1,0),FALSE),"-")</f>
        <v>0.25</v>
      </c>
      <c r="O57" s="53">
        <f>IFERROR(VLOOKUP($E57,KPI!$B:$T,MATCH(RESOURCES!O$3,KPI!$B$1:$T$1,0),FALSE),"-")</f>
        <v>0.1</v>
      </c>
      <c r="P57" s="53" t="str">
        <f>IFERROR(VLOOKUP($E57,KPI!$B:$T,MATCH(RESOURCES!P$3,KPI!$B$1:$T$1,0),FALSE),"-")</f>
        <v>-</v>
      </c>
      <c r="Q57" s="53" t="str">
        <f>IFERROR(VLOOKUP($E57,KPI!$B:$T,MATCH(RESOURCES!Q$3,KPI!$B$1:$T$1,0),FALSE),"-")</f>
        <v>-</v>
      </c>
      <c r="R57" s="53">
        <f>IFERROR(VLOOKUP($E57,KPI!$B:$T,MATCH(RESOURCES!R$3,KPI!$B$1:$T$1,0),FALSE),"-")</f>
        <v>0.15</v>
      </c>
      <c r="S57" s="53">
        <f>IFERROR(VLOOKUP($E57,KPI!$B:$T,MATCH(RESOURCES!S$3,KPI!$B$1:$T$1,0),FALSE),"-")</f>
        <v>0.2</v>
      </c>
      <c r="T57" s="53" t="str">
        <f>IFERROR(VLOOKUP($E57,KPI!$B:$T,MATCH(RESOURCES!T$3,KPI!$B$1:$T$1,0),FALSE),"-")</f>
        <v>-</v>
      </c>
      <c r="U57" s="53" t="str">
        <f>IFERROR(VLOOKUP($E57,KPI!$B:$T,MATCH(RESOURCES!U$3,KPI!$B$1:$T$1,0),FALSE),"-")</f>
        <v>-</v>
      </c>
      <c r="V57" s="53">
        <f>IFERROR(VLOOKUP($E57,KPI!$B:$T,MATCH(RESOURCES!V$3,KPI!$B$1:$T$1,0),FALSE),"-")</f>
        <v>0.05</v>
      </c>
      <c r="W57" s="50">
        <f>IFERROR(VLOOKUP($C57,'PRODUCTIVITY RAW'!$B:$Q,16,FALSE),"-")</f>
        <v>1</v>
      </c>
      <c r="X57" s="50">
        <f>IFERROR(VLOOKUP($C57,'CHURN RAW'!$A:$H,8,FALSE),"-")</f>
        <v>1</v>
      </c>
      <c r="Y57" s="50">
        <f>IFERROR(IF(AVERAGEIFS('QA RAW'!$G:$G,'QA RAW'!$E:$E,RESOURCES!$C57)=0,"-",AVERAGEIFS('QA RAW'!$G:$G,'QA RAW'!$E:$E,RESOURCES!$C57)),"-")</f>
        <v>0.99809999999999999</v>
      </c>
      <c r="Z57" s="50" t="str">
        <f>IFERROR(VLOOKUP($C57,'PR CALIBRATION RAW'!$K:$S,MATCH(RESOURCES!Z$3,'PR CALIBRATION RAW'!$K$1:$S$1,0),FALSE),"-")</f>
        <v>-</v>
      </c>
      <c r="AA57" s="50" t="str">
        <f>IFERROR(VLOOKUP($C57,'DISPUTES RAW (VQA)'!$N:$U,8,FALSE),"-")</f>
        <v>-</v>
      </c>
      <c r="AB57" s="50">
        <f>IFERROR(VLOOKUP($C57,'ATTENDANCE RAW'!$E:$R,13,FALSE),"-")</f>
        <v>1</v>
      </c>
      <c r="AC57" s="50">
        <f>IFERROR(IF($E57="Voice QA",IF(AVERAGEIFS('KC RAW'!$J:$J,'KC RAW'!$B:$B,RESOURCES!$C57)=0,"-",AVERAGEIFS('KC RAW'!$J:$J,'KC RAW'!$B:$B,RESOURCES!$C57)),IF(AVERAGEIFS('KC RAW'!$H:$H,'KC RAW'!$B:$B,RESOURCES!$C57)=0,"-",AVERAGEIFS('KC RAW'!$H:$H,'KC RAW'!$B:$B,RESOURCES!$C57))),"-")</f>
        <v>0.64999999999999991</v>
      </c>
      <c r="AD57" s="50" t="str">
        <f>IFERROR(AVERAGEIFS('CE RAW'!$G:$G,'CE RAW'!$E:$E,RESOURCES!$C57),"-")</f>
        <v>-</v>
      </c>
      <c r="AE57" s="50" t="str">
        <f>IFERROR(VLOOKUP($C57,'FCR RAW'!$A:$I,7,FALSE),"-")</f>
        <v>-</v>
      </c>
      <c r="AF57" s="50" t="str">
        <f>IFERROR(IF(VLOOKUP($C57,'BONUS RAW'!$D:$I,6,FALSE)=100%,100%,"-"),"-")</f>
        <v>-</v>
      </c>
      <c r="AG57" s="52">
        <f t="shared" si="3"/>
        <v>0.92611578947368423</v>
      </c>
      <c r="AH57" s="56">
        <f t="shared" si="0"/>
        <v>55</v>
      </c>
      <c r="AI57" s="57">
        <f t="shared" si="4"/>
        <v>0.92611578947368423</v>
      </c>
      <c r="AJ57" s="57">
        <f t="shared" si="5"/>
        <v>0.87980999999999998</v>
      </c>
      <c r="AK57" s="325" t="str">
        <f>IFERROR(VLOOKUP($C57,'ATTRITION RAW'!$E:$J,6,FALSE),"-")</f>
        <v>-</v>
      </c>
      <c r="AL57" s="176" t="str">
        <f t="shared" si="6"/>
        <v>-</v>
      </c>
      <c r="AM57" s="454">
        <f>IFERROR(VLOOKUP($C57,'CHURN RAW'!$A:$G,7,FALSE),"-")</f>
        <v>4.3499999999999997E-2</v>
      </c>
      <c r="AN57" s="456" t="str">
        <f t="shared" si="1"/>
        <v>QUALITY - DESIGNERS</v>
      </c>
    </row>
    <row r="58" spans="2:40">
      <c r="B58" s="637">
        <f t="shared" si="7"/>
        <v>55</v>
      </c>
      <c r="C58" s="93">
        <v>10072159</v>
      </c>
      <c r="D58" s="93" t="s">
        <v>150</v>
      </c>
      <c r="E58" s="88" t="s">
        <v>83</v>
      </c>
      <c r="F58" s="88" t="s">
        <v>137</v>
      </c>
      <c r="G58" s="88" t="s">
        <v>85</v>
      </c>
      <c r="H58" s="88" t="s">
        <v>85</v>
      </c>
      <c r="I58" s="88" t="s">
        <v>86</v>
      </c>
      <c r="J58" s="638"/>
      <c r="K58" s="638">
        <f t="shared" si="8"/>
        <v>43739</v>
      </c>
      <c r="L58" s="639" t="str">
        <f t="shared" si="2"/>
        <v>Expert</v>
      </c>
      <c r="M58" s="53">
        <f>IFERROR(VLOOKUP($E58,KPI!$B:$T,MATCH(RESOURCES!M$3,KPI!$B$1:$T$1,0),FALSE),"-")</f>
        <v>0.25</v>
      </c>
      <c r="N58" s="53">
        <f>IFERROR(VLOOKUP($E58,KPI!$B:$T,MATCH(RESOURCES!N$3,KPI!$B$1:$T$1,0),FALSE),"-")</f>
        <v>0.25</v>
      </c>
      <c r="O58" s="53">
        <f>IFERROR(VLOOKUP($E58,KPI!$B:$T,MATCH(RESOURCES!O$3,KPI!$B$1:$T$1,0),FALSE),"-")</f>
        <v>0.1</v>
      </c>
      <c r="P58" s="53" t="str">
        <f>IFERROR(VLOOKUP($E58,KPI!$B:$T,MATCH(RESOURCES!P$3,KPI!$B$1:$T$1,0),FALSE),"-")</f>
        <v>-</v>
      </c>
      <c r="Q58" s="53" t="str">
        <f>IFERROR(VLOOKUP($E58,KPI!$B:$T,MATCH(RESOURCES!Q$3,KPI!$B$1:$T$1,0),FALSE),"-")</f>
        <v>-</v>
      </c>
      <c r="R58" s="53">
        <f>IFERROR(VLOOKUP($E58,KPI!$B:$T,MATCH(RESOURCES!R$3,KPI!$B$1:$T$1,0),FALSE),"-")</f>
        <v>0.15</v>
      </c>
      <c r="S58" s="53">
        <f>IFERROR(VLOOKUP($E58,KPI!$B:$T,MATCH(RESOURCES!S$3,KPI!$B$1:$T$1,0),FALSE),"-")</f>
        <v>0.2</v>
      </c>
      <c r="T58" s="53" t="str">
        <f>IFERROR(VLOOKUP($E58,KPI!$B:$T,MATCH(RESOURCES!T$3,KPI!$B$1:$T$1,0),FALSE),"-")</f>
        <v>-</v>
      </c>
      <c r="U58" s="53" t="str">
        <f>IFERROR(VLOOKUP($E58,KPI!$B:$T,MATCH(RESOURCES!U$3,KPI!$B$1:$T$1,0),FALSE),"-")</f>
        <v>-</v>
      </c>
      <c r="V58" s="53">
        <f>IFERROR(VLOOKUP($E58,KPI!$B:$T,MATCH(RESOURCES!V$3,KPI!$B$1:$T$1,0),FALSE),"-")</f>
        <v>0.05</v>
      </c>
      <c r="W58" s="50">
        <f>IFERROR(VLOOKUP($C58,'PRODUCTIVITY RAW'!$B:$Q,16,FALSE),"-")</f>
        <v>0.99468253968253983</v>
      </c>
      <c r="X58" s="50">
        <f>IFERROR(VLOOKUP($C58,'CHURN RAW'!$A:$H,8,FALSE),"-")</f>
        <v>0.9</v>
      </c>
      <c r="Y58" s="50">
        <f>IFERROR(IF(AVERAGEIFS('QA RAW'!$G:$G,'QA RAW'!$E:$E,RESOURCES!$C58)=0,"-",AVERAGEIFS('QA RAW'!$G:$G,'QA RAW'!$E:$E,RESOURCES!$C58)),"-")</f>
        <v>0.99660000000000004</v>
      </c>
      <c r="Z58" s="50" t="str">
        <f>IFERROR(VLOOKUP($C58,'PR CALIBRATION RAW'!$K:$S,MATCH(RESOURCES!Z$3,'PR CALIBRATION RAW'!$K$1:$S$1,0),FALSE),"-")</f>
        <v>-</v>
      </c>
      <c r="AA58" s="50" t="str">
        <f>IFERROR(VLOOKUP($C58,'DISPUTES RAW (VQA)'!$N:$U,8,FALSE),"-")</f>
        <v>-</v>
      </c>
      <c r="AB58" s="50">
        <f>IFERROR(VLOOKUP($C58,'ATTENDANCE RAW'!$E:$R,13,FALSE),"-")</f>
        <v>1</v>
      </c>
      <c r="AC58" s="50">
        <f>IFERROR(IF($E58="Voice QA",IF(AVERAGEIFS('KC RAW'!$J:$J,'KC RAW'!$B:$B,RESOURCES!$C58)=0,"-",AVERAGEIFS('KC RAW'!$J:$J,'KC RAW'!$B:$B,RESOURCES!$C58)),IF(AVERAGEIFS('KC RAW'!$H:$H,'KC RAW'!$B:$B,RESOURCES!$C58)=0,"-",AVERAGEIFS('KC RAW'!$H:$H,'KC RAW'!$B:$B,RESOURCES!$C58))),"-")</f>
        <v>0.55000000000000004</v>
      </c>
      <c r="AD58" s="50" t="str">
        <f>IFERROR(AVERAGEIFS('CE RAW'!$G:$G,'CE RAW'!$E:$E,RESOURCES!$C58),"-")</f>
        <v>-</v>
      </c>
      <c r="AE58" s="50" t="str">
        <f>IFERROR(VLOOKUP($C58,'FCR RAW'!$A:$I,7,FALSE),"-")</f>
        <v>-</v>
      </c>
      <c r="AF58" s="50">
        <f>IFERROR(IF(VLOOKUP($C58,'BONUS RAW'!$D:$I,6,FALSE)=100%,100%,"-"),"-")</f>
        <v>1</v>
      </c>
      <c r="AG58" s="52">
        <f t="shared" si="3"/>
        <v>0.88333063492063502</v>
      </c>
      <c r="AH58" s="56">
        <f t="shared" si="0"/>
        <v>104</v>
      </c>
      <c r="AI58" s="57">
        <f t="shared" si="4"/>
        <v>0.87719014202172108</v>
      </c>
      <c r="AJ58" s="57">
        <f t="shared" si="5"/>
        <v>0.88333063492063502</v>
      </c>
      <c r="AK58" s="325" t="str">
        <f>IFERROR(VLOOKUP($C58,'ATTRITION RAW'!$E:$J,6,FALSE),"-")</f>
        <v>-</v>
      </c>
      <c r="AL58" s="176" t="str">
        <f t="shared" si="6"/>
        <v>-</v>
      </c>
      <c r="AM58" s="454">
        <f>IFERROR(VLOOKUP($C58,'CHURN RAW'!$A:$G,7,FALSE),"-")</f>
        <v>0.1176</v>
      </c>
      <c r="AN58" s="456" t="str">
        <f t="shared" si="1"/>
        <v>QUALITY - DESIGNERS</v>
      </c>
    </row>
    <row r="59" spans="2:40">
      <c r="B59" s="637">
        <f t="shared" si="7"/>
        <v>56</v>
      </c>
      <c r="C59" s="93">
        <v>10072155</v>
      </c>
      <c r="D59" s="93" t="s">
        <v>151</v>
      </c>
      <c r="E59" s="88" t="s">
        <v>83</v>
      </c>
      <c r="F59" s="88" t="s">
        <v>152</v>
      </c>
      <c r="G59" s="88" t="s">
        <v>85</v>
      </c>
      <c r="H59" s="88" t="s">
        <v>85</v>
      </c>
      <c r="I59" s="88" t="s">
        <v>86</v>
      </c>
      <c r="J59" s="638"/>
      <c r="K59" s="638">
        <f t="shared" si="8"/>
        <v>43739</v>
      </c>
      <c r="L59" s="639" t="str">
        <f t="shared" si="2"/>
        <v>Expert</v>
      </c>
      <c r="M59" s="53">
        <f>IFERROR(VLOOKUP($E59,KPI!$B:$T,MATCH(RESOURCES!M$3,KPI!$B$1:$T$1,0),FALSE),"-")</f>
        <v>0.25</v>
      </c>
      <c r="N59" s="53">
        <f>IFERROR(VLOOKUP($E59,KPI!$B:$T,MATCH(RESOURCES!N$3,KPI!$B$1:$T$1,0),FALSE),"-")</f>
        <v>0.25</v>
      </c>
      <c r="O59" s="53">
        <f>IFERROR(VLOOKUP($E59,KPI!$B:$T,MATCH(RESOURCES!O$3,KPI!$B$1:$T$1,0),FALSE),"-")</f>
        <v>0.1</v>
      </c>
      <c r="P59" s="53" t="str">
        <f>IFERROR(VLOOKUP($E59,KPI!$B:$T,MATCH(RESOURCES!P$3,KPI!$B$1:$T$1,0),FALSE),"-")</f>
        <v>-</v>
      </c>
      <c r="Q59" s="53" t="str">
        <f>IFERROR(VLOOKUP($E59,KPI!$B:$T,MATCH(RESOURCES!Q$3,KPI!$B$1:$T$1,0),FALSE),"-")</f>
        <v>-</v>
      </c>
      <c r="R59" s="53">
        <f>IFERROR(VLOOKUP($E59,KPI!$B:$T,MATCH(RESOURCES!R$3,KPI!$B$1:$T$1,0),FALSE),"-")</f>
        <v>0.15</v>
      </c>
      <c r="S59" s="53">
        <f>IFERROR(VLOOKUP($E59,KPI!$B:$T,MATCH(RESOURCES!S$3,KPI!$B$1:$T$1,0),FALSE),"-")</f>
        <v>0.2</v>
      </c>
      <c r="T59" s="53" t="str">
        <f>IFERROR(VLOOKUP($E59,KPI!$B:$T,MATCH(RESOURCES!T$3,KPI!$B$1:$T$1,0),FALSE),"-")</f>
        <v>-</v>
      </c>
      <c r="U59" s="53" t="str">
        <f>IFERROR(VLOOKUP($E59,KPI!$B:$T,MATCH(RESOURCES!U$3,KPI!$B$1:$T$1,0),FALSE),"-")</f>
        <v>-</v>
      </c>
      <c r="V59" s="53">
        <f>IFERROR(VLOOKUP($E59,KPI!$B:$T,MATCH(RESOURCES!V$3,KPI!$B$1:$T$1,0),FALSE),"-")</f>
        <v>0.05</v>
      </c>
      <c r="W59" s="50">
        <f>IFERROR(VLOOKUP($C59,'PRODUCTIVITY RAW'!$B:$Q,16,FALSE),"-")</f>
        <v>1</v>
      </c>
      <c r="X59" s="50">
        <f>IFERROR(VLOOKUP($C59,'CHURN RAW'!$A:$H,8,FALSE),"-")</f>
        <v>0.8</v>
      </c>
      <c r="Y59" s="50">
        <f>IFERROR(IF(AVERAGEIFS('QA RAW'!$G:$G,'QA RAW'!$E:$E,RESOURCES!$C59)=0,"-",AVERAGEIFS('QA RAW'!$G:$G,'QA RAW'!$E:$E,RESOURCES!$C59)),"-")</f>
        <v>0.99590000000000001</v>
      </c>
      <c r="Z59" s="50" t="str">
        <f>IFERROR(VLOOKUP($C59,'PR CALIBRATION RAW'!$K:$S,MATCH(RESOURCES!Z$3,'PR CALIBRATION RAW'!$K$1:$S$1,0),FALSE),"-")</f>
        <v>-</v>
      </c>
      <c r="AA59" s="50" t="str">
        <f>IFERROR(VLOOKUP($C59,'DISPUTES RAW (VQA)'!$N:$U,8,FALSE),"-")</f>
        <v>-</v>
      </c>
      <c r="AB59" s="50">
        <f>IFERROR(VLOOKUP($C59,'ATTENDANCE RAW'!$E:$R,13,FALSE),"-")</f>
        <v>1</v>
      </c>
      <c r="AC59" s="50">
        <f>IFERROR(IF($E59="Voice QA",IF(AVERAGEIFS('KC RAW'!$J:$J,'KC RAW'!$B:$B,RESOURCES!$C59)=0,"-",AVERAGEIFS('KC RAW'!$J:$J,'KC RAW'!$B:$B,RESOURCES!$C59)),IF(AVERAGEIFS('KC RAW'!$H:$H,'KC RAW'!$B:$B,RESOURCES!$C59)=0,"-",AVERAGEIFS('KC RAW'!$H:$H,'KC RAW'!$B:$B,RESOURCES!$C59))),"-")</f>
        <v>0.7</v>
      </c>
      <c r="AD59" s="50" t="str">
        <f>IFERROR(AVERAGEIFS('CE RAW'!$G:$G,'CE RAW'!$E:$E,RESOURCES!$C59),"-")</f>
        <v>-</v>
      </c>
      <c r="AE59" s="50" t="str">
        <f>IFERROR(VLOOKUP($C59,'FCR RAW'!$A:$I,7,FALSE),"-")</f>
        <v>-</v>
      </c>
      <c r="AF59" s="50" t="str">
        <f>IFERROR(IF(VLOOKUP($C59,'BONUS RAW'!$D:$I,6,FALSE)=100%,100%,"-"),"-")</f>
        <v>-</v>
      </c>
      <c r="AG59" s="52">
        <f t="shared" si="3"/>
        <v>0.88377894736842111</v>
      </c>
      <c r="AH59" s="56">
        <f t="shared" si="0"/>
        <v>103</v>
      </c>
      <c r="AI59" s="57">
        <f t="shared" si="4"/>
        <v>0.88377894736842111</v>
      </c>
      <c r="AJ59" s="57">
        <f t="shared" si="5"/>
        <v>0.83959000000000006</v>
      </c>
      <c r="AK59" s="325" t="str">
        <f>IFERROR(VLOOKUP($C59,'ATTRITION RAW'!$E:$J,6,FALSE),"-")</f>
        <v>-</v>
      </c>
      <c r="AL59" s="176" t="str">
        <f t="shared" si="6"/>
        <v>-</v>
      </c>
      <c r="AM59" s="454">
        <f>IFERROR(VLOOKUP($C59,'CHURN RAW'!$A:$G,7,FALSE),"-")</f>
        <v>0.21429999999999999</v>
      </c>
      <c r="AN59" s="456" t="str">
        <f t="shared" si="1"/>
        <v>QUALITY - DESIGNERS</v>
      </c>
    </row>
    <row r="60" spans="2:40">
      <c r="B60" s="637">
        <f t="shared" si="7"/>
        <v>57</v>
      </c>
      <c r="C60" s="93">
        <v>10072451</v>
      </c>
      <c r="D60" s="93" t="s">
        <v>153</v>
      </c>
      <c r="E60" s="88" t="s">
        <v>83</v>
      </c>
      <c r="F60" s="88" t="s">
        <v>152</v>
      </c>
      <c r="G60" s="88" t="s">
        <v>85</v>
      </c>
      <c r="H60" s="88" t="s">
        <v>85</v>
      </c>
      <c r="I60" s="88" t="s">
        <v>86</v>
      </c>
      <c r="J60" s="638"/>
      <c r="K60" s="638">
        <f t="shared" si="8"/>
        <v>43739</v>
      </c>
      <c r="L60" s="639" t="str">
        <f t="shared" si="2"/>
        <v>Expert</v>
      </c>
      <c r="M60" s="53">
        <f>IFERROR(VLOOKUP($E60,KPI!$B:$T,MATCH(RESOURCES!M$3,KPI!$B$1:$T$1,0),FALSE),"-")</f>
        <v>0.25</v>
      </c>
      <c r="N60" s="53">
        <f>IFERROR(VLOOKUP($E60,KPI!$B:$T,MATCH(RESOURCES!N$3,KPI!$B$1:$T$1,0),FALSE),"-")</f>
        <v>0.25</v>
      </c>
      <c r="O60" s="53">
        <f>IFERROR(VLOOKUP($E60,KPI!$B:$T,MATCH(RESOURCES!O$3,KPI!$B$1:$T$1,0),FALSE),"-")</f>
        <v>0.1</v>
      </c>
      <c r="P60" s="53" t="str">
        <f>IFERROR(VLOOKUP($E60,KPI!$B:$T,MATCH(RESOURCES!P$3,KPI!$B$1:$T$1,0),FALSE),"-")</f>
        <v>-</v>
      </c>
      <c r="Q60" s="53" t="str">
        <f>IFERROR(VLOOKUP($E60,KPI!$B:$T,MATCH(RESOURCES!Q$3,KPI!$B$1:$T$1,0),FALSE),"-")</f>
        <v>-</v>
      </c>
      <c r="R60" s="53">
        <f>IFERROR(VLOOKUP($E60,KPI!$B:$T,MATCH(RESOURCES!R$3,KPI!$B$1:$T$1,0),FALSE),"-")</f>
        <v>0.15</v>
      </c>
      <c r="S60" s="53">
        <f>IFERROR(VLOOKUP($E60,KPI!$B:$T,MATCH(RESOURCES!S$3,KPI!$B$1:$T$1,0),FALSE),"-")</f>
        <v>0.2</v>
      </c>
      <c r="T60" s="53" t="str">
        <f>IFERROR(VLOOKUP($E60,KPI!$B:$T,MATCH(RESOURCES!T$3,KPI!$B$1:$T$1,0),FALSE),"-")</f>
        <v>-</v>
      </c>
      <c r="U60" s="53" t="str">
        <f>IFERROR(VLOOKUP($E60,KPI!$B:$T,MATCH(RESOURCES!U$3,KPI!$B$1:$T$1,0),FALSE),"-")</f>
        <v>-</v>
      </c>
      <c r="V60" s="53">
        <f>IFERROR(VLOOKUP($E60,KPI!$B:$T,MATCH(RESOURCES!V$3,KPI!$B$1:$T$1,0),FALSE),"-")</f>
        <v>0.05</v>
      </c>
      <c r="W60" s="50">
        <f>IFERROR(VLOOKUP($C60,'PRODUCTIVITY RAW'!$B:$Q,16,FALSE),"-")</f>
        <v>1</v>
      </c>
      <c r="X60" s="50">
        <f>IFERROR(VLOOKUP($C60,'CHURN RAW'!$A:$H,8,FALSE),"-")</f>
        <v>0.8</v>
      </c>
      <c r="Y60" s="50">
        <f>IFERROR(IF(AVERAGEIFS('QA RAW'!$G:$G,'QA RAW'!$E:$E,RESOURCES!$C60)=0,"-",AVERAGEIFS('QA RAW'!$G:$G,'QA RAW'!$E:$E,RESOURCES!$C60)),"-")</f>
        <v>0.998</v>
      </c>
      <c r="Z60" s="50" t="str">
        <f>IFERROR(VLOOKUP($C60,'PR CALIBRATION RAW'!$K:$S,MATCH(RESOURCES!Z$3,'PR CALIBRATION RAW'!$K$1:$S$1,0),FALSE),"-")</f>
        <v>-</v>
      </c>
      <c r="AA60" s="50" t="str">
        <f>IFERROR(VLOOKUP($C60,'DISPUTES RAW (VQA)'!$N:$U,8,FALSE),"-")</f>
        <v>-</v>
      </c>
      <c r="AB60" s="50">
        <f>IFERROR(VLOOKUP($C60,'ATTENDANCE RAW'!$E:$R,13,FALSE),"-")</f>
        <v>1</v>
      </c>
      <c r="AC60" s="50">
        <f>IFERROR(IF($E60="Voice QA",IF(AVERAGEIFS('KC RAW'!$J:$J,'KC RAW'!$B:$B,RESOURCES!$C60)=0,"-",AVERAGEIFS('KC RAW'!$J:$J,'KC RAW'!$B:$B,RESOURCES!$C60)),IF(AVERAGEIFS('KC RAW'!$H:$H,'KC RAW'!$B:$B,RESOURCES!$C60)=0,"-",AVERAGEIFS('KC RAW'!$H:$H,'KC RAW'!$B:$B,RESOURCES!$C60))),"-")</f>
        <v>0.85000000000000009</v>
      </c>
      <c r="AD60" s="50" t="str">
        <f>IFERROR(AVERAGEIFS('CE RAW'!$G:$G,'CE RAW'!$E:$E,RESOURCES!$C60),"-")</f>
        <v>-</v>
      </c>
      <c r="AE60" s="50" t="str">
        <f>IFERROR(VLOOKUP($C60,'FCR RAW'!$A:$I,7,FALSE),"-")</f>
        <v>-</v>
      </c>
      <c r="AF60" s="50" t="str">
        <f>IFERROR(IF(VLOOKUP($C60,'BONUS RAW'!$D:$I,6,FALSE)=100%,100%,"-"),"-")</f>
        <v>-</v>
      </c>
      <c r="AG60" s="52">
        <f t="shared" si="3"/>
        <v>0.91557894736842127</v>
      </c>
      <c r="AH60" s="56">
        <f t="shared" si="0"/>
        <v>62</v>
      </c>
      <c r="AI60" s="57">
        <f t="shared" si="4"/>
        <v>0.91557894736842127</v>
      </c>
      <c r="AJ60" s="57">
        <f t="shared" si="5"/>
        <v>0.86980000000000013</v>
      </c>
      <c r="AK60" s="325" t="str">
        <f>IFERROR(VLOOKUP($C60,'ATTRITION RAW'!$E:$J,6,FALSE),"-")</f>
        <v>-</v>
      </c>
      <c r="AL60" s="176" t="str">
        <f t="shared" si="6"/>
        <v>-</v>
      </c>
      <c r="AM60" s="454">
        <f>IFERROR(VLOOKUP($C60,'CHURN RAW'!$A:$G,7,FALSE),"-")</f>
        <v>0.18179999999999999</v>
      </c>
      <c r="AN60" s="456" t="str">
        <f t="shared" si="1"/>
        <v>QUALITY - DESIGNERS</v>
      </c>
    </row>
    <row r="61" spans="2:40">
      <c r="B61" s="637">
        <f t="shared" si="7"/>
        <v>58</v>
      </c>
      <c r="C61" s="93">
        <v>10071201</v>
      </c>
      <c r="D61" s="93" t="s">
        <v>154</v>
      </c>
      <c r="E61" s="88" t="s">
        <v>83</v>
      </c>
      <c r="F61" s="88" t="s">
        <v>152</v>
      </c>
      <c r="G61" s="88" t="s">
        <v>85</v>
      </c>
      <c r="H61" s="88" t="s">
        <v>85</v>
      </c>
      <c r="I61" s="88" t="s">
        <v>86</v>
      </c>
      <c r="J61" s="638"/>
      <c r="K61" s="638">
        <f t="shared" si="8"/>
        <v>43739</v>
      </c>
      <c r="L61" s="639" t="str">
        <f t="shared" si="2"/>
        <v>Expert</v>
      </c>
      <c r="M61" s="53">
        <f>IFERROR(VLOOKUP($E61,KPI!$B:$T,MATCH(RESOURCES!M$3,KPI!$B$1:$T$1,0),FALSE),"-")</f>
        <v>0.25</v>
      </c>
      <c r="N61" s="53">
        <f>IFERROR(VLOOKUP($E61,KPI!$B:$T,MATCH(RESOURCES!N$3,KPI!$B$1:$T$1,0),FALSE),"-")</f>
        <v>0.25</v>
      </c>
      <c r="O61" s="53">
        <f>IFERROR(VLOOKUP($E61,KPI!$B:$T,MATCH(RESOURCES!O$3,KPI!$B$1:$T$1,0),FALSE),"-")</f>
        <v>0.1</v>
      </c>
      <c r="P61" s="53" t="str">
        <f>IFERROR(VLOOKUP($E61,KPI!$B:$T,MATCH(RESOURCES!P$3,KPI!$B$1:$T$1,0),FALSE),"-")</f>
        <v>-</v>
      </c>
      <c r="Q61" s="53" t="str">
        <f>IFERROR(VLOOKUP($E61,KPI!$B:$T,MATCH(RESOURCES!Q$3,KPI!$B$1:$T$1,0),FALSE),"-")</f>
        <v>-</v>
      </c>
      <c r="R61" s="53">
        <f>IFERROR(VLOOKUP($E61,KPI!$B:$T,MATCH(RESOURCES!R$3,KPI!$B$1:$T$1,0),FALSE),"-")</f>
        <v>0.15</v>
      </c>
      <c r="S61" s="53">
        <f>IFERROR(VLOOKUP($E61,KPI!$B:$T,MATCH(RESOURCES!S$3,KPI!$B$1:$T$1,0),FALSE),"-")</f>
        <v>0.2</v>
      </c>
      <c r="T61" s="53" t="str">
        <f>IFERROR(VLOOKUP($E61,KPI!$B:$T,MATCH(RESOURCES!T$3,KPI!$B$1:$T$1,0),FALSE),"-")</f>
        <v>-</v>
      </c>
      <c r="U61" s="53" t="str">
        <f>IFERROR(VLOOKUP($E61,KPI!$B:$T,MATCH(RESOURCES!U$3,KPI!$B$1:$T$1,0),FALSE),"-")</f>
        <v>-</v>
      </c>
      <c r="V61" s="53">
        <f>IFERROR(VLOOKUP($E61,KPI!$B:$T,MATCH(RESOURCES!V$3,KPI!$B$1:$T$1,0),FALSE),"-")</f>
        <v>0.05</v>
      </c>
      <c r="W61" s="50">
        <f>IFERROR(VLOOKUP($C61,'PRODUCTIVITY RAW'!$B:$Q,16,FALSE),"-")</f>
        <v>1</v>
      </c>
      <c r="X61" s="50">
        <f>IFERROR(VLOOKUP($C61,'CHURN RAW'!$A:$H,8,FALSE),"-")</f>
        <v>0.8</v>
      </c>
      <c r="Y61" s="50">
        <f>IFERROR(IF(AVERAGEIFS('QA RAW'!$G:$G,'QA RAW'!$E:$E,RESOURCES!$C61)=0,"-",AVERAGEIFS('QA RAW'!$G:$G,'QA RAW'!$E:$E,RESOURCES!$C61)),"-")</f>
        <v>0.99544999999999995</v>
      </c>
      <c r="Z61" s="50" t="str">
        <f>IFERROR(VLOOKUP($C61,'PR CALIBRATION RAW'!$K:$S,MATCH(RESOURCES!Z$3,'PR CALIBRATION RAW'!$K$1:$S$1,0),FALSE),"-")</f>
        <v>-</v>
      </c>
      <c r="AA61" s="50" t="str">
        <f>IFERROR(VLOOKUP($C61,'DISPUTES RAW (VQA)'!$N:$U,8,FALSE),"-")</f>
        <v>-</v>
      </c>
      <c r="AB61" s="50">
        <f>IFERROR(VLOOKUP($C61,'ATTENDANCE RAW'!$E:$R,13,FALSE),"-")</f>
        <v>0.95454545454545459</v>
      </c>
      <c r="AC61" s="50">
        <f>IFERROR(IF($E61="Voice QA",IF(AVERAGEIFS('KC RAW'!$J:$J,'KC RAW'!$B:$B,RESOURCES!$C61)=0,"-",AVERAGEIFS('KC RAW'!$J:$J,'KC RAW'!$B:$B,RESOURCES!$C61)),IF(AVERAGEIFS('KC RAW'!$H:$H,'KC RAW'!$B:$B,RESOURCES!$C61)=0,"-",AVERAGEIFS('KC RAW'!$H:$H,'KC RAW'!$B:$B,RESOURCES!$C61))),"-")</f>
        <v>0.6</v>
      </c>
      <c r="AD61" s="50" t="str">
        <f>IFERROR(AVERAGEIFS('CE RAW'!$G:$G,'CE RAW'!$E:$E,RESOURCES!$C61),"-")</f>
        <v>-</v>
      </c>
      <c r="AE61" s="50" t="str">
        <f>IFERROR(VLOOKUP($C61,'FCR RAW'!$A:$I,7,FALSE),"-")</f>
        <v>-</v>
      </c>
      <c r="AF61" s="50" t="str">
        <f>IFERROR(IF(VLOOKUP($C61,'BONUS RAW'!$D:$I,6,FALSE)=100%,100%,"-"),"-")</f>
        <v>-</v>
      </c>
      <c r="AG61" s="52">
        <f t="shared" si="3"/>
        <v>0.85550191387559804</v>
      </c>
      <c r="AH61" s="56">
        <f t="shared" si="0"/>
        <v>123</v>
      </c>
      <c r="AI61" s="57">
        <f t="shared" si="4"/>
        <v>0.85550191387559804</v>
      </c>
      <c r="AJ61" s="57">
        <f t="shared" si="5"/>
        <v>0.81272681818181813</v>
      </c>
      <c r="AK61" s="325" t="str">
        <f>IFERROR(VLOOKUP($C61,'ATTRITION RAW'!$E:$J,6,FALSE),"-")</f>
        <v>-</v>
      </c>
      <c r="AL61" s="176" t="str">
        <f t="shared" si="6"/>
        <v>-</v>
      </c>
      <c r="AM61" s="454">
        <f>IFERROR(VLOOKUP($C61,'CHURN RAW'!$A:$G,7,FALSE),"-")</f>
        <v>0.2</v>
      </c>
      <c r="AN61" s="456" t="str">
        <f t="shared" si="1"/>
        <v>QUALITY - DESIGNERS</v>
      </c>
    </row>
    <row r="62" spans="2:40">
      <c r="B62" s="637">
        <f t="shared" si="7"/>
        <v>59</v>
      </c>
      <c r="C62" s="93">
        <v>10072241</v>
      </c>
      <c r="D62" s="93" t="s">
        <v>155</v>
      </c>
      <c r="E62" s="88" t="s">
        <v>83</v>
      </c>
      <c r="F62" s="88" t="s">
        <v>152</v>
      </c>
      <c r="G62" s="88" t="s">
        <v>85</v>
      </c>
      <c r="H62" s="88" t="s">
        <v>85</v>
      </c>
      <c r="I62" s="88" t="s">
        <v>86</v>
      </c>
      <c r="J62" s="638"/>
      <c r="K62" s="638">
        <f t="shared" si="8"/>
        <v>43739</v>
      </c>
      <c r="L62" s="639" t="str">
        <f t="shared" si="2"/>
        <v>Expert</v>
      </c>
      <c r="M62" s="53">
        <f>IFERROR(VLOOKUP($E62,KPI!$B:$T,MATCH(RESOURCES!M$3,KPI!$B$1:$T$1,0),FALSE),"-")</f>
        <v>0.25</v>
      </c>
      <c r="N62" s="53">
        <f>IFERROR(VLOOKUP($E62,KPI!$B:$T,MATCH(RESOURCES!N$3,KPI!$B$1:$T$1,0),FALSE),"-")</f>
        <v>0.25</v>
      </c>
      <c r="O62" s="53">
        <f>IFERROR(VLOOKUP($E62,KPI!$B:$T,MATCH(RESOURCES!O$3,KPI!$B$1:$T$1,0),FALSE),"-")</f>
        <v>0.1</v>
      </c>
      <c r="P62" s="53" t="str">
        <f>IFERROR(VLOOKUP($E62,KPI!$B:$T,MATCH(RESOURCES!P$3,KPI!$B$1:$T$1,0),FALSE),"-")</f>
        <v>-</v>
      </c>
      <c r="Q62" s="53" t="str">
        <f>IFERROR(VLOOKUP($E62,KPI!$B:$T,MATCH(RESOURCES!Q$3,KPI!$B$1:$T$1,0),FALSE),"-")</f>
        <v>-</v>
      </c>
      <c r="R62" s="53">
        <f>IFERROR(VLOOKUP($E62,KPI!$B:$T,MATCH(RESOURCES!R$3,KPI!$B$1:$T$1,0),FALSE),"-")</f>
        <v>0.15</v>
      </c>
      <c r="S62" s="53">
        <f>IFERROR(VLOOKUP($E62,KPI!$B:$T,MATCH(RESOURCES!S$3,KPI!$B$1:$T$1,0),FALSE),"-")</f>
        <v>0.2</v>
      </c>
      <c r="T62" s="53" t="str">
        <f>IFERROR(VLOOKUP($E62,KPI!$B:$T,MATCH(RESOURCES!T$3,KPI!$B$1:$T$1,0),FALSE),"-")</f>
        <v>-</v>
      </c>
      <c r="U62" s="53" t="str">
        <f>IFERROR(VLOOKUP($E62,KPI!$B:$T,MATCH(RESOURCES!U$3,KPI!$B$1:$T$1,0),FALSE),"-")</f>
        <v>-</v>
      </c>
      <c r="V62" s="53">
        <f>IFERROR(VLOOKUP($E62,KPI!$B:$T,MATCH(RESOURCES!V$3,KPI!$B$1:$T$1,0),FALSE),"-")</f>
        <v>0.05</v>
      </c>
      <c r="W62" s="50">
        <f>IFERROR(VLOOKUP($C62,'PRODUCTIVITY RAW'!$B:$Q,16,FALSE),"-")</f>
        <v>1</v>
      </c>
      <c r="X62" s="50">
        <f>IFERROR(VLOOKUP($C62,'CHURN RAW'!$A:$H,8,FALSE),"-")</f>
        <v>0.9</v>
      </c>
      <c r="Y62" s="50">
        <f>IFERROR(IF(AVERAGEIFS('QA RAW'!$G:$G,'QA RAW'!$E:$E,RESOURCES!$C62)=0,"-",AVERAGEIFS('QA RAW'!$G:$G,'QA RAW'!$E:$E,RESOURCES!$C62)),"-")</f>
        <v>0.99739999999999995</v>
      </c>
      <c r="Z62" s="50" t="str">
        <f>IFERROR(VLOOKUP($C62,'PR CALIBRATION RAW'!$K:$S,MATCH(RESOURCES!Z$3,'PR CALIBRATION RAW'!$K$1:$S$1,0),FALSE),"-")</f>
        <v>-</v>
      </c>
      <c r="AA62" s="50" t="str">
        <f>IFERROR(VLOOKUP($C62,'DISPUTES RAW (VQA)'!$N:$U,8,FALSE),"-")</f>
        <v>-</v>
      </c>
      <c r="AB62" s="50">
        <f>IFERROR(VLOOKUP($C62,'ATTENDANCE RAW'!$E:$R,13,FALSE),"-")</f>
        <v>0.95454545454545459</v>
      </c>
      <c r="AC62" s="50">
        <f>IFERROR(IF($E62="Voice QA",IF(AVERAGEIFS('KC RAW'!$J:$J,'KC RAW'!$B:$B,RESOURCES!$C62)=0,"-",AVERAGEIFS('KC RAW'!$J:$J,'KC RAW'!$B:$B,RESOURCES!$C62)),IF(AVERAGEIFS('KC RAW'!$H:$H,'KC RAW'!$B:$B,RESOURCES!$C62)=0,"-",AVERAGEIFS('KC RAW'!$H:$H,'KC RAW'!$B:$B,RESOURCES!$C62))),"-")</f>
        <v>0.9</v>
      </c>
      <c r="AD62" s="50" t="str">
        <f>IFERROR(AVERAGEIFS('CE RAW'!$G:$G,'CE RAW'!$E:$E,RESOURCES!$C62),"-")</f>
        <v>-</v>
      </c>
      <c r="AE62" s="50" t="str">
        <f>IFERROR(VLOOKUP($C62,'FCR RAW'!$A:$I,7,FALSE),"-")</f>
        <v>-</v>
      </c>
      <c r="AF62" s="50" t="str">
        <f>IFERROR(IF(VLOOKUP($C62,'BONUS RAW'!$D:$I,6,FALSE)=100%,100%,"-"),"-")</f>
        <v>-</v>
      </c>
      <c r="AG62" s="52">
        <f t="shared" si="3"/>
        <v>0.94518086124401923</v>
      </c>
      <c r="AH62" s="56">
        <f t="shared" si="0"/>
        <v>42</v>
      </c>
      <c r="AI62" s="57">
        <f t="shared" si="4"/>
        <v>0.94518086124401923</v>
      </c>
      <c r="AJ62" s="57">
        <f t="shared" si="5"/>
        <v>0.89792181818181827</v>
      </c>
      <c r="AK62" s="325" t="str">
        <f>IFERROR(VLOOKUP($C62,'ATTRITION RAW'!$E:$J,6,FALSE),"-")</f>
        <v>-</v>
      </c>
      <c r="AL62" s="176" t="str">
        <f t="shared" si="6"/>
        <v>-</v>
      </c>
      <c r="AM62" s="454">
        <f>IFERROR(VLOOKUP($C62,'CHURN RAW'!$A:$G,7,FALSE),"-")</f>
        <v>9.0899999999999995E-2</v>
      </c>
      <c r="AN62" s="456" t="str">
        <f t="shared" si="1"/>
        <v>QUALITY - DESIGNERS</v>
      </c>
    </row>
    <row r="63" spans="2:40">
      <c r="B63" s="637">
        <f t="shared" si="7"/>
        <v>60</v>
      </c>
      <c r="C63" s="93">
        <v>10072237</v>
      </c>
      <c r="D63" s="93" t="s">
        <v>156</v>
      </c>
      <c r="E63" s="88" t="s">
        <v>83</v>
      </c>
      <c r="F63" s="88" t="s">
        <v>152</v>
      </c>
      <c r="G63" s="88" t="s">
        <v>85</v>
      </c>
      <c r="H63" s="88" t="s">
        <v>85</v>
      </c>
      <c r="I63" s="88" t="s">
        <v>86</v>
      </c>
      <c r="J63" s="638"/>
      <c r="K63" s="638">
        <f t="shared" si="8"/>
        <v>43739</v>
      </c>
      <c r="L63" s="639" t="str">
        <f t="shared" si="2"/>
        <v>Expert</v>
      </c>
      <c r="M63" s="53">
        <f>IFERROR(VLOOKUP($E63,KPI!$B:$T,MATCH(RESOURCES!M$3,KPI!$B$1:$T$1,0),FALSE),"-")</f>
        <v>0.25</v>
      </c>
      <c r="N63" s="53">
        <f>IFERROR(VLOOKUP($E63,KPI!$B:$T,MATCH(RESOURCES!N$3,KPI!$B$1:$T$1,0),FALSE),"-")</f>
        <v>0.25</v>
      </c>
      <c r="O63" s="53">
        <f>IFERROR(VLOOKUP($E63,KPI!$B:$T,MATCH(RESOURCES!O$3,KPI!$B$1:$T$1,0),FALSE),"-")</f>
        <v>0.1</v>
      </c>
      <c r="P63" s="53" t="str">
        <f>IFERROR(VLOOKUP($E63,KPI!$B:$T,MATCH(RESOURCES!P$3,KPI!$B$1:$T$1,0),FALSE),"-")</f>
        <v>-</v>
      </c>
      <c r="Q63" s="53" t="str">
        <f>IFERROR(VLOOKUP($E63,KPI!$B:$T,MATCH(RESOURCES!Q$3,KPI!$B$1:$T$1,0),FALSE),"-")</f>
        <v>-</v>
      </c>
      <c r="R63" s="53">
        <f>IFERROR(VLOOKUP($E63,KPI!$B:$T,MATCH(RESOURCES!R$3,KPI!$B$1:$T$1,0),FALSE),"-")</f>
        <v>0.15</v>
      </c>
      <c r="S63" s="53">
        <f>IFERROR(VLOOKUP($E63,KPI!$B:$T,MATCH(RESOURCES!S$3,KPI!$B$1:$T$1,0),FALSE),"-")</f>
        <v>0.2</v>
      </c>
      <c r="T63" s="53" t="str">
        <f>IFERROR(VLOOKUP($E63,KPI!$B:$T,MATCH(RESOURCES!T$3,KPI!$B$1:$T$1,0),FALSE),"-")</f>
        <v>-</v>
      </c>
      <c r="U63" s="53" t="str">
        <f>IFERROR(VLOOKUP($E63,KPI!$B:$T,MATCH(RESOURCES!U$3,KPI!$B$1:$T$1,0),FALSE),"-")</f>
        <v>-</v>
      </c>
      <c r="V63" s="53">
        <f>IFERROR(VLOOKUP($E63,KPI!$B:$T,MATCH(RESOURCES!V$3,KPI!$B$1:$T$1,0),FALSE),"-")</f>
        <v>0.05</v>
      </c>
      <c r="W63" s="50">
        <f>IFERROR(VLOOKUP($C63,'PRODUCTIVITY RAW'!$B:$Q,16,FALSE),"-")</f>
        <v>0.90370370370370368</v>
      </c>
      <c r="X63" s="50">
        <f>IFERROR(VLOOKUP($C63,'CHURN RAW'!$A:$H,8,FALSE),"-")</f>
        <v>0.8</v>
      </c>
      <c r="Y63" s="50">
        <f>IFERROR(IF(AVERAGEIFS('QA RAW'!$G:$G,'QA RAW'!$E:$E,RESOURCES!$C63)=0,"-",AVERAGEIFS('QA RAW'!$G:$G,'QA RAW'!$E:$E,RESOURCES!$C63)),"-")</f>
        <v>0.99319999999999997</v>
      </c>
      <c r="Z63" s="50" t="str">
        <f>IFERROR(VLOOKUP($C63,'PR CALIBRATION RAW'!$K:$S,MATCH(RESOURCES!Z$3,'PR CALIBRATION RAW'!$K$1:$S$1,0),FALSE),"-")</f>
        <v>-</v>
      </c>
      <c r="AA63" s="50" t="str">
        <f>IFERROR(VLOOKUP($C63,'DISPUTES RAW (VQA)'!$N:$U,8,FALSE),"-")</f>
        <v>-</v>
      </c>
      <c r="AB63" s="50">
        <f>IFERROR(VLOOKUP($C63,'ATTENDANCE RAW'!$E:$R,13,FALSE),"-")</f>
        <v>0.95454545454545459</v>
      </c>
      <c r="AC63" s="50">
        <f>IFERROR(IF($E63="Voice QA",IF(AVERAGEIFS('KC RAW'!$J:$J,'KC RAW'!$B:$B,RESOURCES!$C63)=0,"-",AVERAGEIFS('KC RAW'!$J:$J,'KC RAW'!$B:$B,RESOURCES!$C63)),IF(AVERAGEIFS('KC RAW'!$H:$H,'KC RAW'!$B:$B,RESOURCES!$C63)=0,"-",AVERAGEIFS('KC RAW'!$H:$H,'KC RAW'!$B:$B,RESOURCES!$C63))),"-")</f>
        <v>0.66666666666666663</v>
      </c>
      <c r="AD63" s="50" t="str">
        <f>IFERROR(AVERAGEIFS('CE RAW'!$G:$G,'CE RAW'!$E:$E,RESOURCES!$C63),"-")</f>
        <v>-</v>
      </c>
      <c r="AE63" s="50" t="str">
        <f>IFERROR(VLOOKUP($C63,'FCR RAW'!$A:$I,7,FALSE),"-")</f>
        <v>-</v>
      </c>
      <c r="AF63" s="50" t="str">
        <f>IFERROR(IF(VLOOKUP($C63,'BONUS RAW'!$D:$I,6,FALSE)=100%,100%,"-"),"-")</f>
        <v>-</v>
      </c>
      <c r="AG63" s="52">
        <f t="shared" si="3"/>
        <v>0.84395902888534469</v>
      </c>
      <c r="AH63" s="56">
        <f t="shared" si="0"/>
        <v>129</v>
      </c>
      <c r="AI63" s="57">
        <f t="shared" si="4"/>
        <v>0.84395902888534469</v>
      </c>
      <c r="AJ63" s="57">
        <f t="shared" si="5"/>
        <v>0.80176107744107739</v>
      </c>
      <c r="AK63" s="325" t="str">
        <f>IFERROR(VLOOKUP($C63,'ATTRITION RAW'!$E:$J,6,FALSE),"-")</f>
        <v>-</v>
      </c>
      <c r="AL63" s="176" t="str">
        <f t="shared" si="6"/>
        <v>-</v>
      </c>
      <c r="AM63" s="454">
        <f>IFERROR(VLOOKUP($C63,'CHURN RAW'!$A:$G,7,FALSE),"-")</f>
        <v>0.16669999999999999</v>
      </c>
      <c r="AN63" s="456" t="str">
        <f t="shared" si="1"/>
        <v>QUALITY - DESIGNERS</v>
      </c>
    </row>
    <row r="64" spans="2:40">
      <c r="B64" s="637">
        <f t="shared" si="7"/>
        <v>61</v>
      </c>
      <c r="C64" s="93">
        <v>10072249</v>
      </c>
      <c r="D64" s="93" t="s">
        <v>157</v>
      </c>
      <c r="E64" s="88" t="s">
        <v>158</v>
      </c>
      <c r="F64" s="88" t="s">
        <v>152</v>
      </c>
      <c r="G64" s="88" t="s">
        <v>85</v>
      </c>
      <c r="H64" s="88" t="s">
        <v>85</v>
      </c>
      <c r="I64" s="88" t="s">
        <v>86</v>
      </c>
      <c r="J64" s="638"/>
      <c r="K64" s="638">
        <f t="shared" si="8"/>
        <v>43739</v>
      </c>
      <c r="L64" s="639" t="str">
        <f t="shared" si="2"/>
        <v>Expert</v>
      </c>
      <c r="M64" s="53">
        <f>IFERROR(VLOOKUP($E64,KPI!$B:$T,MATCH(RESOURCES!M$3,KPI!$B$1:$T$1,0),FALSE),"-")</f>
        <v>0.3</v>
      </c>
      <c r="N64" s="53">
        <f>IFERROR(VLOOKUP($E64,KPI!$B:$T,MATCH(RESOURCES!N$3,KPI!$B$1:$T$1,0),FALSE),"-")</f>
        <v>0.2</v>
      </c>
      <c r="O64" s="53">
        <f>IFERROR(VLOOKUP($E64,KPI!$B:$T,MATCH(RESOURCES!O$3,KPI!$B$1:$T$1,0),FALSE),"-")</f>
        <v>0.1</v>
      </c>
      <c r="P64" s="53" t="str">
        <f>IFERROR(VLOOKUP($E64,KPI!$B:$T,MATCH(RESOURCES!P$3,KPI!$B$1:$T$1,0),FALSE),"-")</f>
        <v>-</v>
      </c>
      <c r="Q64" s="53" t="str">
        <f>IFERROR(VLOOKUP($E64,KPI!$B:$T,MATCH(RESOURCES!Q$3,KPI!$B$1:$T$1,0),FALSE),"-")</f>
        <v>-</v>
      </c>
      <c r="R64" s="53">
        <f>IFERROR(VLOOKUP($E64,KPI!$B:$T,MATCH(RESOURCES!R$3,KPI!$B$1:$T$1,0),FALSE),"-")</f>
        <v>0.15</v>
      </c>
      <c r="S64" s="53">
        <f>IFERROR(VLOOKUP($E64,KPI!$B:$T,MATCH(RESOURCES!S$3,KPI!$B$1:$T$1,0),FALSE),"-")</f>
        <v>0.2</v>
      </c>
      <c r="T64" s="53" t="str">
        <f>IFERROR(VLOOKUP($E64,KPI!$B:$T,MATCH(RESOURCES!T$3,KPI!$B$1:$T$1,0),FALSE),"-")</f>
        <v>-</v>
      </c>
      <c r="U64" s="53" t="str">
        <f>IFERROR(VLOOKUP($E64,KPI!$B:$T,MATCH(RESOURCES!U$3,KPI!$B$1:$T$1,0),FALSE),"-")</f>
        <v>-</v>
      </c>
      <c r="V64" s="53">
        <f>IFERROR(VLOOKUP($E64,KPI!$B:$T,MATCH(RESOURCES!V$3,KPI!$B$1:$T$1,0),FALSE),"-")</f>
        <v>0.05</v>
      </c>
      <c r="W64" s="50">
        <f>IFERROR(VLOOKUP($C64,'PRODUCTIVITY RAW'!$B:$Q,16,FALSE),"-")</f>
        <v>1</v>
      </c>
      <c r="X64" s="50">
        <f>IFERROR(VLOOKUP($C64,'CHURN RAW'!$A:$H,8,FALSE),"-")</f>
        <v>0.8</v>
      </c>
      <c r="Y64" s="50">
        <f>IFERROR(IF(AVERAGEIFS('QA RAW'!$G:$G,'QA RAW'!$E:$E,RESOURCES!$C64)=0,"-",AVERAGEIFS('QA RAW'!$G:$G,'QA RAW'!$E:$E,RESOURCES!$C64)),"-")</f>
        <v>0.99690000000000001</v>
      </c>
      <c r="Z64" s="50" t="str">
        <f>IFERROR(VLOOKUP($C64,'PR CALIBRATION RAW'!$K:$S,MATCH(RESOURCES!Z$3,'PR CALIBRATION RAW'!$K$1:$S$1,0),FALSE),"-")</f>
        <v>-</v>
      </c>
      <c r="AA64" s="50" t="str">
        <f>IFERROR(VLOOKUP($C64,'DISPUTES RAW (VQA)'!$N:$U,8,FALSE),"-")</f>
        <v>-</v>
      </c>
      <c r="AB64" s="50">
        <f>IFERROR(VLOOKUP($C64,'ATTENDANCE RAW'!$E:$R,13,FALSE),"-")</f>
        <v>1</v>
      </c>
      <c r="AC64" s="50">
        <f>IFERROR(IF($E64="Voice QA",IF(AVERAGEIFS('KC RAW'!$J:$J,'KC RAW'!$B:$B,RESOURCES!$C64)=0,"-",AVERAGEIFS('KC RAW'!$J:$J,'KC RAW'!$B:$B,RESOURCES!$C64)),IF(AVERAGEIFS('KC RAW'!$H:$H,'KC RAW'!$B:$B,RESOURCES!$C64)=0,"-",AVERAGEIFS('KC RAW'!$H:$H,'KC RAW'!$B:$B,RESOURCES!$C64))),"-")</f>
        <v>0.95</v>
      </c>
      <c r="AD64" s="50" t="str">
        <f>IFERROR(AVERAGEIFS('CE RAW'!$G:$G,'CE RAW'!$E:$E,RESOURCES!$C64),"-")</f>
        <v>-</v>
      </c>
      <c r="AE64" s="50" t="str">
        <f>IFERROR(VLOOKUP($C64,'FCR RAW'!$A:$I,7,FALSE),"-")</f>
        <v>-</v>
      </c>
      <c r="AF64" s="50" t="str">
        <f>IFERROR(IF(VLOOKUP($C64,'BONUS RAW'!$D:$I,6,FALSE)=100%,100%,"-"),"-")</f>
        <v>-</v>
      </c>
      <c r="AG64" s="52">
        <f t="shared" si="3"/>
        <v>0.94704210526315802</v>
      </c>
      <c r="AH64" s="56">
        <f t="shared" si="0"/>
        <v>38</v>
      </c>
      <c r="AI64" s="57">
        <f t="shared" si="4"/>
        <v>0.94704210526315802</v>
      </c>
      <c r="AJ64" s="57">
        <f t="shared" si="5"/>
        <v>0.8996900000000001</v>
      </c>
      <c r="AK64" s="325" t="str">
        <f>IFERROR(VLOOKUP($C64,'ATTRITION RAW'!$E:$J,6,FALSE),"-")</f>
        <v>-</v>
      </c>
      <c r="AL64" s="176" t="str">
        <f t="shared" si="6"/>
        <v>-</v>
      </c>
      <c r="AM64" s="454">
        <f>IFERROR(VLOOKUP($C64,'CHURN RAW'!$A:$G,7,FALSE),"-")</f>
        <v>0.2</v>
      </c>
      <c r="AN64" s="456" t="str">
        <f t="shared" si="1"/>
        <v>QUALITY - DESIGNERS</v>
      </c>
    </row>
    <row r="65" spans="2:40">
      <c r="B65" s="637">
        <f t="shared" si="7"/>
        <v>62</v>
      </c>
      <c r="C65" s="93">
        <v>10071067</v>
      </c>
      <c r="D65" s="93" t="s">
        <v>159</v>
      </c>
      <c r="E65" s="88" t="s">
        <v>83</v>
      </c>
      <c r="F65" s="88" t="s">
        <v>152</v>
      </c>
      <c r="G65" s="88" t="s">
        <v>85</v>
      </c>
      <c r="H65" s="88" t="s">
        <v>85</v>
      </c>
      <c r="I65" s="88" t="s">
        <v>86</v>
      </c>
      <c r="J65" s="638"/>
      <c r="K65" s="638">
        <f t="shared" si="8"/>
        <v>43739</v>
      </c>
      <c r="L65" s="639" t="str">
        <f t="shared" si="2"/>
        <v>Expert</v>
      </c>
      <c r="M65" s="53">
        <f>IFERROR(VLOOKUP($E65,KPI!$B:$T,MATCH(RESOURCES!M$3,KPI!$B$1:$T$1,0),FALSE),"-")</f>
        <v>0.25</v>
      </c>
      <c r="N65" s="53">
        <f>IFERROR(VLOOKUP($E65,KPI!$B:$T,MATCH(RESOURCES!N$3,KPI!$B$1:$T$1,0),FALSE),"-")</f>
        <v>0.25</v>
      </c>
      <c r="O65" s="53">
        <f>IFERROR(VLOOKUP($E65,KPI!$B:$T,MATCH(RESOURCES!O$3,KPI!$B$1:$T$1,0),FALSE),"-")</f>
        <v>0.1</v>
      </c>
      <c r="P65" s="53" t="str">
        <f>IFERROR(VLOOKUP($E65,KPI!$B:$T,MATCH(RESOURCES!P$3,KPI!$B$1:$T$1,0),FALSE),"-")</f>
        <v>-</v>
      </c>
      <c r="Q65" s="53" t="str">
        <f>IFERROR(VLOOKUP($E65,KPI!$B:$T,MATCH(RESOURCES!Q$3,KPI!$B$1:$T$1,0),FALSE),"-")</f>
        <v>-</v>
      </c>
      <c r="R65" s="53">
        <f>IFERROR(VLOOKUP($E65,KPI!$B:$T,MATCH(RESOURCES!R$3,KPI!$B$1:$T$1,0),FALSE),"-")</f>
        <v>0.15</v>
      </c>
      <c r="S65" s="53">
        <f>IFERROR(VLOOKUP($E65,KPI!$B:$T,MATCH(RESOURCES!S$3,KPI!$B$1:$T$1,0),FALSE),"-")</f>
        <v>0.2</v>
      </c>
      <c r="T65" s="53" t="str">
        <f>IFERROR(VLOOKUP($E65,KPI!$B:$T,MATCH(RESOURCES!T$3,KPI!$B$1:$T$1,0),FALSE),"-")</f>
        <v>-</v>
      </c>
      <c r="U65" s="53" t="str">
        <f>IFERROR(VLOOKUP($E65,KPI!$B:$T,MATCH(RESOURCES!U$3,KPI!$B$1:$T$1,0),FALSE),"-")</f>
        <v>-</v>
      </c>
      <c r="V65" s="53">
        <f>IFERROR(VLOOKUP($E65,KPI!$B:$T,MATCH(RESOURCES!V$3,KPI!$B$1:$T$1,0),FALSE),"-")</f>
        <v>0.05</v>
      </c>
      <c r="W65" s="50">
        <f>IFERROR(VLOOKUP($C65,'PRODUCTIVITY RAW'!$B:$Q,16,FALSE),"-")</f>
        <v>1</v>
      </c>
      <c r="X65" s="50">
        <f>IFERROR(VLOOKUP($C65,'CHURN RAW'!$A:$H,8,FALSE),"-")</f>
        <v>0.8</v>
      </c>
      <c r="Y65" s="50">
        <f>IFERROR(IF(AVERAGEIFS('QA RAW'!$G:$G,'QA RAW'!$E:$E,RESOURCES!$C65)=0,"-",AVERAGEIFS('QA RAW'!$G:$G,'QA RAW'!$E:$E,RESOURCES!$C65)),"-")</f>
        <v>0.99409999999999998</v>
      </c>
      <c r="Z65" s="50" t="str">
        <f>IFERROR(VLOOKUP($C65,'PR CALIBRATION RAW'!$K:$S,MATCH(RESOURCES!Z$3,'PR CALIBRATION RAW'!$K$1:$S$1,0),FALSE),"-")</f>
        <v>-</v>
      </c>
      <c r="AA65" s="50" t="str">
        <f>IFERROR(VLOOKUP($C65,'DISPUTES RAW (VQA)'!$N:$U,8,FALSE),"-")</f>
        <v>-</v>
      </c>
      <c r="AB65" s="50">
        <f>IFERROR(VLOOKUP($C65,'ATTENDANCE RAW'!$E:$R,13,FALSE),"-")</f>
        <v>1</v>
      </c>
      <c r="AC65" s="50">
        <f>IFERROR(IF($E65="Voice QA",IF(AVERAGEIFS('KC RAW'!$J:$J,'KC RAW'!$B:$B,RESOURCES!$C65)=0,"-",AVERAGEIFS('KC RAW'!$J:$J,'KC RAW'!$B:$B,RESOURCES!$C65)),IF(AVERAGEIFS('KC RAW'!$H:$H,'KC RAW'!$B:$B,RESOURCES!$C65)=0,"-",AVERAGEIFS('KC RAW'!$H:$H,'KC RAW'!$B:$B,RESOURCES!$C65))),"-")</f>
        <v>0.75</v>
      </c>
      <c r="AD65" s="50" t="str">
        <f>IFERROR(AVERAGEIFS('CE RAW'!$G:$G,'CE RAW'!$E:$E,RESOURCES!$C65),"-")</f>
        <v>-</v>
      </c>
      <c r="AE65" s="50" t="str">
        <f>IFERROR(VLOOKUP($C65,'FCR RAW'!$A:$I,7,FALSE),"-")</f>
        <v>-</v>
      </c>
      <c r="AF65" s="50">
        <f>IFERROR(IF(VLOOKUP($C65,'BONUS RAW'!$D:$I,6,FALSE)=100%,100%,"-"),"-")</f>
        <v>1</v>
      </c>
      <c r="AG65" s="52">
        <f t="shared" si="3"/>
        <v>0.89941000000000004</v>
      </c>
      <c r="AH65" s="56">
        <f t="shared" si="0"/>
        <v>88</v>
      </c>
      <c r="AI65" s="57">
        <f t="shared" si="4"/>
        <v>0.8941157894736842</v>
      </c>
      <c r="AJ65" s="57">
        <f t="shared" si="5"/>
        <v>0.89941000000000004</v>
      </c>
      <c r="AK65" s="325" t="str">
        <f>IFERROR(VLOOKUP($C65,'ATTRITION RAW'!$E:$J,6,FALSE),"-")</f>
        <v>-</v>
      </c>
      <c r="AL65" s="176" t="str">
        <f t="shared" si="6"/>
        <v>-</v>
      </c>
      <c r="AM65" s="454">
        <f>IFERROR(VLOOKUP($C65,'CHURN RAW'!$A:$G,7,FALSE),"-")</f>
        <v>0.2273</v>
      </c>
      <c r="AN65" s="456" t="str">
        <f t="shared" si="1"/>
        <v>QUALITY - DESIGNERS</v>
      </c>
    </row>
    <row r="66" spans="2:40">
      <c r="B66" s="637">
        <f t="shared" si="7"/>
        <v>63</v>
      </c>
      <c r="C66" s="93">
        <v>10071420</v>
      </c>
      <c r="D66" s="93" t="s">
        <v>160</v>
      </c>
      <c r="E66" s="88" t="s">
        <v>83</v>
      </c>
      <c r="F66" s="88" t="s">
        <v>152</v>
      </c>
      <c r="G66" s="88" t="s">
        <v>85</v>
      </c>
      <c r="H66" s="88" t="s">
        <v>85</v>
      </c>
      <c r="I66" s="88" t="s">
        <v>86</v>
      </c>
      <c r="J66" s="638"/>
      <c r="K66" s="638">
        <f t="shared" si="8"/>
        <v>43739</v>
      </c>
      <c r="L66" s="639" t="str">
        <f t="shared" si="2"/>
        <v>Expert</v>
      </c>
      <c r="M66" s="53">
        <f>IFERROR(VLOOKUP($E66,KPI!$B:$T,MATCH(RESOURCES!M$3,KPI!$B$1:$T$1,0),FALSE),"-")</f>
        <v>0.25</v>
      </c>
      <c r="N66" s="53">
        <f>IFERROR(VLOOKUP($E66,KPI!$B:$T,MATCH(RESOURCES!N$3,KPI!$B$1:$T$1,0),FALSE),"-")</f>
        <v>0.25</v>
      </c>
      <c r="O66" s="53">
        <f>IFERROR(VLOOKUP($E66,KPI!$B:$T,MATCH(RESOURCES!O$3,KPI!$B$1:$T$1,0),FALSE),"-")</f>
        <v>0.1</v>
      </c>
      <c r="P66" s="53" t="str">
        <f>IFERROR(VLOOKUP($E66,KPI!$B:$T,MATCH(RESOURCES!P$3,KPI!$B$1:$T$1,0),FALSE),"-")</f>
        <v>-</v>
      </c>
      <c r="Q66" s="53" t="str">
        <f>IFERROR(VLOOKUP($E66,KPI!$B:$T,MATCH(RESOURCES!Q$3,KPI!$B$1:$T$1,0),FALSE),"-")</f>
        <v>-</v>
      </c>
      <c r="R66" s="53">
        <f>IFERROR(VLOOKUP($E66,KPI!$B:$T,MATCH(RESOURCES!R$3,KPI!$B$1:$T$1,0),FALSE),"-")</f>
        <v>0.15</v>
      </c>
      <c r="S66" s="53">
        <f>IFERROR(VLOOKUP($E66,KPI!$B:$T,MATCH(RESOURCES!S$3,KPI!$B$1:$T$1,0),FALSE),"-")</f>
        <v>0.2</v>
      </c>
      <c r="T66" s="53" t="str">
        <f>IFERROR(VLOOKUP($E66,KPI!$B:$T,MATCH(RESOURCES!T$3,KPI!$B$1:$T$1,0),FALSE),"-")</f>
        <v>-</v>
      </c>
      <c r="U66" s="53" t="str">
        <f>IFERROR(VLOOKUP($E66,KPI!$B:$T,MATCH(RESOURCES!U$3,KPI!$B$1:$T$1,0),FALSE),"-")</f>
        <v>-</v>
      </c>
      <c r="V66" s="53">
        <f>IFERROR(VLOOKUP($E66,KPI!$B:$T,MATCH(RESOURCES!V$3,KPI!$B$1:$T$1,0),FALSE),"-")</f>
        <v>0.05</v>
      </c>
      <c r="W66" s="50">
        <f>IFERROR(VLOOKUP($C66,'PRODUCTIVITY RAW'!$B:$Q,16,FALSE),"-")</f>
        <v>0.79462184873949593</v>
      </c>
      <c r="X66" s="50">
        <f>IFERROR(VLOOKUP($C66,'CHURN RAW'!$A:$H,8,FALSE),"-")</f>
        <v>0.8</v>
      </c>
      <c r="Y66" s="50">
        <f>IFERROR(IF(AVERAGEIFS('QA RAW'!$G:$G,'QA RAW'!$E:$E,RESOURCES!$C66)=0,"-",AVERAGEIFS('QA RAW'!$G:$G,'QA RAW'!$E:$E,RESOURCES!$C66)),"-")</f>
        <v>0.99660000000000004</v>
      </c>
      <c r="Z66" s="50" t="str">
        <f>IFERROR(VLOOKUP($C66,'PR CALIBRATION RAW'!$K:$S,MATCH(RESOURCES!Z$3,'PR CALIBRATION RAW'!$K$1:$S$1,0),FALSE),"-")</f>
        <v>-</v>
      </c>
      <c r="AA66" s="50" t="str">
        <f>IFERROR(VLOOKUP($C66,'DISPUTES RAW (VQA)'!$N:$U,8,FALSE),"-")</f>
        <v>-</v>
      </c>
      <c r="AB66" s="50">
        <f>IFERROR(VLOOKUP($C66,'ATTENDANCE RAW'!$E:$R,13,FALSE),"-")</f>
        <v>1</v>
      </c>
      <c r="AC66" s="50">
        <f>IFERROR(IF($E66="Voice QA",IF(AVERAGEIFS('KC RAW'!$J:$J,'KC RAW'!$B:$B,RESOURCES!$C66)=0,"-",AVERAGEIFS('KC RAW'!$J:$J,'KC RAW'!$B:$B,RESOURCES!$C66)),IF(AVERAGEIFS('KC RAW'!$H:$H,'KC RAW'!$B:$B,RESOURCES!$C66)=0,"-",AVERAGEIFS('KC RAW'!$H:$H,'KC RAW'!$B:$B,RESOURCES!$C66))),"-")</f>
        <v>0.65</v>
      </c>
      <c r="AD66" s="50" t="str">
        <f>IFERROR(AVERAGEIFS('CE RAW'!$G:$G,'CE RAW'!$E:$E,RESOURCES!$C66),"-")</f>
        <v>-</v>
      </c>
      <c r="AE66" s="50" t="str">
        <f>IFERROR(VLOOKUP($C66,'FCR RAW'!$A:$I,7,FALSE),"-")</f>
        <v>-</v>
      </c>
      <c r="AF66" s="50" t="str">
        <f>IFERROR(IF(VLOOKUP($C66,'BONUS RAW'!$D:$I,6,FALSE)=100%,100%,"-"),"-")</f>
        <v>-</v>
      </c>
      <c r="AG66" s="52">
        <f t="shared" si="3"/>
        <v>0.81927943387881474</v>
      </c>
      <c r="AH66" s="56">
        <f t="shared" si="0"/>
        <v>139</v>
      </c>
      <c r="AI66" s="57">
        <f t="shared" si="4"/>
        <v>0.81927943387881474</v>
      </c>
      <c r="AJ66" s="57">
        <f t="shared" si="5"/>
        <v>0.77831546218487402</v>
      </c>
      <c r="AK66" s="325" t="str">
        <f>IFERROR(VLOOKUP($C66,'ATTRITION RAW'!$E:$J,6,FALSE),"-")</f>
        <v>-</v>
      </c>
      <c r="AL66" s="176" t="str">
        <f t="shared" si="6"/>
        <v>-</v>
      </c>
      <c r="AM66" s="454">
        <f>IFERROR(VLOOKUP($C66,'CHURN RAW'!$A:$G,7,FALSE),"-")</f>
        <v>0.2</v>
      </c>
      <c r="AN66" s="456" t="str">
        <f t="shared" si="1"/>
        <v>QUALITY - DESIGNERS</v>
      </c>
    </row>
    <row r="67" spans="2:40">
      <c r="B67" s="637">
        <f t="shared" si="7"/>
        <v>64</v>
      </c>
      <c r="C67" s="93">
        <v>10071677</v>
      </c>
      <c r="D67" s="93" t="s">
        <v>161</v>
      </c>
      <c r="E67" s="88" t="s">
        <v>83</v>
      </c>
      <c r="F67" s="88" t="s">
        <v>152</v>
      </c>
      <c r="G67" s="88" t="s">
        <v>85</v>
      </c>
      <c r="H67" s="88" t="s">
        <v>85</v>
      </c>
      <c r="I67" s="88" t="s">
        <v>86</v>
      </c>
      <c r="J67" s="638"/>
      <c r="K67" s="638">
        <f t="shared" si="8"/>
        <v>43739</v>
      </c>
      <c r="L67" s="639" t="str">
        <f t="shared" si="2"/>
        <v>Expert</v>
      </c>
      <c r="M67" s="53">
        <f>IFERROR(VLOOKUP($E67,KPI!$B:$T,MATCH(RESOURCES!M$3,KPI!$B$1:$T$1,0),FALSE),"-")</f>
        <v>0.25</v>
      </c>
      <c r="N67" s="53">
        <f>IFERROR(VLOOKUP($E67,KPI!$B:$T,MATCH(RESOURCES!N$3,KPI!$B$1:$T$1,0),FALSE),"-")</f>
        <v>0.25</v>
      </c>
      <c r="O67" s="53">
        <f>IFERROR(VLOOKUP($E67,KPI!$B:$T,MATCH(RESOURCES!O$3,KPI!$B$1:$T$1,0),FALSE),"-")</f>
        <v>0.1</v>
      </c>
      <c r="P67" s="53" t="str">
        <f>IFERROR(VLOOKUP($E67,KPI!$B:$T,MATCH(RESOURCES!P$3,KPI!$B$1:$T$1,0),FALSE),"-")</f>
        <v>-</v>
      </c>
      <c r="Q67" s="53" t="str">
        <f>IFERROR(VLOOKUP($E67,KPI!$B:$T,MATCH(RESOURCES!Q$3,KPI!$B$1:$T$1,0),FALSE),"-")</f>
        <v>-</v>
      </c>
      <c r="R67" s="53">
        <f>IFERROR(VLOOKUP($E67,KPI!$B:$T,MATCH(RESOURCES!R$3,KPI!$B$1:$T$1,0),FALSE),"-")</f>
        <v>0.15</v>
      </c>
      <c r="S67" s="53">
        <f>IFERROR(VLOOKUP($E67,KPI!$B:$T,MATCH(RESOURCES!S$3,KPI!$B$1:$T$1,0),FALSE),"-")</f>
        <v>0.2</v>
      </c>
      <c r="T67" s="53" t="str">
        <f>IFERROR(VLOOKUP($E67,KPI!$B:$T,MATCH(RESOURCES!T$3,KPI!$B$1:$T$1,0),FALSE),"-")</f>
        <v>-</v>
      </c>
      <c r="U67" s="53" t="str">
        <f>IFERROR(VLOOKUP($E67,KPI!$B:$T,MATCH(RESOURCES!U$3,KPI!$B$1:$T$1,0),FALSE),"-")</f>
        <v>-</v>
      </c>
      <c r="V67" s="53">
        <f>IFERROR(VLOOKUP($E67,KPI!$B:$T,MATCH(RESOURCES!V$3,KPI!$B$1:$T$1,0),FALSE),"-")</f>
        <v>0.05</v>
      </c>
      <c r="W67" s="50">
        <f>IFERROR(VLOOKUP($C67,'PRODUCTIVITY RAW'!$B:$Q,16,FALSE),"-")</f>
        <v>0.74954954954955</v>
      </c>
      <c r="X67" s="50">
        <f>IFERROR(VLOOKUP($C67,'CHURN RAW'!$A:$H,8,FALSE),"-")</f>
        <v>0.9</v>
      </c>
      <c r="Y67" s="50">
        <f>IFERROR(IF(AVERAGEIFS('QA RAW'!$G:$G,'QA RAW'!$E:$E,RESOURCES!$C67)=0,"-",AVERAGEIFS('QA RAW'!$G:$G,'QA RAW'!$E:$E,RESOURCES!$C67)),"-")</f>
        <v>0.99819999999999998</v>
      </c>
      <c r="Z67" s="50" t="str">
        <f>IFERROR(VLOOKUP($C67,'PR CALIBRATION RAW'!$K:$S,MATCH(RESOURCES!Z$3,'PR CALIBRATION RAW'!$K$1:$S$1,0),FALSE),"-")</f>
        <v>-</v>
      </c>
      <c r="AA67" s="50" t="str">
        <f>IFERROR(VLOOKUP($C67,'DISPUTES RAW (VQA)'!$N:$U,8,FALSE),"-")</f>
        <v>-</v>
      </c>
      <c r="AB67" s="50">
        <f>IFERROR(VLOOKUP($C67,'ATTENDANCE RAW'!$E:$R,13,FALSE),"-")</f>
        <v>1</v>
      </c>
      <c r="AC67" s="50">
        <f>IFERROR(IF($E67="Voice QA",IF(AVERAGEIFS('KC RAW'!$J:$J,'KC RAW'!$B:$B,RESOURCES!$C67)=0,"-",AVERAGEIFS('KC RAW'!$J:$J,'KC RAW'!$B:$B,RESOURCES!$C67)),IF(AVERAGEIFS('KC RAW'!$H:$H,'KC RAW'!$B:$B,RESOURCES!$C67)=0,"-",AVERAGEIFS('KC RAW'!$H:$H,'KC RAW'!$B:$B,RESOURCES!$C67))),"-")</f>
        <v>0.8</v>
      </c>
      <c r="AD67" s="50" t="str">
        <f>IFERROR(AVERAGEIFS('CE RAW'!$G:$G,'CE RAW'!$E:$E,RESOURCES!$C67),"-")</f>
        <v>-</v>
      </c>
      <c r="AE67" s="50" t="str">
        <f>IFERROR(VLOOKUP($C67,'FCR RAW'!$A:$I,7,FALSE),"-")</f>
        <v>-</v>
      </c>
      <c r="AF67" s="50">
        <f>IFERROR(IF(VLOOKUP($C67,'BONUS RAW'!$D:$I,6,FALSE)=100%,100%,"-"),"-")</f>
        <v>1</v>
      </c>
      <c r="AG67" s="52">
        <f t="shared" si="3"/>
        <v>0.87220738738738757</v>
      </c>
      <c r="AH67" s="56">
        <f t="shared" si="0"/>
        <v>113</v>
      </c>
      <c r="AI67" s="57">
        <f t="shared" si="4"/>
        <v>0.8654814604077764</v>
      </c>
      <c r="AJ67" s="57">
        <f t="shared" si="5"/>
        <v>0.87220738738738757</v>
      </c>
      <c r="AK67" s="325" t="str">
        <f>IFERROR(VLOOKUP($C67,'ATTRITION RAW'!$E:$J,6,FALSE),"-")</f>
        <v>-</v>
      </c>
      <c r="AL67" s="176" t="str">
        <f t="shared" si="6"/>
        <v>-</v>
      </c>
      <c r="AM67" s="454">
        <f>IFERROR(VLOOKUP($C67,'CHURN RAW'!$A:$G,7,FALSE),"-")</f>
        <v>0.1111</v>
      </c>
      <c r="AN67" s="456" t="str">
        <f t="shared" si="1"/>
        <v>QUALITY - DESIGNERS</v>
      </c>
    </row>
    <row r="68" spans="2:40">
      <c r="B68" s="637">
        <f t="shared" si="7"/>
        <v>65</v>
      </c>
      <c r="C68" s="93">
        <v>10071253</v>
      </c>
      <c r="D68" s="93" t="s">
        <v>162</v>
      </c>
      <c r="E68" s="88" t="s">
        <v>142</v>
      </c>
      <c r="F68" s="88" t="s">
        <v>152</v>
      </c>
      <c r="G68" s="88" t="s">
        <v>85</v>
      </c>
      <c r="H68" s="88" t="s">
        <v>85</v>
      </c>
      <c r="I68" s="88" t="s">
        <v>86</v>
      </c>
      <c r="J68" s="638"/>
      <c r="K68" s="638">
        <f t="shared" si="8"/>
        <v>43739</v>
      </c>
      <c r="L68" s="639" t="str">
        <f t="shared" si="2"/>
        <v>Expert</v>
      </c>
      <c r="M68" s="53">
        <f>IFERROR(VLOOKUP($E68,KPI!$B:$T,MATCH(RESOURCES!M$3,KPI!$B$1:$T$1,0),FALSE),"-")</f>
        <v>0.3</v>
      </c>
      <c r="N68" s="53">
        <f>IFERROR(VLOOKUP($E68,KPI!$B:$T,MATCH(RESOURCES!N$3,KPI!$B$1:$T$1,0),FALSE),"-")</f>
        <v>0.2</v>
      </c>
      <c r="O68" s="53">
        <f>IFERROR(VLOOKUP($E68,KPI!$B:$T,MATCH(RESOURCES!O$3,KPI!$B$1:$T$1,0),FALSE),"-")</f>
        <v>0.1</v>
      </c>
      <c r="P68" s="53" t="str">
        <f>IFERROR(VLOOKUP($E68,KPI!$B:$T,MATCH(RESOURCES!P$3,KPI!$B$1:$T$1,0),FALSE),"-")</f>
        <v>-</v>
      </c>
      <c r="Q68" s="53" t="str">
        <f>IFERROR(VLOOKUP($E68,KPI!$B:$T,MATCH(RESOURCES!Q$3,KPI!$B$1:$T$1,0),FALSE),"-")</f>
        <v>-</v>
      </c>
      <c r="R68" s="53">
        <f>IFERROR(VLOOKUP($E68,KPI!$B:$T,MATCH(RESOURCES!R$3,KPI!$B$1:$T$1,0),FALSE),"-")</f>
        <v>0.15</v>
      </c>
      <c r="S68" s="53">
        <f>IFERROR(VLOOKUP($E68,KPI!$B:$T,MATCH(RESOURCES!S$3,KPI!$B$1:$T$1,0),FALSE),"-")</f>
        <v>0.2</v>
      </c>
      <c r="T68" s="53" t="str">
        <f>IFERROR(VLOOKUP($E68,KPI!$B:$T,MATCH(RESOURCES!T$3,KPI!$B$1:$T$1,0),FALSE),"-")</f>
        <v>-</v>
      </c>
      <c r="U68" s="53" t="str">
        <f>IFERROR(VLOOKUP($E68,KPI!$B:$T,MATCH(RESOURCES!U$3,KPI!$B$1:$T$1,0),FALSE),"-")</f>
        <v>-</v>
      </c>
      <c r="V68" s="53">
        <f>IFERROR(VLOOKUP($E68,KPI!$B:$T,MATCH(RESOURCES!V$3,KPI!$B$1:$T$1,0),FALSE),"-")</f>
        <v>0.05</v>
      </c>
      <c r="W68" s="50">
        <f>IFERROR(VLOOKUP($C68,'PRODUCTIVITY RAW'!$B:$Q,16,FALSE),"-")</f>
        <v>1</v>
      </c>
      <c r="X68" s="50">
        <f>IFERROR(VLOOKUP($C68,'CHURN RAW'!$A:$H,8,FALSE),"-")</f>
        <v>1</v>
      </c>
      <c r="Y68" s="50">
        <f>IFERROR(IF(AVERAGEIFS('QA RAW'!$G:$G,'QA RAW'!$E:$E,RESOURCES!$C68)=0,"-",AVERAGEIFS('QA RAW'!$G:$G,'QA RAW'!$E:$E,RESOURCES!$C68)),"-")</f>
        <v>1</v>
      </c>
      <c r="Z68" s="50" t="str">
        <f>IFERROR(VLOOKUP($C68,'PR CALIBRATION RAW'!$K:$S,MATCH(RESOURCES!Z$3,'PR CALIBRATION RAW'!$K$1:$S$1,0),FALSE),"-")</f>
        <v>-</v>
      </c>
      <c r="AA68" s="50" t="str">
        <f>IFERROR(VLOOKUP($C68,'DISPUTES RAW (VQA)'!$N:$U,8,FALSE),"-")</f>
        <v>-</v>
      </c>
      <c r="AB68" s="50">
        <f>IFERROR(VLOOKUP($C68,'ATTENDANCE RAW'!$E:$R,13,FALSE),"-")</f>
        <v>1</v>
      </c>
      <c r="AC68" s="50">
        <f>IFERROR(IF($E68="Voice QA",IF(AVERAGEIFS('KC RAW'!$J:$J,'KC RAW'!$B:$B,RESOURCES!$C68)=0,"-",AVERAGEIFS('KC RAW'!$J:$J,'KC RAW'!$B:$B,RESOURCES!$C68)),IF(AVERAGEIFS('KC RAW'!$H:$H,'KC RAW'!$B:$B,RESOURCES!$C68)=0,"-",AVERAGEIFS('KC RAW'!$H:$H,'KC RAW'!$B:$B,RESOURCES!$C68))),"-")</f>
        <v>0.95</v>
      </c>
      <c r="AD68" s="50" t="str">
        <f>IFERROR(AVERAGEIFS('CE RAW'!$G:$G,'CE RAW'!$E:$E,RESOURCES!$C68),"-")</f>
        <v>-</v>
      </c>
      <c r="AE68" s="50" t="str">
        <f>IFERROR(VLOOKUP($C68,'FCR RAW'!$A:$I,7,FALSE),"-")</f>
        <v>-</v>
      </c>
      <c r="AF68" s="50" t="str">
        <f>IFERROR(IF(VLOOKUP($C68,'BONUS RAW'!$D:$I,6,FALSE)=100%,100%,"-"),"-")</f>
        <v>-</v>
      </c>
      <c r="AG68" s="52">
        <f t="shared" si="3"/>
        <v>0.98947368421052628</v>
      </c>
      <c r="AH68" s="56">
        <f t="shared" ref="AH68:AH131" si="9">IFERROR(_xlfn.RANK.EQ($AG68,$AG$4:$AG$491),"-")</f>
        <v>8</v>
      </c>
      <c r="AI68" s="57">
        <f t="shared" si="4"/>
        <v>0.98947368421052628</v>
      </c>
      <c r="AJ68" s="57">
        <f t="shared" si="5"/>
        <v>0.94</v>
      </c>
      <c r="AK68" s="325" t="str">
        <f>IFERROR(VLOOKUP($C68,'ATTRITION RAW'!$E:$J,6,FALSE),"-")</f>
        <v>-</v>
      </c>
      <c r="AL68" s="176" t="str">
        <f t="shared" si="6"/>
        <v>-</v>
      </c>
      <c r="AM68" s="454">
        <f>IFERROR(VLOOKUP($C68,'CHURN RAW'!$A:$G,7,FALSE),"-")</f>
        <v>0</v>
      </c>
      <c r="AN68" s="456" t="str">
        <f t="shared" ref="AN68:AN131" si="10">IFERROR(VLOOKUP($E68,$AQ:$AR,2,FALSE),$AR$3)</f>
        <v>QUALITY - DESIGNERS</v>
      </c>
    </row>
    <row r="69" spans="2:40">
      <c r="B69" s="637">
        <f t="shared" si="7"/>
        <v>66</v>
      </c>
      <c r="C69" s="93">
        <v>10072450</v>
      </c>
      <c r="D69" s="93" t="s">
        <v>163</v>
      </c>
      <c r="E69" s="88" t="s">
        <v>83</v>
      </c>
      <c r="F69" s="88" t="s">
        <v>152</v>
      </c>
      <c r="G69" s="88" t="s">
        <v>85</v>
      </c>
      <c r="H69" s="88" t="s">
        <v>85</v>
      </c>
      <c r="I69" s="88" t="s">
        <v>86</v>
      </c>
      <c r="J69" s="638"/>
      <c r="K69" s="638">
        <f t="shared" si="8"/>
        <v>43739</v>
      </c>
      <c r="L69" s="639" t="str">
        <f t="shared" ref="L69:L132" si="11">IF(((K69-J69)/(365))*12&lt;=2.99,"Beginner",IF(((K69-J69)/(365))*12&lt;=5.99,"Intermediate","Expert"))</f>
        <v>Expert</v>
      </c>
      <c r="M69" s="53">
        <f>IFERROR(VLOOKUP($E69,KPI!$B:$T,MATCH(RESOURCES!M$3,KPI!$B$1:$T$1,0),FALSE),"-")</f>
        <v>0.25</v>
      </c>
      <c r="N69" s="53">
        <f>IFERROR(VLOOKUP($E69,KPI!$B:$T,MATCH(RESOURCES!N$3,KPI!$B$1:$T$1,0),FALSE),"-")</f>
        <v>0.25</v>
      </c>
      <c r="O69" s="53">
        <f>IFERROR(VLOOKUP($E69,KPI!$B:$T,MATCH(RESOURCES!O$3,KPI!$B$1:$T$1,0),FALSE),"-")</f>
        <v>0.1</v>
      </c>
      <c r="P69" s="53" t="str">
        <f>IFERROR(VLOOKUP($E69,KPI!$B:$T,MATCH(RESOURCES!P$3,KPI!$B$1:$T$1,0),FALSE),"-")</f>
        <v>-</v>
      </c>
      <c r="Q69" s="53" t="str">
        <f>IFERROR(VLOOKUP($E69,KPI!$B:$T,MATCH(RESOURCES!Q$3,KPI!$B$1:$T$1,0),FALSE),"-")</f>
        <v>-</v>
      </c>
      <c r="R69" s="53">
        <f>IFERROR(VLOOKUP($E69,KPI!$B:$T,MATCH(RESOURCES!R$3,KPI!$B$1:$T$1,0),FALSE),"-")</f>
        <v>0.15</v>
      </c>
      <c r="S69" s="53">
        <f>IFERROR(VLOOKUP($E69,KPI!$B:$T,MATCH(RESOURCES!S$3,KPI!$B$1:$T$1,0),FALSE),"-")</f>
        <v>0.2</v>
      </c>
      <c r="T69" s="53" t="str">
        <f>IFERROR(VLOOKUP($E69,KPI!$B:$T,MATCH(RESOURCES!T$3,KPI!$B$1:$T$1,0),FALSE),"-")</f>
        <v>-</v>
      </c>
      <c r="U69" s="53" t="str">
        <f>IFERROR(VLOOKUP($E69,KPI!$B:$T,MATCH(RESOURCES!U$3,KPI!$B$1:$T$1,0),FALSE),"-")</f>
        <v>-</v>
      </c>
      <c r="V69" s="53">
        <f>IFERROR(VLOOKUP($E69,KPI!$B:$T,MATCH(RESOURCES!V$3,KPI!$B$1:$T$1,0),FALSE),"-")</f>
        <v>0.05</v>
      </c>
      <c r="W69" s="50">
        <f>IFERROR(VLOOKUP($C69,'PRODUCTIVITY RAW'!$B:$Q,16,FALSE),"-")</f>
        <v>0.9569852941176471</v>
      </c>
      <c r="X69" s="50">
        <f>IFERROR(VLOOKUP($C69,'CHURN RAW'!$A:$H,8,FALSE),"-")</f>
        <v>0.8</v>
      </c>
      <c r="Y69" s="50">
        <f>IFERROR(IF(AVERAGEIFS('QA RAW'!$G:$G,'QA RAW'!$E:$E,RESOURCES!$C69)=0,"-",AVERAGEIFS('QA RAW'!$G:$G,'QA RAW'!$E:$E,RESOURCES!$C69)),"-")</f>
        <v>0.99590000000000001</v>
      </c>
      <c r="Z69" s="50" t="str">
        <f>IFERROR(VLOOKUP($C69,'PR CALIBRATION RAW'!$K:$S,MATCH(RESOURCES!Z$3,'PR CALIBRATION RAW'!$K$1:$S$1,0),FALSE),"-")</f>
        <v>-</v>
      </c>
      <c r="AA69" s="50" t="str">
        <f>IFERROR(VLOOKUP($C69,'DISPUTES RAW (VQA)'!$N:$U,8,FALSE),"-")</f>
        <v>-</v>
      </c>
      <c r="AB69" s="50">
        <f>IFERROR(VLOOKUP($C69,'ATTENDANCE RAW'!$E:$R,13,FALSE),"-")</f>
        <v>0.90909090909090906</v>
      </c>
      <c r="AC69" s="50">
        <f>IFERROR(IF($E69="Voice QA",IF(AVERAGEIFS('KC RAW'!$J:$J,'KC RAW'!$B:$B,RESOURCES!$C69)=0,"-",AVERAGEIFS('KC RAW'!$J:$J,'KC RAW'!$B:$B,RESOURCES!$C69)),IF(AVERAGEIFS('KC RAW'!$H:$H,'KC RAW'!$B:$B,RESOURCES!$C69)=0,"-",AVERAGEIFS('KC RAW'!$H:$H,'KC RAW'!$B:$B,RESOURCES!$C69))),"-")</f>
        <v>0.6</v>
      </c>
      <c r="AD69" s="50" t="str">
        <f>IFERROR(AVERAGEIFS('CE RAW'!$G:$G,'CE RAW'!$E:$E,RESOURCES!$C69),"-")</f>
        <v>-</v>
      </c>
      <c r="AE69" s="50" t="str">
        <f>IFERROR(VLOOKUP($C69,'FCR RAW'!$A:$I,7,FALSE),"-")</f>
        <v>-</v>
      </c>
      <c r="AF69" s="50">
        <f>IFERROR(IF(VLOOKUP($C69,'BONUS RAW'!$D:$I,6,FALSE)=100%,100%,"-"),"-")</f>
        <v>1</v>
      </c>
      <c r="AG69" s="52">
        <f t="shared" ref="AG69:AG132" si="12">IFERROR(IF(AF69="-",SUMPRODUCT(M69:U69,W69:AE69)/SUM(M69:U69),SUMPRODUCT(M69:V69,W69:AF69)/SUM(M69:V69)),"-")</f>
        <v>0.84519995989304819</v>
      </c>
      <c r="AH69" s="56">
        <f t="shared" si="9"/>
        <v>128</v>
      </c>
      <c r="AI69" s="57">
        <f t="shared" ref="AI69:AI132" si="13">IFERROR(SUMPRODUCT(W69:AE69,M69:U69)/SUM(M69:U69),"-")</f>
        <v>0.83705258936110338</v>
      </c>
      <c r="AJ69" s="57">
        <f t="shared" ref="AJ69:AJ132" si="14">IFERROR(SUMPRODUCT(W69:AF69,M69:V69)/SUM(M69:V69),"-")</f>
        <v>0.84519995989304819</v>
      </c>
      <c r="AK69" s="325" t="str">
        <f>IFERROR(VLOOKUP($C69,'ATTRITION RAW'!$E:$J,6,FALSE),"-")</f>
        <v>-</v>
      </c>
      <c r="AL69" s="176" t="str">
        <f t="shared" ref="AL69:AL132" si="15">IF($AK69="-",$AK69,"resign")</f>
        <v>-</v>
      </c>
      <c r="AM69" s="454">
        <f>IFERROR(VLOOKUP($C69,'CHURN RAW'!$A:$G,7,FALSE),"-")</f>
        <v>0.2273</v>
      </c>
      <c r="AN69" s="456" t="str">
        <f t="shared" si="10"/>
        <v>QUALITY - DESIGNERS</v>
      </c>
    </row>
    <row r="70" spans="2:40">
      <c r="B70" s="637">
        <f t="shared" ref="B70:B133" si="16">B69+1</f>
        <v>67</v>
      </c>
      <c r="C70" s="93">
        <v>10072440</v>
      </c>
      <c r="D70" s="93" t="s">
        <v>164</v>
      </c>
      <c r="E70" s="88" t="s">
        <v>165</v>
      </c>
      <c r="F70" s="88" t="s">
        <v>152</v>
      </c>
      <c r="G70" s="88" t="s">
        <v>85</v>
      </c>
      <c r="H70" s="88" t="s">
        <v>85</v>
      </c>
      <c r="I70" s="88" t="s">
        <v>86</v>
      </c>
      <c r="J70" s="638"/>
      <c r="K70" s="638">
        <f t="shared" ref="K70:K133" si="17">$K$4</f>
        <v>43739</v>
      </c>
      <c r="L70" s="639" t="str">
        <f t="shared" si="11"/>
        <v>Expert</v>
      </c>
      <c r="M70" s="53">
        <f>IFERROR(VLOOKUP($E70,KPI!$B:$T,MATCH(RESOURCES!M$3,KPI!$B$1:$T$1,0),FALSE),"-")</f>
        <v>0.3</v>
      </c>
      <c r="N70" s="53">
        <f>IFERROR(VLOOKUP($E70,KPI!$B:$T,MATCH(RESOURCES!N$3,KPI!$B$1:$T$1,0),FALSE),"-")</f>
        <v>0.2</v>
      </c>
      <c r="O70" s="53">
        <f>IFERROR(VLOOKUP($E70,KPI!$B:$T,MATCH(RESOURCES!O$3,KPI!$B$1:$T$1,0),FALSE),"-")</f>
        <v>0.1</v>
      </c>
      <c r="P70" s="53" t="str">
        <f>IFERROR(VLOOKUP($E70,KPI!$B:$T,MATCH(RESOURCES!P$3,KPI!$B$1:$T$1,0),FALSE),"-")</f>
        <v>-</v>
      </c>
      <c r="Q70" s="53" t="str">
        <f>IFERROR(VLOOKUP($E70,KPI!$B:$T,MATCH(RESOURCES!Q$3,KPI!$B$1:$T$1,0),FALSE),"-")</f>
        <v>-</v>
      </c>
      <c r="R70" s="53">
        <f>IFERROR(VLOOKUP($E70,KPI!$B:$T,MATCH(RESOURCES!R$3,KPI!$B$1:$T$1,0),FALSE),"-")</f>
        <v>0.15</v>
      </c>
      <c r="S70" s="53">
        <f>IFERROR(VLOOKUP($E70,KPI!$B:$T,MATCH(RESOURCES!S$3,KPI!$B$1:$T$1,0),FALSE),"-")</f>
        <v>0.2</v>
      </c>
      <c r="T70" s="53" t="str">
        <f>IFERROR(VLOOKUP($E70,KPI!$B:$T,MATCH(RESOURCES!T$3,KPI!$B$1:$T$1,0),FALSE),"-")</f>
        <v>-</v>
      </c>
      <c r="U70" s="53" t="str">
        <f>IFERROR(VLOOKUP($E70,KPI!$B:$T,MATCH(RESOURCES!U$3,KPI!$B$1:$T$1,0),FALSE),"-")</f>
        <v>-</v>
      </c>
      <c r="V70" s="53">
        <f>IFERROR(VLOOKUP($E70,KPI!$B:$T,MATCH(RESOURCES!V$3,KPI!$B$1:$T$1,0),FALSE),"-")</f>
        <v>0.05</v>
      </c>
      <c r="W70" s="50">
        <f>IFERROR(VLOOKUP($C70,'PRODUCTIVITY RAW'!$B:$Q,16,FALSE),"-")</f>
        <v>0.67230769230769261</v>
      </c>
      <c r="X70" s="50">
        <f>IFERROR(VLOOKUP($C70,'CHURN RAW'!$A:$H,8,FALSE),"-")</f>
        <v>0.9</v>
      </c>
      <c r="Y70" s="50">
        <f>IFERROR(IF(AVERAGEIFS('QA RAW'!$G:$G,'QA RAW'!$E:$E,RESOURCES!$C70)=0,"-",AVERAGEIFS('QA RAW'!$G:$G,'QA RAW'!$E:$E,RESOURCES!$C70)),"-")</f>
        <v>1</v>
      </c>
      <c r="Z70" s="50" t="str">
        <f>IFERROR(VLOOKUP($C70,'PR CALIBRATION RAW'!$K:$S,MATCH(RESOURCES!Z$3,'PR CALIBRATION RAW'!$K$1:$S$1,0),FALSE),"-")</f>
        <v>-</v>
      </c>
      <c r="AA70" s="50" t="str">
        <f>IFERROR(VLOOKUP($C70,'DISPUTES RAW (VQA)'!$N:$U,8,FALSE),"-")</f>
        <v>-</v>
      </c>
      <c r="AB70" s="50">
        <f>IFERROR(VLOOKUP($C70,'ATTENDANCE RAW'!$E:$R,13,FALSE),"-")</f>
        <v>0.95454545454545459</v>
      </c>
      <c r="AC70" s="50">
        <f>IFERROR(IF($E70="Voice QA",IF(AVERAGEIFS('KC RAW'!$J:$J,'KC RAW'!$B:$B,RESOURCES!$C70)=0,"-",AVERAGEIFS('KC RAW'!$J:$J,'KC RAW'!$B:$B,RESOURCES!$C70)),IF(AVERAGEIFS('KC RAW'!$H:$H,'KC RAW'!$B:$B,RESOURCES!$C70)=0,"-",AVERAGEIFS('KC RAW'!$H:$H,'KC RAW'!$B:$B,RESOURCES!$C70))),"-")</f>
        <v>0.89500000000000002</v>
      </c>
      <c r="AD70" s="50" t="str">
        <f>IFERROR(AVERAGEIFS('CE RAW'!$G:$G,'CE RAW'!$E:$E,RESOURCES!$C70),"-")</f>
        <v>-</v>
      </c>
      <c r="AE70" s="50" t="str">
        <f>IFERROR(VLOOKUP($C70,'FCR RAW'!$A:$I,7,FALSE),"-")</f>
        <v>-</v>
      </c>
      <c r="AF70" s="50">
        <f>IFERROR(IF(VLOOKUP($C70,'BONUS RAW'!$D:$I,6,FALSE)=100%,100%,"-"),"-")</f>
        <v>1</v>
      </c>
      <c r="AG70" s="52">
        <f t="shared" si="12"/>
        <v>0.85387412587412603</v>
      </c>
      <c r="AH70" s="56">
        <f t="shared" si="9"/>
        <v>124</v>
      </c>
      <c r="AI70" s="57">
        <f t="shared" si="13"/>
        <v>0.8461832903938169</v>
      </c>
      <c r="AJ70" s="57">
        <f t="shared" si="14"/>
        <v>0.85387412587412603</v>
      </c>
      <c r="AK70" s="325" t="str">
        <f>IFERROR(VLOOKUP($C70,'ATTRITION RAW'!$E:$J,6,FALSE),"-")</f>
        <v>-</v>
      </c>
      <c r="AL70" s="176" t="str">
        <f t="shared" si="15"/>
        <v>-</v>
      </c>
      <c r="AM70" s="454">
        <f>IFERROR(VLOOKUP($C70,'CHURN RAW'!$A:$G,7,FALSE),"-")</f>
        <v>8.3333333333333329E-2</v>
      </c>
      <c r="AN70" s="456" t="str">
        <f t="shared" si="10"/>
        <v>QUALITY - DESIGNERS</v>
      </c>
    </row>
    <row r="71" spans="2:40">
      <c r="B71" s="637">
        <f t="shared" si="16"/>
        <v>68</v>
      </c>
      <c r="C71" s="93">
        <v>10072255</v>
      </c>
      <c r="D71" s="93" t="s">
        <v>166</v>
      </c>
      <c r="E71" s="88" t="s">
        <v>83</v>
      </c>
      <c r="F71" s="88" t="s">
        <v>152</v>
      </c>
      <c r="G71" s="88" t="s">
        <v>85</v>
      </c>
      <c r="H71" s="88" t="s">
        <v>85</v>
      </c>
      <c r="I71" s="88" t="s">
        <v>86</v>
      </c>
      <c r="J71" s="638"/>
      <c r="K71" s="638">
        <f t="shared" si="17"/>
        <v>43739</v>
      </c>
      <c r="L71" s="639" t="str">
        <f t="shared" si="11"/>
        <v>Expert</v>
      </c>
      <c r="M71" s="53">
        <f>IFERROR(VLOOKUP($E71,KPI!$B:$T,MATCH(RESOURCES!M$3,KPI!$B$1:$T$1,0),FALSE),"-")</f>
        <v>0.25</v>
      </c>
      <c r="N71" s="53">
        <f>IFERROR(VLOOKUP($E71,KPI!$B:$T,MATCH(RESOURCES!N$3,KPI!$B$1:$T$1,0),FALSE),"-")</f>
        <v>0.25</v>
      </c>
      <c r="O71" s="53">
        <f>IFERROR(VLOOKUP($E71,KPI!$B:$T,MATCH(RESOURCES!O$3,KPI!$B$1:$T$1,0),FALSE),"-")</f>
        <v>0.1</v>
      </c>
      <c r="P71" s="53" t="str">
        <f>IFERROR(VLOOKUP($E71,KPI!$B:$T,MATCH(RESOURCES!P$3,KPI!$B$1:$T$1,0),FALSE),"-")</f>
        <v>-</v>
      </c>
      <c r="Q71" s="53" t="str">
        <f>IFERROR(VLOOKUP($E71,KPI!$B:$T,MATCH(RESOURCES!Q$3,KPI!$B$1:$T$1,0),FALSE),"-")</f>
        <v>-</v>
      </c>
      <c r="R71" s="53">
        <f>IFERROR(VLOOKUP($E71,KPI!$B:$T,MATCH(RESOURCES!R$3,KPI!$B$1:$T$1,0),FALSE),"-")</f>
        <v>0.15</v>
      </c>
      <c r="S71" s="53">
        <f>IFERROR(VLOOKUP($E71,KPI!$B:$T,MATCH(RESOURCES!S$3,KPI!$B$1:$T$1,0),FALSE),"-")</f>
        <v>0.2</v>
      </c>
      <c r="T71" s="53" t="str">
        <f>IFERROR(VLOOKUP($E71,KPI!$B:$T,MATCH(RESOURCES!T$3,KPI!$B$1:$T$1,0),FALSE),"-")</f>
        <v>-</v>
      </c>
      <c r="U71" s="53" t="str">
        <f>IFERROR(VLOOKUP($E71,KPI!$B:$T,MATCH(RESOURCES!U$3,KPI!$B$1:$T$1,0),FALSE),"-")</f>
        <v>-</v>
      </c>
      <c r="V71" s="53">
        <f>IFERROR(VLOOKUP($E71,KPI!$B:$T,MATCH(RESOURCES!V$3,KPI!$B$1:$T$1,0),FALSE),"-")</f>
        <v>0.05</v>
      </c>
      <c r="W71" s="50">
        <f>IFERROR(VLOOKUP($C71,'PRODUCTIVITY RAW'!$B:$Q,16,FALSE),"-")</f>
        <v>0.88407407407407401</v>
      </c>
      <c r="X71" s="50">
        <f>IFERROR(VLOOKUP($C71,'CHURN RAW'!$A:$H,8,FALSE),"-")</f>
        <v>0.7</v>
      </c>
      <c r="Y71" s="50">
        <f>IFERROR(IF(AVERAGEIFS('QA RAW'!$G:$G,'QA RAW'!$E:$E,RESOURCES!$C71)=0,"-",AVERAGEIFS('QA RAW'!$G:$G,'QA RAW'!$E:$E,RESOURCES!$C71)),"-")</f>
        <v>0.99350000000000005</v>
      </c>
      <c r="Z71" s="50" t="str">
        <f>IFERROR(VLOOKUP($C71,'PR CALIBRATION RAW'!$K:$S,MATCH(RESOURCES!Z$3,'PR CALIBRATION RAW'!$K$1:$S$1,0),FALSE),"-")</f>
        <v>-</v>
      </c>
      <c r="AA71" s="50" t="str">
        <f>IFERROR(VLOOKUP($C71,'DISPUTES RAW (VQA)'!$N:$U,8,FALSE),"-")</f>
        <v>-</v>
      </c>
      <c r="AB71" s="50">
        <f>IFERROR(VLOOKUP($C71,'ATTENDANCE RAW'!$E:$R,13,FALSE),"-")</f>
        <v>0.95454545454545459</v>
      </c>
      <c r="AC71" s="50">
        <f>IFERROR(IF($E71="Voice QA",IF(AVERAGEIFS('KC RAW'!$J:$J,'KC RAW'!$B:$B,RESOURCES!$C71)=0,"-",AVERAGEIFS('KC RAW'!$J:$J,'KC RAW'!$B:$B,RESOURCES!$C71)),IF(AVERAGEIFS('KC RAW'!$H:$H,'KC RAW'!$B:$B,RESOURCES!$C71)=0,"-",AVERAGEIFS('KC RAW'!$H:$H,'KC RAW'!$B:$B,RESOURCES!$C71))),"-")</f>
        <v>0.8</v>
      </c>
      <c r="AD71" s="50" t="str">
        <f>IFERROR(AVERAGEIFS('CE RAW'!$G:$G,'CE RAW'!$E:$E,RESOURCES!$C71),"-")</f>
        <v>-</v>
      </c>
      <c r="AE71" s="50" t="str">
        <f>IFERROR(VLOOKUP($C71,'FCR RAW'!$A:$I,7,FALSE),"-")</f>
        <v>-</v>
      </c>
      <c r="AF71" s="50">
        <f>IFERROR(IF(VLOOKUP($C71,'BONUS RAW'!$D:$I,6,FALSE)=100%,100%,"-"),"-")</f>
        <v>1</v>
      </c>
      <c r="AG71" s="52">
        <f t="shared" si="12"/>
        <v>0.84855033670033675</v>
      </c>
      <c r="AH71" s="56">
        <f t="shared" si="9"/>
        <v>126</v>
      </c>
      <c r="AI71" s="57">
        <f t="shared" si="13"/>
        <v>0.8405793017898282</v>
      </c>
      <c r="AJ71" s="57">
        <f t="shared" si="14"/>
        <v>0.84855033670033675</v>
      </c>
      <c r="AK71" s="325" t="str">
        <f>IFERROR(VLOOKUP($C71,'ATTRITION RAW'!$E:$J,6,FALSE),"-")</f>
        <v>-</v>
      </c>
      <c r="AL71" s="176" t="str">
        <f t="shared" si="15"/>
        <v>-</v>
      </c>
      <c r="AM71" s="454">
        <f>IFERROR(VLOOKUP($C71,'CHURN RAW'!$A:$G,7,FALSE),"-")</f>
        <v>0.29409999999999997</v>
      </c>
      <c r="AN71" s="456" t="str">
        <f t="shared" si="10"/>
        <v>QUALITY - DESIGNERS</v>
      </c>
    </row>
    <row r="72" spans="2:40">
      <c r="B72" s="637">
        <f t="shared" si="16"/>
        <v>69</v>
      </c>
      <c r="C72" s="93">
        <v>10070729</v>
      </c>
      <c r="D72" s="93" t="s">
        <v>167</v>
      </c>
      <c r="E72" s="88" t="s">
        <v>142</v>
      </c>
      <c r="F72" s="88" t="s">
        <v>152</v>
      </c>
      <c r="G72" s="88" t="s">
        <v>85</v>
      </c>
      <c r="H72" s="88" t="s">
        <v>85</v>
      </c>
      <c r="I72" s="88" t="s">
        <v>86</v>
      </c>
      <c r="J72" s="638"/>
      <c r="K72" s="638">
        <f t="shared" si="17"/>
        <v>43739</v>
      </c>
      <c r="L72" s="639" t="str">
        <f t="shared" si="11"/>
        <v>Expert</v>
      </c>
      <c r="M72" s="53">
        <f>IFERROR(VLOOKUP($E72,KPI!$B:$T,MATCH(RESOURCES!M$3,KPI!$B$1:$T$1,0),FALSE),"-")</f>
        <v>0.3</v>
      </c>
      <c r="N72" s="53">
        <f>IFERROR(VLOOKUP($E72,KPI!$B:$T,MATCH(RESOURCES!N$3,KPI!$B$1:$T$1,0),FALSE),"-")</f>
        <v>0.2</v>
      </c>
      <c r="O72" s="53">
        <f>IFERROR(VLOOKUP($E72,KPI!$B:$T,MATCH(RESOURCES!O$3,KPI!$B$1:$T$1,0),FALSE),"-")</f>
        <v>0.1</v>
      </c>
      <c r="P72" s="53" t="str">
        <f>IFERROR(VLOOKUP($E72,KPI!$B:$T,MATCH(RESOURCES!P$3,KPI!$B$1:$T$1,0),FALSE),"-")</f>
        <v>-</v>
      </c>
      <c r="Q72" s="53" t="str">
        <f>IFERROR(VLOOKUP($E72,KPI!$B:$T,MATCH(RESOURCES!Q$3,KPI!$B$1:$T$1,0),FALSE),"-")</f>
        <v>-</v>
      </c>
      <c r="R72" s="53">
        <f>IFERROR(VLOOKUP($E72,KPI!$B:$T,MATCH(RESOURCES!R$3,KPI!$B$1:$T$1,0),FALSE),"-")</f>
        <v>0.15</v>
      </c>
      <c r="S72" s="53">
        <f>IFERROR(VLOOKUP($E72,KPI!$B:$T,MATCH(RESOURCES!S$3,KPI!$B$1:$T$1,0),FALSE),"-")</f>
        <v>0.2</v>
      </c>
      <c r="T72" s="53" t="str">
        <f>IFERROR(VLOOKUP($E72,KPI!$B:$T,MATCH(RESOURCES!T$3,KPI!$B$1:$T$1,0),FALSE),"-")</f>
        <v>-</v>
      </c>
      <c r="U72" s="53" t="str">
        <f>IFERROR(VLOOKUP($E72,KPI!$B:$T,MATCH(RESOURCES!U$3,KPI!$B$1:$T$1,0),FALSE),"-")</f>
        <v>-</v>
      </c>
      <c r="V72" s="53">
        <f>IFERROR(VLOOKUP($E72,KPI!$B:$T,MATCH(RESOURCES!V$3,KPI!$B$1:$T$1,0),FALSE),"-")</f>
        <v>0.05</v>
      </c>
      <c r="W72" s="50">
        <f>IFERROR(VLOOKUP($C72,'PRODUCTIVITY RAW'!$B:$Q,16,FALSE),"-")</f>
        <v>0.67830645161290326</v>
      </c>
      <c r="X72" s="50">
        <f>IFERROR(VLOOKUP($C72,'CHURN RAW'!$A:$H,8,FALSE),"-")</f>
        <v>0.9</v>
      </c>
      <c r="Y72" s="50">
        <f>IFERROR(IF(AVERAGEIFS('QA RAW'!$G:$G,'QA RAW'!$E:$E,RESOURCES!$C72)=0,"-",AVERAGEIFS('QA RAW'!$G:$G,'QA RAW'!$E:$E,RESOURCES!$C72)),"-")</f>
        <v>0.999</v>
      </c>
      <c r="Z72" s="50" t="str">
        <f>IFERROR(VLOOKUP($C72,'PR CALIBRATION RAW'!$K:$S,MATCH(RESOURCES!Z$3,'PR CALIBRATION RAW'!$K$1:$S$1,0),FALSE),"-")</f>
        <v>-</v>
      </c>
      <c r="AA72" s="50" t="str">
        <f>IFERROR(VLOOKUP($C72,'DISPUTES RAW (VQA)'!$N:$U,8,FALSE),"-")</f>
        <v>-</v>
      </c>
      <c r="AB72" s="50">
        <f>IFERROR(VLOOKUP($C72,'ATTENDANCE RAW'!$E:$R,13,FALSE),"-")</f>
        <v>0.86363636363636365</v>
      </c>
      <c r="AC72" s="50">
        <f>IFERROR(IF($E72="Voice QA",IF(AVERAGEIFS('KC RAW'!$J:$J,'KC RAW'!$B:$B,RESOURCES!$C72)=0,"-",AVERAGEIFS('KC RAW'!$J:$J,'KC RAW'!$B:$B,RESOURCES!$C72)),IF(AVERAGEIFS('KC RAW'!$H:$H,'KC RAW'!$B:$B,RESOURCES!$C72)=0,"-",AVERAGEIFS('KC RAW'!$H:$H,'KC RAW'!$B:$B,RESOURCES!$C72))),"-")</f>
        <v>0.95</v>
      </c>
      <c r="AD72" s="50" t="str">
        <f>IFERROR(AVERAGEIFS('CE RAW'!$G:$G,'CE RAW'!$E:$E,RESOURCES!$C72),"-")</f>
        <v>-</v>
      </c>
      <c r="AE72" s="50" t="str">
        <f>IFERROR(VLOOKUP($C72,'FCR RAW'!$A:$I,7,FALSE),"-")</f>
        <v>-</v>
      </c>
      <c r="AF72" s="50">
        <f>IFERROR(IF(VLOOKUP($C72,'BONUS RAW'!$D:$I,6,FALSE)=100%,100%,"-"),"-")</f>
        <v>1</v>
      </c>
      <c r="AG72" s="52">
        <f t="shared" si="12"/>
        <v>0.85293739002932556</v>
      </c>
      <c r="AH72" s="56">
        <f t="shared" si="9"/>
        <v>125</v>
      </c>
      <c r="AI72" s="57">
        <f t="shared" si="13"/>
        <v>0.84519725266244794</v>
      </c>
      <c r="AJ72" s="57">
        <f t="shared" si="14"/>
        <v>0.85293739002932556</v>
      </c>
      <c r="AK72" s="325" t="str">
        <f>IFERROR(VLOOKUP($C72,'ATTRITION RAW'!$E:$J,6,FALSE),"-")</f>
        <v>-</v>
      </c>
      <c r="AL72" s="176" t="str">
        <f t="shared" si="15"/>
        <v>-</v>
      </c>
      <c r="AM72" s="454">
        <f>IFERROR(VLOOKUP($C72,'CHURN RAW'!$A:$G,7,FALSE),"-")</f>
        <v>7.1400000000000005E-2</v>
      </c>
      <c r="AN72" s="456" t="str">
        <f t="shared" si="10"/>
        <v>QUALITY - DESIGNERS</v>
      </c>
    </row>
    <row r="73" spans="2:40">
      <c r="B73" s="637">
        <f t="shared" si="16"/>
        <v>70</v>
      </c>
      <c r="C73" s="93">
        <v>10072177</v>
      </c>
      <c r="D73" s="93" t="s">
        <v>168</v>
      </c>
      <c r="E73" s="88" t="s">
        <v>83</v>
      </c>
      <c r="F73" s="88" t="s">
        <v>169</v>
      </c>
      <c r="G73" s="88" t="s">
        <v>170</v>
      </c>
      <c r="H73" s="88" t="s">
        <v>85</v>
      </c>
      <c r="I73" s="88" t="s">
        <v>86</v>
      </c>
      <c r="J73" s="638"/>
      <c r="K73" s="638">
        <f t="shared" si="17"/>
        <v>43739</v>
      </c>
      <c r="L73" s="639" t="str">
        <f t="shared" si="11"/>
        <v>Expert</v>
      </c>
      <c r="M73" s="53">
        <f>IFERROR(VLOOKUP($E73,KPI!$B:$T,MATCH(RESOURCES!M$3,KPI!$B$1:$T$1,0),FALSE),"-")</f>
        <v>0.25</v>
      </c>
      <c r="N73" s="53">
        <f>IFERROR(VLOOKUP($E73,KPI!$B:$T,MATCH(RESOURCES!N$3,KPI!$B$1:$T$1,0),FALSE),"-")</f>
        <v>0.25</v>
      </c>
      <c r="O73" s="53">
        <f>IFERROR(VLOOKUP($E73,KPI!$B:$T,MATCH(RESOURCES!O$3,KPI!$B$1:$T$1,0),FALSE),"-")</f>
        <v>0.1</v>
      </c>
      <c r="P73" s="53" t="str">
        <f>IFERROR(VLOOKUP($E73,KPI!$B:$T,MATCH(RESOURCES!P$3,KPI!$B$1:$T$1,0),FALSE),"-")</f>
        <v>-</v>
      </c>
      <c r="Q73" s="53" t="str">
        <f>IFERROR(VLOOKUP($E73,KPI!$B:$T,MATCH(RESOURCES!Q$3,KPI!$B$1:$T$1,0),FALSE),"-")</f>
        <v>-</v>
      </c>
      <c r="R73" s="53">
        <f>IFERROR(VLOOKUP($E73,KPI!$B:$T,MATCH(RESOURCES!R$3,KPI!$B$1:$T$1,0),FALSE),"-")</f>
        <v>0.15</v>
      </c>
      <c r="S73" s="53">
        <f>IFERROR(VLOOKUP($E73,KPI!$B:$T,MATCH(RESOURCES!S$3,KPI!$B$1:$T$1,0),FALSE),"-")</f>
        <v>0.2</v>
      </c>
      <c r="T73" s="53" t="str">
        <f>IFERROR(VLOOKUP($E73,KPI!$B:$T,MATCH(RESOURCES!T$3,KPI!$B$1:$T$1,0),FALSE),"-")</f>
        <v>-</v>
      </c>
      <c r="U73" s="53" t="str">
        <f>IFERROR(VLOOKUP($E73,KPI!$B:$T,MATCH(RESOURCES!U$3,KPI!$B$1:$T$1,0),FALSE),"-")</f>
        <v>-</v>
      </c>
      <c r="V73" s="53">
        <f>IFERROR(VLOOKUP($E73,KPI!$B:$T,MATCH(RESOURCES!V$3,KPI!$B$1:$T$1,0),FALSE),"-")</f>
        <v>0.05</v>
      </c>
      <c r="W73" s="50">
        <f>IFERROR(VLOOKUP($C73,'PRODUCTIVITY RAW'!$B:$Q,16,FALSE),"-")</f>
        <v>1</v>
      </c>
      <c r="X73" s="50">
        <f>IFERROR(VLOOKUP($C73,'CHURN RAW'!$A:$H,8,FALSE),"-")</f>
        <v>0.8</v>
      </c>
      <c r="Y73" s="50">
        <f>IFERROR(IF(AVERAGEIFS('QA RAW'!$G:$G,'QA RAW'!$E:$E,RESOURCES!$C73)=0,"-",AVERAGEIFS('QA RAW'!$G:$G,'QA RAW'!$E:$E,RESOURCES!$C73)),"-")</f>
        <v>0.99619999999999997</v>
      </c>
      <c r="Z73" s="50" t="str">
        <f>IFERROR(VLOOKUP($C73,'PR CALIBRATION RAW'!$K:$S,MATCH(RESOURCES!Z$3,'PR CALIBRATION RAW'!$K$1:$S$1,0),FALSE),"-")</f>
        <v>-</v>
      </c>
      <c r="AA73" s="50" t="str">
        <f>IFERROR(VLOOKUP($C73,'DISPUTES RAW (VQA)'!$N:$U,8,FALSE),"-")</f>
        <v>-</v>
      </c>
      <c r="AB73" s="50">
        <f>IFERROR(VLOOKUP($C73,'ATTENDANCE RAW'!$E:$R,13,FALSE),"-")</f>
        <v>1</v>
      </c>
      <c r="AC73" s="50">
        <f>IFERROR(IF($E73="Voice QA",IF(AVERAGEIFS('KC RAW'!$J:$J,'KC RAW'!$B:$B,RESOURCES!$C73)=0,"-",AVERAGEIFS('KC RAW'!$J:$J,'KC RAW'!$B:$B,RESOURCES!$C73)),IF(AVERAGEIFS('KC RAW'!$H:$H,'KC RAW'!$B:$B,RESOURCES!$C73)=0,"-",AVERAGEIFS('KC RAW'!$H:$H,'KC RAW'!$B:$B,RESOURCES!$C73))),"-")</f>
        <v>0.75</v>
      </c>
      <c r="AD73" s="50" t="str">
        <f>IFERROR(AVERAGEIFS('CE RAW'!$G:$G,'CE RAW'!$E:$E,RESOURCES!$C73),"-")</f>
        <v>-</v>
      </c>
      <c r="AE73" s="50" t="str">
        <f>IFERROR(VLOOKUP($C73,'FCR RAW'!$A:$I,7,FALSE),"-")</f>
        <v>-</v>
      </c>
      <c r="AF73" s="50" t="str">
        <f>IFERROR(IF(VLOOKUP($C73,'BONUS RAW'!$D:$I,6,FALSE)=100%,100%,"-"),"-")</f>
        <v>-</v>
      </c>
      <c r="AG73" s="52">
        <f t="shared" si="12"/>
        <v>0.89433684210526321</v>
      </c>
      <c r="AH73" s="56">
        <f t="shared" si="9"/>
        <v>93</v>
      </c>
      <c r="AI73" s="57">
        <f t="shared" si="13"/>
        <v>0.89433684210526321</v>
      </c>
      <c r="AJ73" s="57">
        <f t="shared" si="14"/>
        <v>0.84962000000000004</v>
      </c>
      <c r="AK73" s="325" t="str">
        <f>IFERROR(VLOOKUP($C73,'ATTRITION RAW'!$E:$J,6,FALSE),"-")</f>
        <v>-</v>
      </c>
      <c r="AL73" s="176" t="str">
        <f t="shared" si="15"/>
        <v>-</v>
      </c>
      <c r="AM73" s="454">
        <f>IFERROR(VLOOKUP($C73,'CHURN RAW'!$A:$G,7,FALSE),"-")</f>
        <v>0.2</v>
      </c>
      <c r="AN73" s="456" t="str">
        <f t="shared" si="10"/>
        <v>QUALITY - DESIGNERS</v>
      </c>
    </row>
    <row r="74" spans="2:40">
      <c r="B74" s="637">
        <f t="shared" si="16"/>
        <v>71</v>
      </c>
      <c r="C74" s="93">
        <v>10071358</v>
      </c>
      <c r="D74" s="93" t="s">
        <v>171</v>
      </c>
      <c r="E74" s="88" t="s">
        <v>83</v>
      </c>
      <c r="F74" s="88" t="s">
        <v>169</v>
      </c>
      <c r="G74" s="88" t="s">
        <v>170</v>
      </c>
      <c r="H74" s="88" t="s">
        <v>85</v>
      </c>
      <c r="I74" s="88" t="s">
        <v>86</v>
      </c>
      <c r="J74" s="638"/>
      <c r="K74" s="638">
        <f t="shared" si="17"/>
        <v>43739</v>
      </c>
      <c r="L74" s="639" t="str">
        <f t="shared" si="11"/>
        <v>Expert</v>
      </c>
      <c r="M74" s="53">
        <f>IFERROR(VLOOKUP($E74,KPI!$B:$T,MATCH(RESOURCES!M$3,KPI!$B$1:$T$1,0),FALSE),"-")</f>
        <v>0.25</v>
      </c>
      <c r="N74" s="53">
        <f>IFERROR(VLOOKUP($E74,KPI!$B:$T,MATCH(RESOURCES!N$3,KPI!$B$1:$T$1,0),FALSE),"-")</f>
        <v>0.25</v>
      </c>
      <c r="O74" s="53">
        <f>IFERROR(VLOOKUP($E74,KPI!$B:$T,MATCH(RESOURCES!O$3,KPI!$B$1:$T$1,0),FALSE),"-")</f>
        <v>0.1</v>
      </c>
      <c r="P74" s="53" t="str">
        <f>IFERROR(VLOOKUP($E74,KPI!$B:$T,MATCH(RESOURCES!P$3,KPI!$B$1:$T$1,0),FALSE),"-")</f>
        <v>-</v>
      </c>
      <c r="Q74" s="53" t="str">
        <f>IFERROR(VLOOKUP($E74,KPI!$B:$T,MATCH(RESOURCES!Q$3,KPI!$B$1:$T$1,0),FALSE),"-")</f>
        <v>-</v>
      </c>
      <c r="R74" s="53">
        <f>IFERROR(VLOOKUP($E74,KPI!$B:$T,MATCH(RESOURCES!R$3,KPI!$B$1:$T$1,0),FALSE),"-")</f>
        <v>0.15</v>
      </c>
      <c r="S74" s="53">
        <f>IFERROR(VLOOKUP($E74,KPI!$B:$T,MATCH(RESOURCES!S$3,KPI!$B$1:$T$1,0),FALSE),"-")</f>
        <v>0.2</v>
      </c>
      <c r="T74" s="53" t="str">
        <f>IFERROR(VLOOKUP($E74,KPI!$B:$T,MATCH(RESOURCES!T$3,KPI!$B$1:$T$1,0),FALSE),"-")</f>
        <v>-</v>
      </c>
      <c r="U74" s="53" t="str">
        <f>IFERROR(VLOOKUP($E74,KPI!$B:$T,MATCH(RESOURCES!U$3,KPI!$B$1:$T$1,0),FALSE),"-")</f>
        <v>-</v>
      </c>
      <c r="V74" s="53">
        <f>IFERROR(VLOOKUP($E74,KPI!$B:$T,MATCH(RESOURCES!V$3,KPI!$B$1:$T$1,0),FALSE),"-")</f>
        <v>0.05</v>
      </c>
      <c r="W74" s="50">
        <f>IFERROR(VLOOKUP($C74,'PRODUCTIVITY RAW'!$B:$Q,16,FALSE),"-")</f>
        <v>0.80312500000000031</v>
      </c>
      <c r="X74" s="50">
        <f>IFERROR(VLOOKUP($C74,'CHURN RAW'!$A:$H,8,FALSE),"-")</f>
        <v>0.9</v>
      </c>
      <c r="Y74" s="50">
        <f>IFERROR(IF(AVERAGEIFS('QA RAW'!$G:$G,'QA RAW'!$E:$E,RESOURCES!$C74)=0,"-",AVERAGEIFS('QA RAW'!$G:$G,'QA RAW'!$E:$E,RESOURCES!$C74)),"-")</f>
        <v>0.99809999999999999</v>
      </c>
      <c r="Z74" s="50" t="str">
        <f>IFERROR(VLOOKUP($C74,'PR CALIBRATION RAW'!$K:$S,MATCH(RESOURCES!Z$3,'PR CALIBRATION RAW'!$K$1:$S$1,0),FALSE),"-")</f>
        <v>-</v>
      </c>
      <c r="AA74" s="50" t="str">
        <f>IFERROR(VLOOKUP($C74,'DISPUTES RAW (VQA)'!$N:$U,8,FALSE),"-")</f>
        <v>-</v>
      </c>
      <c r="AB74" s="50">
        <f>IFERROR(VLOOKUP($C74,'ATTENDANCE RAW'!$E:$R,13,FALSE),"-")</f>
        <v>1</v>
      </c>
      <c r="AC74" s="50">
        <f>IFERROR(IF($E74="Voice QA",IF(AVERAGEIFS('KC RAW'!$J:$J,'KC RAW'!$B:$B,RESOURCES!$C74)=0,"-",AVERAGEIFS('KC RAW'!$J:$J,'KC RAW'!$B:$B,RESOURCES!$C74)),IF(AVERAGEIFS('KC RAW'!$H:$H,'KC RAW'!$B:$B,RESOURCES!$C74)=0,"-",AVERAGEIFS('KC RAW'!$H:$H,'KC RAW'!$B:$B,RESOURCES!$C74))),"-")</f>
        <v>0.85000000000000009</v>
      </c>
      <c r="AD74" s="50" t="str">
        <f>IFERROR(AVERAGEIFS('CE RAW'!$G:$G,'CE RAW'!$E:$E,RESOURCES!$C74),"-")</f>
        <v>-</v>
      </c>
      <c r="AE74" s="50" t="str">
        <f>IFERROR(VLOOKUP($C74,'FCR RAW'!$A:$I,7,FALSE),"-")</f>
        <v>-</v>
      </c>
      <c r="AF74" s="50" t="str">
        <f>IFERROR(IF(VLOOKUP($C74,'BONUS RAW'!$D:$I,6,FALSE)=100%,100%,"-"),"-")</f>
        <v>-</v>
      </c>
      <c r="AG74" s="52">
        <f t="shared" si="12"/>
        <v>0.8900960526315792</v>
      </c>
      <c r="AH74" s="56">
        <f t="shared" si="9"/>
        <v>96</v>
      </c>
      <c r="AI74" s="57">
        <f t="shared" si="13"/>
        <v>0.8900960526315792</v>
      </c>
      <c r="AJ74" s="57">
        <f t="shared" si="14"/>
        <v>0.84559125000000024</v>
      </c>
      <c r="AK74" s="325" t="str">
        <f>IFERROR(VLOOKUP($C74,'ATTRITION RAW'!$E:$J,6,FALSE),"-")</f>
        <v>-</v>
      </c>
      <c r="AL74" s="176" t="str">
        <f t="shared" si="15"/>
        <v>-</v>
      </c>
      <c r="AM74" s="454">
        <f>IFERROR(VLOOKUP($C74,'CHURN RAW'!$A:$G,7,FALSE),"-")</f>
        <v>0.1333</v>
      </c>
      <c r="AN74" s="456" t="str">
        <f t="shared" si="10"/>
        <v>QUALITY - DESIGNERS</v>
      </c>
    </row>
    <row r="75" spans="2:40">
      <c r="B75" s="637">
        <f t="shared" si="16"/>
        <v>72</v>
      </c>
      <c r="C75" s="93">
        <v>10071910</v>
      </c>
      <c r="D75" s="93" t="s">
        <v>172</v>
      </c>
      <c r="E75" s="88" t="s">
        <v>83</v>
      </c>
      <c r="F75" s="88" t="s">
        <v>169</v>
      </c>
      <c r="G75" s="88" t="s">
        <v>170</v>
      </c>
      <c r="H75" s="88" t="s">
        <v>85</v>
      </c>
      <c r="I75" s="88" t="s">
        <v>86</v>
      </c>
      <c r="J75" s="638"/>
      <c r="K75" s="638">
        <f t="shared" si="17"/>
        <v>43739</v>
      </c>
      <c r="L75" s="639" t="str">
        <f t="shared" si="11"/>
        <v>Expert</v>
      </c>
      <c r="M75" s="53">
        <f>IFERROR(VLOOKUP($E75,KPI!$B:$T,MATCH(RESOURCES!M$3,KPI!$B$1:$T$1,0),FALSE),"-")</f>
        <v>0.25</v>
      </c>
      <c r="N75" s="53">
        <f>IFERROR(VLOOKUP($E75,KPI!$B:$T,MATCH(RESOURCES!N$3,KPI!$B$1:$T$1,0),FALSE),"-")</f>
        <v>0.25</v>
      </c>
      <c r="O75" s="53">
        <f>IFERROR(VLOOKUP($E75,KPI!$B:$T,MATCH(RESOURCES!O$3,KPI!$B$1:$T$1,0),FALSE),"-")</f>
        <v>0.1</v>
      </c>
      <c r="P75" s="53" t="str">
        <f>IFERROR(VLOOKUP($E75,KPI!$B:$T,MATCH(RESOURCES!P$3,KPI!$B$1:$T$1,0),FALSE),"-")</f>
        <v>-</v>
      </c>
      <c r="Q75" s="53" t="str">
        <f>IFERROR(VLOOKUP($E75,KPI!$B:$T,MATCH(RESOURCES!Q$3,KPI!$B$1:$T$1,0),FALSE),"-")</f>
        <v>-</v>
      </c>
      <c r="R75" s="53">
        <f>IFERROR(VLOOKUP($E75,KPI!$B:$T,MATCH(RESOURCES!R$3,KPI!$B$1:$T$1,0),FALSE),"-")</f>
        <v>0.15</v>
      </c>
      <c r="S75" s="53">
        <f>IFERROR(VLOOKUP($E75,KPI!$B:$T,MATCH(RESOURCES!S$3,KPI!$B$1:$T$1,0),FALSE),"-")</f>
        <v>0.2</v>
      </c>
      <c r="T75" s="53" t="str">
        <f>IFERROR(VLOOKUP($E75,KPI!$B:$T,MATCH(RESOURCES!T$3,KPI!$B$1:$T$1,0),FALSE),"-")</f>
        <v>-</v>
      </c>
      <c r="U75" s="53" t="str">
        <f>IFERROR(VLOOKUP($E75,KPI!$B:$T,MATCH(RESOURCES!U$3,KPI!$B$1:$T$1,0),FALSE),"-")</f>
        <v>-</v>
      </c>
      <c r="V75" s="53">
        <f>IFERROR(VLOOKUP($E75,KPI!$B:$T,MATCH(RESOURCES!V$3,KPI!$B$1:$T$1,0),FALSE),"-")</f>
        <v>0.05</v>
      </c>
      <c r="W75" s="50">
        <f>IFERROR(VLOOKUP($C75,'PRODUCTIVITY RAW'!$B:$Q,16,FALSE),"-")</f>
        <v>1</v>
      </c>
      <c r="X75" s="50">
        <f>IFERROR(VLOOKUP($C75,'CHURN RAW'!$A:$H,8,FALSE),"-")</f>
        <v>0.9</v>
      </c>
      <c r="Y75" s="50">
        <f>IFERROR(IF(AVERAGEIFS('QA RAW'!$G:$G,'QA RAW'!$E:$E,RESOURCES!$C75)=0,"-",AVERAGEIFS('QA RAW'!$G:$G,'QA RAW'!$E:$E,RESOURCES!$C75)),"-")</f>
        <v>0.99650000000000005</v>
      </c>
      <c r="Z75" s="50" t="str">
        <f>IFERROR(VLOOKUP($C75,'PR CALIBRATION RAW'!$K:$S,MATCH(RESOURCES!Z$3,'PR CALIBRATION RAW'!$K$1:$S$1,0),FALSE),"-")</f>
        <v>-</v>
      </c>
      <c r="AA75" s="50" t="str">
        <f>IFERROR(VLOOKUP($C75,'DISPUTES RAW (VQA)'!$N:$U,8,FALSE),"-")</f>
        <v>-</v>
      </c>
      <c r="AB75" s="50">
        <f>IFERROR(VLOOKUP($C75,'ATTENDANCE RAW'!$E:$R,13,FALSE),"-")</f>
        <v>1</v>
      </c>
      <c r="AC75" s="50">
        <f>IFERROR(IF($E75="Voice QA",IF(AVERAGEIFS('KC RAW'!$J:$J,'KC RAW'!$B:$B,RESOURCES!$C75)=0,"-",AVERAGEIFS('KC RAW'!$J:$J,'KC RAW'!$B:$B,RESOURCES!$C75)),IF(AVERAGEIFS('KC RAW'!$H:$H,'KC RAW'!$B:$B,RESOURCES!$C75)=0,"-",AVERAGEIFS('KC RAW'!$H:$H,'KC RAW'!$B:$B,RESOURCES!$C75))),"-")</f>
        <v>0.9</v>
      </c>
      <c r="AD75" s="50" t="str">
        <f>IFERROR(AVERAGEIFS('CE RAW'!$G:$G,'CE RAW'!$E:$E,RESOURCES!$C75),"-")</f>
        <v>-</v>
      </c>
      <c r="AE75" s="50" t="str">
        <f>IFERROR(VLOOKUP($C75,'FCR RAW'!$A:$I,7,FALSE),"-")</f>
        <v>-</v>
      </c>
      <c r="AF75" s="50" t="str">
        <f>IFERROR(IF(VLOOKUP($C75,'BONUS RAW'!$D:$I,6,FALSE)=100%,100%,"-"),"-")</f>
        <v>-</v>
      </c>
      <c r="AG75" s="52">
        <f t="shared" si="12"/>
        <v>0.95226315789473692</v>
      </c>
      <c r="AH75" s="56">
        <f t="shared" si="9"/>
        <v>32</v>
      </c>
      <c r="AI75" s="57">
        <f t="shared" si="13"/>
        <v>0.95226315789473692</v>
      </c>
      <c r="AJ75" s="57">
        <f t="shared" si="14"/>
        <v>0.90465000000000007</v>
      </c>
      <c r="AK75" s="325" t="str">
        <f>IFERROR(VLOOKUP($C75,'ATTRITION RAW'!$E:$J,6,FALSE),"-")</f>
        <v>-</v>
      </c>
      <c r="AL75" s="176" t="str">
        <f t="shared" si="15"/>
        <v>-</v>
      </c>
      <c r="AM75" s="454">
        <f>IFERROR(VLOOKUP($C75,'CHURN RAW'!$A:$G,7,FALSE),"-")</f>
        <v>0.1333</v>
      </c>
      <c r="AN75" s="456" t="str">
        <f t="shared" si="10"/>
        <v>QUALITY - DESIGNERS</v>
      </c>
    </row>
    <row r="76" spans="2:40">
      <c r="B76" s="637">
        <f t="shared" si="16"/>
        <v>73</v>
      </c>
      <c r="C76" s="93">
        <v>10071433</v>
      </c>
      <c r="D76" s="93" t="s">
        <v>173</v>
      </c>
      <c r="E76" s="88" t="s">
        <v>83</v>
      </c>
      <c r="F76" s="88" t="s">
        <v>169</v>
      </c>
      <c r="G76" s="88" t="s">
        <v>170</v>
      </c>
      <c r="H76" s="88" t="s">
        <v>85</v>
      </c>
      <c r="I76" s="88" t="s">
        <v>86</v>
      </c>
      <c r="J76" s="638"/>
      <c r="K76" s="638">
        <f t="shared" si="17"/>
        <v>43739</v>
      </c>
      <c r="L76" s="639" t="str">
        <f t="shared" si="11"/>
        <v>Expert</v>
      </c>
      <c r="M76" s="53">
        <f>IFERROR(VLOOKUP($E76,KPI!$B:$T,MATCH(RESOURCES!M$3,KPI!$B$1:$T$1,0),FALSE),"-")</f>
        <v>0.25</v>
      </c>
      <c r="N76" s="53">
        <f>IFERROR(VLOOKUP($E76,KPI!$B:$T,MATCH(RESOURCES!N$3,KPI!$B$1:$T$1,0),FALSE),"-")</f>
        <v>0.25</v>
      </c>
      <c r="O76" s="53">
        <f>IFERROR(VLOOKUP($E76,KPI!$B:$T,MATCH(RESOURCES!O$3,KPI!$B$1:$T$1,0),FALSE),"-")</f>
        <v>0.1</v>
      </c>
      <c r="P76" s="53" t="str">
        <f>IFERROR(VLOOKUP($E76,KPI!$B:$T,MATCH(RESOURCES!P$3,KPI!$B$1:$T$1,0),FALSE),"-")</f>
        <v>-</v>
      </c>
      <c r="Q76" s="53" t="str">
        <f>IFERROR(VLOOKUP($E76,KPI!$B:$T,MATCH(RESOURCES!Q$3,KPI!$B$1:$T$1,0),FALSE),"-")</f>
        <v>-</v>
      </c>
      <c r="R76" s="53">
        <f>IFERROR(VLOOKUP($E76,KPI!$B:$T,MATCH(RESOURCES!R$3,KPI!$B$1:$T$1,0),FALSE),"-")</f>
        <v>0.15</v>
      </c>
      <c r="S76" s="53">
        <f>IFERROR(VLOOKUP($E76,KPI!$B:$T,MATCH(RESOURCES!S$3,KPI!$B$1:$T$1,0),FALSE),"-")</f>
        <v>0.2</v>
      </c>
      <c r="T76" s="53" t="str">
        <f>IFERROR(VLOOKUP($E76,KPI!$B:$T,MATCH(RESOURCES!T$3,KPI!$B$1:$T$1,0),FALSE),"-")</f>
        <v>-</v>
      </c>
      <c r="U76" s="53" t="str">
        <f>IFERROR(VLOOKUP($E76,KPI!$B:$T,MATCH(RESOURCES!U$3,KPI!$B$1:$T$1,0),FALSE),"-")</f>
        <v>-</v>
      </c>
      <c r="V76" s="53">
        <f>IFERROR(VLOOKUP($E76,KPI!$B:$T,MATCH(RESOURCES!V$3,KPI!$B$1:$T$1,0),FALSE),"-")</f>
        <v>0.05</v>
      </c>
      <c r="W76" s="50">
        <f>IFERROR(VLOOKUP($C76,'PRODUCTIVITY RAW'!$B:$Q,16,FALSE),"-")</f>
        <v>0.92421083978558705</v>
      </c>
      <c r="X76" s="50">
        <f>IFERROR(VLOOKUP($C76,'CHURN RAW'!$A:$H,8,FALSE),"-")</f>
        <v>0.8</v>
      </c>
      <c r="Y76" s="50">
        <f>IFERROR(IF(AVERAGEIFS('QA RAW'!$G:$G,'QA RAW'!$E:$E,RESOURCES!$C76)=0,"-",AVERAGEIFS('QA RAW'!$G:$G,'QA RAW'!$E:$E,RESOURCES!$C76)),"-")</f>
        <v>0.99460000000000004</v>
      </c>
      <c r="Z76" s="50" t="str">
        <f>IFERROR(VLOOKUP($C76,'PR CALIBRATION RAW'!$K:$S,MATCH(RESOURCES!Z$3,'PR CALIBRATION RAW'!$K$1:$S$1,0),FALSE),"-")</f>
        <v>-</v>
      </c>
      <c r="AA76" s="50" t="str">
        <f>IFERROR(VLOOKUP($C76,'DISPUTES RAW (VQA)'!$N:$U,8,FALSE),"-")</f>
        <v>-</v>
      </c>
      <c r="AB76" s="50">
        <f>IFERROR(VLOOKUP($C76,'ATTENDANCE RAW'!$E:$R,13,FALSE),"-")</f>
        <v>1</v>
      </c>
      <c r="AC76" s="50">
        <f>IFERROR(IF($E76="Voice QA",IF(AVERAGEIFS('KC RAW'!$J:$J,'KC RAW'!$B:$B,RESOURCES!$C76)=0,"-",AVERAGEIFS('KC RAW'!$J:$J,'KC RAW'!$B:$B,RESOURCES!$C76)),IF(AVERAGEIFS('KC RAW'!$H:$H,'KC RAW'!$B:$B,RESOURCES!$C76)=0,"-",AVERAGEIFS('KC RAW'!$H:$H,'KC RAW'!$B:$B,RESOURCES!$C76))),"-")</f>
        <v>0.45</v>
      </c>
      <c r="AD76" s="50" t="str">
        <f>IFERROR(AVERAGEIFS('CE RAW'!$G:$G,'CE RAW'!$E:$E,RESOURCES!$C76),"-")</f>
        <v>-</v>
      </c>
      <c r="AE76" s="50" t="str">
        <f>IFERROR(VLOOKUP($C76,'FCR RAW'!$A:$I,7,FALSE),"-")</f>
        <v>-</v>
      </c>
      <c r="AF76" s="50">
        <f>IFERROR(IF(VLOOKUP($C76,'BONUS RAW'!$D:$I,6,FALSE)=100%,100%,"-"),"-")</f>
        <v>1</v>
      </c>
      <c r="AG76" s="52">
        <f t="shared" si="12"/>
        <v>0.8205127099463968</v>
      </c>
      <c r="AH76" s="56">
        <f t="shared" si="9"/>
        <v>138</v>
      </c>
      <c r="AI76" s="57">
        <f t="shared" si="13"/>
        <v>0.81106601046989135</v>
      </c>
      <c r="AJ76" s="57">
        <f t="shared" si="14"/>
        <v>0.8205127099463968</v>
      </c>
      <c r="AK76" s="325" t="str">
        <f>IFERROR(VLOOKUP($C76,'ATTRITION RAW'!$E:$J,6,FALSE),"-")</f>
        <v>-</v>
      </c>
      <c r="AL76" s="176" t="str">
        <f t="shared" si="15"/>
        <v>-</v>
      </c>
      <c r="AM76" s="454">
        <f>IFERROR(VLOOKUP($C76,'CHURN RAW'!$A:$G,7,FALSE),"-")</f>
        <v>0.2273</v>
      </c>
      <c r="AN76" s="456" t="str">
        <f t="shared" si="10"/>
        <v>QUALITY - DESIGNERS</v>
      </c>
    </row>
    <row r="77" spans="2:40">
      <c r="B77" s="637">
        <f t="shared" si="16"/>
        <v>74</v>
      </c>
      <c r="C77" s="93">
        <v>10072437</v>
      </c>
      <c r="D77" s="93" t="s">
        <v>174</v>
      </c>
      <c r="E77" s="88" t="s">
        <v>83</v>
      </c>
      <c r="F77" s="88" t="s">
        <v>169</v>
      </c>
      <c r="G77" s="88" t="s">
        <v>170</v>
      </c>
      <c r="H77" s="88" t="s">
        <v>85</v>
      </c>
      <c r="I77" s="88" t="s">
        <v>86</v>
      </c>
      <c r="J77" s="638"/>
      <c r="K77" s="638">
        <f t="shared" si="17"/>
        <v>43739</v>
      </c>
      <c r="L77" s="639" t="str">
        <f t="shared" si="11"/>
        <v>Expert</v>
      </c>
      <c r="M77" s="53">
        <f>IFERROR(VLOOKUP($E77,KPI!$B:$T,MATCH(RESOURCES!M$3,KPI!$B$1:$T$1,0),FALSE),"-")</f>
        <v>0.25</v>
      </c>
      <c r="N77" s="53">
        <f>IFERROR(VLOOKUP($E77,KPI!$B:$T,MATCH(RESOURCES!N$3,KPI!$B$1:$T$1,0),FALSE),"-")</f>
        <v>0.25</v>
      </c>
      <c r="O77" s="53">
        <f>IFERROR(VLOOKUP($E77,KPI!$B:$T,MATCH(RESOURCES!O$3,KPI!$B$1:$T$1,0),FALSE),"-")</f>
        <v>0.1</v>
      </c>
      <c r="P77" s="53" t="str">
        <f>IFERROR(VLOOKUP($E77,KPI!$B:$T,MATCH(RESOURCES!P$3,KPI!$B$1:$T$1,0),FALSE),"-")</f>
        <v>-</v>
      </c>
      <c r="Q77" s="53" t="str">
        <f>IFERROR(VLOOKUP($E77,KPI!$B:$T,MATCH(RESOURCES!Q$3,KPI!$B$1:$T$1,0),FALSE),"-")</f>
        <v>-</v>
      </c>
      <c r="R77" s="53">
        <f>IFERROR(VLOOKUP($E77,KPI!$B:$T,MATCH(RESOURCES!R$3,KPI!$B$1:$T$1,0),FALSE),"-")</f>
        <v>0.15</v>
      </c>
      <c r="S77" s="53">
        <f>IFERROR(VLOOKUP($E77,KPI!$B:$T,MATCH(RESOURCES!S$3,KPI!$B$1:$T$1,0),FALSE),"-")</f>
        <v>0.2</v>
      </c>
      <c r="T77" s="53" t="str">
        <f>IFERROR(VLOOKUP($E77,KPI!$B:$T,MATCH(RESOURCES!T$3,KPI!$B$1:$T$1,0),FALSE),"-")</f>
        <v>-</v>
      </c>
      <c r="U77" s="53" t="str">
        <f>IFERROR(VLOOKUP($E77,KPI!$B:$T,MATCH(RESOURCES!U$3,KPI!$B$1:$T$1,0),FALSE),"-")</f>
        <v>-</v>
      </c>
      <c r="V77" s="53">
        <f>IFERROR(VLOOKUP($E77,KPI!$B:$T,MATCH(RESOURCES!V$3,KPI!$B$1:$T$1,0),FALSE),"-")</f>
        <v>0.05</v>
      </c>
      <c r="W77" s="50">
        <f>IFERROR(VLOOKUP($C77,'PRODUCTIVITY RAW'!$B:$Q,16,FALSE),"-")</f>
        <v>1</v>
      </c>
      <c r="X77" s="50">
        <f>IFERROR(VLOOKUP($C77,'CHURN RAW'!$A:$H,8,FALSE),"-")</f>
        <v>0.8</v>
      </c>
      <c r="Y77" s="50">
        <f>IFERROR(IF(AVERAGEIFS('QA RAW'!$G:$G,'QA RAW'!$E:$E,RESOURCES!$C77)=0,"-",AVERAGEIFS('QA RAW'!$G:$G,'QA RAW'!$E:$E,RESOURCES!$C77)),"-")</f>
        <v>0.99439999999999995</v>
      </c>
      <c r="Z77" s="50" t="str">
        <f>IFERROR(VLOOKUP($C77,'PR CALIBRATION RAW'!$K:$S,MATCH(RESOURCES!Z$3,'PR CALIBRATION RAW'!$K$1:$S$1,0),FALSE),"-")</f>
        <v>-</v>
      </c>
      <c r="AA77" s="50" t="str">
        <f>IFERROR(VLOOKUP($C77,'DISPUTES RAW (VQA)'!$N:$U,8,FALSE),"-")</f>
        <v>-</v>
      </c>
      <c r="AB77" s="50">
        <f>IFERROR(VLOOKUP($C77,'ATTENDANCE RAW'!$E:$R,13,FALSE),"-")</f>
        <v>1</v>
      </c>
      <c r="AC77" s="50">
        <f>IFERROR(IF($E77="Voice QA",IF(AVERAGEIFS('KC RAW'!$J:$J,'KC RAW'!$B:$B,RESOURCES!$C77)=0,"-",AVERAGEIFS('KC RAW'!$J:$J,'KC RAW'!$B:$B,RESOURCES!$C77)),IF(AVERAGEIFS('KC RAW'!$H:$H,'KC RAW'!$B:$B,RESOURCES!$C77)=0,"-",AVERAGEIFS('KC RAW'!$H:$H,'KC RAW'!$B:$B,RESOURCES!$C77))),"-")</f>
        <v>0.75</v>
      </c>
      <c r="AD77" s="50" t="str">
        <f>IFERROR(AVERAGEIFS('CE RAW'!$G:$G,'CE RAW'!$E:$E,RESOURCES!$C77),"-")</f>
        <v>-</v>
      </c>
      <c r="AE77" s="50" t="str">
        <f>IFERROR(VLOOKUP($C77,'FCR RAW'!$A:$I,7,FALSE),"-")</f>
        <v>-</v>
      </c>
      <c r="AF77" s="50" t="str">
        <f>IFERROR(IF(VLOOKUP($C77,'BONUS RAW'!$D:$I,6,FALSE)=100%,100%,"-"),"-")</f>
        <v>-</v>
      </c>
      <c r="AG77" s="52">
        <f t="shared" si="12"/>
        <v>0.8941473684210528</v>
      </c>
      <c r="AH77" s="56">
        <f t="shared" si="9"/>
        <v>94</v>
      </c>
      <c r="AI77" s="57">
        <f t="shared" si="13"/>
        <v>0.8941473684210528</v>
      </c>
      <c r="AJ77" s="57">
        <f t="shared" si="14"/>
        <v>0.84944000000000008</v>
      </c>
      <c r="AK77" s="325" t="str">
        <f>IFERROR(VLOOKUP($C77,'ATTRITION RAW'!$E:$J,6,FALSE),"-")</f>
        <v>-</v>
      </c>
      <c r="AL77" s="176" t="str">
        <f t="shared" si="15"/>
        <v>-</v>
      </c>
      <c r="AM77" s="454">
        <f>IFERROR(VLOOKUP($C77,'CHURN RAW'!$A:$G,7,FALSE),"-")</f>
        <v>0.21429999999999999</v>
      </c>
      <c r="AN77" s="456" t="str">
        <f t="shared" si="10"/>
        <v>QUALITY - DESIGNERS</v>
      </c>
    </row>
    <row r="78" spans="2:40">
      <c r="B78" s="637">
        <f t="shared" si="16"/>
        <v>75</v>
      </c>
      <c r="C78" s="93">
        <v>10072453</v>
      </c>
      <c r="D78" s="93" t="s">
        <v>175</v>
      </c>
      <c r="E78" s="88" t="s">
        <v>83</v>
      </c>
      <c r="F78" s="88" t="s">
        <v>169</v>
      </c>
      <c r="G78" s="88" t="s">
        <v>170</v>
      </c>
      <c r="H78" s="88" t="s">
        <v>85</v>
      </c>
      <c r="I78" s="88" t="s">
        <v>86</v>
      </c>
      <c r="J78" s="638">
        <v>43731</v>
      </c>
      <c r="K78" s="638">
        <f t="shared" si="17"/>
        <v>43739</v>
      </c>
      <c r="L78" s="639" t="str">
        <f t="shared" si="11"/>
        <v>Beginner</v>
      </c>
      <c r="M78" s="53">
        <f>IFERROR(VLOOKUP($E78,KPI!$B:$T,MATCH(RESOURCES!M$3,KPI!$B$1:$T$1,0),FALSE),"-")</f>
        <v>0.25</v>
      </c>
      <c r="N78" s="53">
        <f>IFERROR(VLOOKUP($E78,KPI!$B:$T,MATCH(RESOURCES!N$3,KPI!$B$1:$T$1,0),FALSE),"-")</f>
        <v>0.25</v>
      </c>
      <c r="O78" s="53">
        <f>IFERROR(VLOOKUP($E78,KPI!$B:$T,MATCH(RESOURCES!O$3,KPI!$B$1:$T$1,0),FALSE),"-")</f>
        <v>0.1</v>
      </c>
      <c r="P78" s="53" t="str">
        <f>IFERROR(VLOOKUP($E78,KPI!$B:$T,MATCH(RESOURCES!P$3,KPI!$B$1:$T$1,0),FALSE),"-")</f>
        <v>-</v>
      </c>
      <c r="Q78" s="53" t="str">
        <f>IFERROR(VLOOKUP($E78,KPI!$B:$T,MATCH(RESOURCES!Q$3,KPI!$B$1:$T$1,0),FALSE),"-")</f>
        <v>-</v>
      </c>
      <c r="R78" s="53">
        <f>IFERROR(VLOOKUP($E78,KPI!$B:$T,MATCH(RESOURCES!R$3,KPI!$B$1:$T$1,0),FALSE),"-")</f>
        <v>0.15</v>
      </c>
      <c r="S78" s="53">
        <f>IFERROR(VLOOKUP($E78,KPI!$B:$T,MATCH(RESOURCES!S$3,KPI!$B$1:$T$1,0),FALSE),"-")</f>
        <v>0.2</v>
      </c>
      <c r="T78" s="53" t="str">
        <f>IFERROR(VLOOKUP($E78,KPI!$B:$T,MATCH(RESOURCES!T$3,KPI!$B$1:$T$1,0),FALSE),"-")</f>
        <v>-</v>
      </c>
      <c r="U78" s="53" t="str">
        <f>IFERROR(VLOOKUP($E78,KPI!$B:$T,MATCH(RESOURCES!U$3,KPI!$B$1:$T$1,0),FALSE),"-")</f>
        <v>-</v>
      </c>
      <c r="V78" s="53">
        <f>IFERROR(VLOOKUP($E78,KPI!$B:$T,MATCH(RESOURCES!V$3,KPI!$B$1:$T$1,0),FALSE),"-")</f>
        <v>0.05</v>
      </c>
      <c r="W78" s="50">
        <f>IFERROR(VLOOKUP($C78,'PRODUCTIVITY RAW'!$B:$Q,16,FALSE),"-")</f>
        <v>1</v>
      </c>
      <c r="X78" s="50">
        <f>IFERROR(VLOOKUP($C78,'CHURN RAW'!$A:$H,8,FALSE),"-")</f>
        <v>0.8</v>
      </c>
      <c r="Y78" s="50">
        <f>IFERROR(IF(AVERAGEIFS('QA RAW'!$G:$G,'QA RAW'!$E:$E,RESOURCES!$C78)=0,"-",AVERAGEIFS('QA RAW'!$G:$G,'QA RAW'!$E:$E,RESOURCES!$C78)),"-")</f>
        <v>0.99439999999999995</v>
      </c>
      <c r="Z78" s="50" t="str">
        <f>IFERROR(VLOOKUP($C78,'PR CALIBRATION RAW'!$K:$S,MATCH(RESOURCES!Z$3,'PR CALIBRATION RAW'!$K$1:$S$1,0),FALSE),"-")</f>
        <v>-</v>
      </c>
      <c r="AA78" s="50" t="str">
        <f>IFERROR(VLOOKUP($C78,'DISPUTES RAW (VQA)'!$N:$U,8,FALSE),"-")</f>
        <v>-</v>
      </c>
      <c r="AB78" s="50">
        <f>IFERROR(VLOOKUP($C78,'ATTENDANCE RAW'!$E:$R,13,FALSE),"-")</f>
        <v>1</v>
      </c>
      <c r="AC78" s="50">
        <f>IFERROR(IF($E78="Voice QA",IF(AVERAGEIFS('KC RAW'!$J:$J,'KC RAW'!$B:$B,RESOURCES!$C78)=0,"-",AVERAGEIFS('KC RAW'!$J:$J,'KC RAW'!$B:$B,RESOURCES!$C78)),IF(AVERAGEIFS('KC RAW'!$H:$H,'KC RAW'!$B:$B,RESOURCES!$C78)=0,"-",AVERAGEIFS('KC RAW'!$H:$H,'KC RAW'!$B:$B,RESOURCES!$C78))),"-")</f>
        <v>0.8</v>
      </c>
      <c r="AD78" s="50" t="str">
        <f>IFERROR(AVERAGEIFS('CE RAW'!$G:$G,'CE RAW'!$E:$E,RESOURCES!$C78),"-")</f>
        <v>-</v>
      </c>
      <c r="AE78" s="50" t="str">
        <f>IFERROR(VLOOKUP($C78,'FCR RAW'!$A:$I,7,FALSE),"-")</f>
        <v>-</v>
      </c>
      <c r="AF78" s="50">
        <f>IFERROR(IF(VLOOKUP($C78,'BONUS RAW'!$D:$I,6,FALSE)=100%,100%,"-"),"-")</f>
        <v>1</v>
      </c>
      <c r="AG78" s="52">
        <f t="shared" si="12"/>
        <v>0.90944000000000014</v>
      </c>
      <c r="AH78" s="56">
        <f t="shared" si="9"/>
        <v>73</v>
      </c>
      <c r="AI78" s="57">
        <f t="shared" si="13"/>
        <v>0.90467368421052641</v>
      </c>
      <c r="AJ78" s="57">
        <f t="shared" si="14"/>
        <v>0.90944000000000014</v>
      </c>
      <c r="AK78" s="325" t="str">
        <f>IFERROR(VLOOKUP($C78,'ATTRITION RAW'!$E:$J,6,FALSE),"-")</f>
        <v>-</v>
      </c>
      <c r="AL78" s="176" t="str">
        <f t="shared" si="15"/>
        <v>-</v>
      </c>
      <c r="AM78" s="454">
        <f>IFERROR(VLOOKUP($C78,'CHURN RAW'!$A:$G,7,FALSE),"-")</f>
        <v>0.21429999999999999</v>
      </c>
      <c r="AN78" s="456" t="str">
        <f t="shared" si="10"/>
        <v>QUALITY - DESIGNERS</v>
      </c>
    </row>
    <row r="79" spans="2:40">
      <c r="B79" s="637">
        <f t="shared" si="16"/>
        <v>76</v>
      </c>
      <c r="C79" s="93">
        <v>10071603</v>
      </c>
      <c r="D79" s="93" t="s">
        <v>176</v>
      </c>
      <c r="E79" s="88" t="s">
        <v>177</v>
      </c>
      <c r="F79" s="88" t="s">
        <v>169</v>
      </c>
      <c r="G79" s="88" t="s">
        <v>170</v>
      </c>
      <c r="H79" s="88" t="s">
        <v>85</v>
      </c>
      <c r="I79" s="88" t="s">
        <v>86</v>
      </c>
      <c r="J79" s="638"/>
      <c r="K79" s="638">
        <f t="shared" si="17"/>
        <v>43739</v>
      </c>
      <c r="L79" s="639" t="str">
        <f t="shared" si="11"/>
        <v>Expert</v>
      </c>
      <c r="M79" s="53">
        <f>IFERROR(VLOOKUP($E79,KPI!$B:$T,MATCH(RESOURCES!M$3,KPI!$B$1:$T$1,0),FALSE),"-")</f>
        <v>0.4</v>
      </c>
      <c r="N79" s="627"/>
      <c r="O79" s="53">
        <f>IFERROR(VLOOKUP($E79,KPI!$B:$T,MATCH(RESOURCES!O$3,KPI!$B$1:$T$1,0),FALSE),"-")</f>
        <v>0.1</v>
      </c>
      <c r="P79" s="53" t="str">
        <f>IFERROR(VLOOKUP($E79,KPI!$B:$T,MATCH(RESOURCES!P$3,KPI!$B$1:$T$1,0),FALSE),"-")</f>
        <v>-</v>
      </c>
      <c r="Q79" s="53" t="str">
        <f>IFERROR(VLOOKUP($E79,KPI!$B:$T,MATCH(RESOURCES!Q$3,KPI!$B$1:$T$1,0),FALSE),"-")</f>
        <v>-</v>
      </c>
      <c r="R79" s="53">
        <f>IFERROR(VLOOKUP($E79,KPI!$B:$T,MATCH(RESOURCES!R$3,KPI!$B$1:$T$1,0),FALSE),"-")</f>
        <v>0.2</v>
      </c>
      <c r="S79" s="53">
        <f>IFERROR(VLOOKUP($E79,KPI!$B:$T,MATCH(RESOURCES!S$3,KPI!$B$1:$T$1,0),FALSE),"-")</f>
        <v>0.25</v>
      </c>
      <c r="T79" s="53" t="str">
        <f>IFERROR(VLOOKUP($E79,KPI!$B:$T,MATCH(RESOURCES!T$3,KPI!$B$1:$T$1,0),FALSE),"-")</f>
        <v>-</v>
      </c>
      <c r="U79" s="53" t="str">
        <f>IFERROR(VLOOKUP($E79,KPI!$B:$T,MATCH(RESOURCES!U$3,KPI!$B$1:$T$1,0),FALSE),"-")</f>
        <v>-</v>
      </c>
      <c r="V79" s="53">
        <f>IFERROR(VLOOKUP($E79,KPI!$B:$T,MATCH(RESOURCES!V$3,KPI!$B$1:$T$1,0),FALSE),"-")</f>
        <v>0.05</v>
      </c>
      <c r="W79" s="50">
        <f>IFERROR(VLOOKUP($C79,'PRODUCTIVITY RAW'!$B:$Q,16,FALSE),"-")</f>
        <v>0.80882352941176383</v>
      </c>
      <c r="X79" s="50" t="str">
        <f>IFERROR(VLOOKUP($C79,'CHURN RAW'!$A:$H,8,FALSE),"-")</f>
        <v>NO SCORE</v>
      </c>
      <c r="Y79" s="50">
        <f>IFERROR(IF(AVERAGEIFS('QA RAW'!$G:$G,'QA RAW'!$E:$E,RESOURCES!$C79)=0,"-",AVERAGEIFS('QA RAW'!$G:$G,'QA RAW'!$E:$E,RESOURCES!$C79)),"-")</f>
        <v>1</v>
      </c>
      <c r="Z79" s="50" t="str">
        <f>IFERROR(VLOOKUP($C79,'PR CALIBRATION RAW'!$K:$S,MATCH(RESOURCES!Z$3,'PR CALIBRATION RAW'!$K$1:$S$1,0),FALSE),"-")</f>
        <v>-</v>
      </c>
      <c r="AA79" s="50" t="str">
        <f>IFERROR(VLOOKUP($C79,'DISPUTES RAW (VQA)'!$N:$U,8,FALSE),"-")</f>
        <v>-</v>
      </c>
      <c r="AB79" s="50">
        <f>IFERROR(VLOOKUP($C79,'ATTENDANCE RAW'!$E:$R,13,FALSE),"-")</f>
        <v>1</v>
      </c>
      <c r="AC79" s="50">
        <f>IFERROR(IF($E79="Voice QA",IF(AVERAGEIFS('KC RAW'!$J:$J,'KC RAW'!$B:$B,RESOURCES!$C79)=0,"-",AVERAGEIFS('KC RAW'!$J:$J,'KC RAW'!$B:$B,RESOURCES!$C79)),IF(AVERAGEIFS('KC RAW'!$H:$H,'KC RAW'!$B:$B,RESOURCES!$C79)=0,"-",AVERAGEIFS('KC RAW'!$H:$H,'KC RAW'!$B:$B,RESOURCES!$C79))),"-")</f>
        <v>0.95</v>
      </c>
      <c r="AD79" s="50" t="str">
        <f>IFERROR(AVERAGEIFS('CE RAW'!$G:$G,'CE RAW'!$E:$E,RESOURCES!$C79),"-")</f>
        <v>-</v>
      </c>
      <c r="AE79" s="50" t="str">
        <f>IFERROR(VLOOKUP($C79,'FCR RAW'!$A:$I,7,FALSE),"-")</f>
        <v>-</v>
      </c>
      <c r="AF79" s="50" t="str">
        <f>IFERROR(IF(VLOOKUP($C79,'BONUS RAW'!$D:$I,6,FALSE)=100%,100%,"-"),"-")</f>
        <v>-</v>
      </c>
      <c r="AG79" s="52">
        <f t="shared" si="12"/>
        <v>0.906346749226006</v>
      </c>
      <c r="AH79" s="56">
        <f t="shared" si="9"/>
        <v>74</v>
      </c>
      <c r="AI79" s="57">
        <f t="shared" si="13"/>
        <v>0.906346749226006</v>
      </c>
      <c r="AJ79" s="57">
        <f t="shared" si="14"/>
        <v>0.86102941176470571</v>
      </c>
      <c r="AK79" s="325" t="str">
        <f>IFERROR(VLOOKUP($C79,'ATTRITION RAW'!$E:$J,6,FALSE),"-")</f>
        <v>-</v>
      </c>
      <c r="AL79" s="176" t="str">
        <f t="shared" si="15"/>
        <v>-</v>
      </c>
      <c r="AM79" s="454" t="str">
        <f>IFERROR(VLOOKUP($C79,'CHURN RAW'!$A:$G,7,FALSE),"-")</f>
        <v>-</v>
      </c>
      <c r="AN79" s="456" t="str">
        <f t="shared" si="10"/>
        <v>QUALITY - DESIGNERS</v>
      </c>
    </row>
    <row r="80" spans="2:40">
      <c r="B80" s="637">
        <f t="shared" si="16"/>
        <v>77</v>
      </c>
      <c r="C80" s="93">
        <v>10071268</v>
      </c>
      <c r="D80" s="93" t="s">
        <v>178</v>
      </c>
      <c r="E80" s="88" t="s">
        <v>83</v>
      </c>
      <c r="F80" s="88" t="s">
        <v>169</v>
      </c>
      <c r="G80" s="88" t="s">
        <v>170</v>
      </c>
      <c r="H80" s="88" t="s">
        <v>85</v>
      </c>
      <c r="I80" s="88" t="s">
        <v>86</v>
      </c>
      <c r="J80" s="638"/>
      <c r="K80" s="638">
        <f t="shared" si="17"/>
        <v>43739</v>
      </c>
      <c r="L80" s="639" t="str">
        <f t="shared" si="11"/>
        <v>Expert</v>
      </c>
      <c r="M80" s="53">
        <f>IFERROR(VLOOKUP($E80,KPI!$B:$T,MATCH(RESOURCES!M$3,KPI!$B$1:$T$1,0),FALSE),"-")</f>
        <v>0.25</v>
      </c>
      <c r="N80" s="53">
        <f>IFERROR(VLOOKUP($E80,KPI!$B:$T,MATCH(RESOURCES!N$3,KPI!$B$1:$T$1,0),FALSE),"-")</f>
        <v>0.25</v>
      </c>
      <c r="O80" s="53">
        <f>IFERROR(VLOOKUP($E80,KPI!$B:$T,MATCH(RESOURCES!O$3,KPI!$B$1:$T$1,0),FALSE),"-")</f>
        <v>0.1</v>
      </c>
      <c r="P80" s="53" t="str">
        <f>IFERROR(VLOOKUP($E80,KPI!$B:$T,MATCH(RESOURCES!P$3,KPI!$B$1:$T$1,0),FALSE),"-")</f>
        <v>-</v>
      </c>
      <c r="Q80" s="53" t="str">
        <f>IFERROR(VLOOKUP($E80,KPI!$B:$T,MATCH(RESOURCES!Q$3,KPI!$B$1:$T$1,0),FALSE),"-")</f>
        <v>-</v>
      </c>
      <c r="R80" s="53">
        <f>IFERROR(VLOOKUP($E80,KPI!$B:$T,MATCH(RESOURCES!R$3,KPI!$B$1:$T$1,0),FALSE),"-")</f>
        <v>0.15</v>
      </c>
      <c r="S80" s="53">
        <f>IFERROR(VLOOKUP($E80,KPI!$B:$T,MATCH(RESOURCES!S$3,KPI!$B$1:$T$1,0),FALSE),"-")</f>
        <v>0.2</v>
      </c>
      <c r="T80" s="53" t="str">
        <f>IFERROR(VLOOKUP($E80,KPI!$B:$T,MATCH(RESOURCES!T$3,KPI!$B$1:$T$1,0),FALSE),"-")</f>
        <v>-</v>
      </c>
      <c r="U80" s="53" t="str">
        <f>IFERROR(VLOOKUP($E80,KPI!$B:$T,MATCH(RESOURCES!U$3,KPI!$B$1:$T$1,0),FALSE),"-")</f>
        <v>-</v>
      </c>
      <c r="V80" s="53">
        <f>IFERROR(VLOOKUP($E80,KPI!$B:$T,MATCH(RESOURCES!V$3,KPI!$B$1:$T$1,0),FALSE),"-")</f>
        <v>0.05</v>
      </c>
      <c r="W80" s="50">
        <f>IFERROR(VLOOKUP($C80,'PRODUCTIVITY RAW'!$B:$Q,16,FALSE),"-")</f>
        <v>1</v>
      </c>
      <c r="X80" s="50">
        <f>IFERROR(VLOOKUP($C80,'CHURN RAW'!$A:$H,8,FALSE),"-")</f>
        <v>0.9</v>
      </c>
      <c r="Y80" s="50">
        <f>IFERROR(IF(AVERAGEIFS('QA RAW'!$G:$G,'QA RAW'!$E:$E,RESOURCES!$C80)=0,"-",AVERAGEIFS('QA RAW'!$G:$G,'QA RAW'!$E:$E,RESOURCES!$C80)),"-")</f>
        <v>0.995</v>
      </c>
      <c r="Z80" s="50" t="str">
        <f>IFERROR(VLOOKUP($C80,'PR CALIBRATION RAW'!$K:$S,MATCH(RESOURCES!Z$3,'PR CALIBRATION RAW'!$K$1:$S$1,0),FALSE),"-")</f>
        <v>-</v>
      </c>
      <c r="AA80" s="50" t="str">
        <f>IFERROR(VLOOKUP($C80,'DISPUTES RAW (VQA)'!$N:$U,8,FALSE),"-")</f>
        <v>-</v>
      </c>
      <c r="AB80" s="50">
        <f>IFERROR(VLOOKUP($C80,'ATTENDANCE RAW'!$E:$R,13,FALSE),"-")</f>
        <v>1</v>
      </c>
      <c r="AC80" s="50">
        <f>IFERROR(IF($E80="Voice QA",IF(AVERAGEIFS('KC RAW'!$J:$J,'KC RAW'!$B:$B,RESOURCES!$C80)=0,"-",AVERAGEIFS('KC RAW'!$J:$J,'KC RAW'!$B:$B,RESOURCES!$C80)),IF(AVERAGEIFS('KC RAW'!$H:$H,'KC RAW'!$B:$B,RESOURCES!$C80)=0,"-",AVERAGEIFS('KC RAW'!$H:$H,'KC RAW'!$B:$B,RESOURCES!$C80))),"-")</f>
        <v>0.65</v>
      </c>
      <c r="AD80" s="50" t="str">
        <f>IFERROR(AVERAGEIFS('CE RAW'!$G:$G,'CE RAW'!$E:$E,RESOURCES!$C80),"-")</f>
        <v>-</v>
      </c>
      <c r="AE80" s="50" t="str">
        <f>IFERROR(VLOOKUP($C80,'FCR RAW'!$A:$I,7,FALSE),"-")</f>
        <v>-</v>
      </c>
      <c r="AF80" s="50" t="str">
        <f>IFERROR(IF(VLOOKUP($C80,'BONUS RAW'!$D:$I,6,FALSE)=100%,100%,"-"),"-")</f>
        <v>-</v>
      </c>
      <c r="AG80" s="52">
        <f t="shared" si="12"/>
        <v>0.89947368421052643</v>
      </c>
      <c r="AH80" s="56">
        <f t="shared" si="9"/>
        <v>87</v>
      </c>
      <c r="AI80" s="57">
        <f t="shared" si="13"/>
        <v>0.89947368421052643</v>
      </c>
      <c r="AJ80" s="57">
        <f t="shared" si="14"/>
        <v>0.85450000000000004</v>
      </c>
      <c r="AK80" s="325" t="str">
        <f>IFERROR(VLOOKUP($C80,'ATTRITION RAW'!$E:$J,6,FALSE),"-")</f>
        <v>-</v>
      </c>
      <c r="AL80" s="176" t="str">
        <f t="shared" si="15"/>
        <v>-</v>
      </c>
      <c r="AM80" s="454">
        <f>IFERROR(VLOOKUP($C80,'CHURN RAW'!$A:$G,7,FALSE),"-")</f>
        <v>0.1</v>
      </c>
      <c r="AN80" s="456" t="str">
        <f t="shared" si="10"/>
        <v>QUALITY - DESIGNERS</v>
      </c>
    </row>
    <row r="81" spans="2:40">
      <c r="B81" s="637">
        <f t="shared" si="16"/>
        <v>78</v>
      </c>
      <c r="C81" s="93">
        <v>10071296</v>
      </c>
      <c r="D81" s="93" t="s">
        <v>179</v>
      </c>
      <c r="E81" s="88" t="s">
        <v>83</v>
      </c>
      <c r="F81" s="88" t="s">
        <v>169</v>
      </c>
      <c r="G81" s="88" t="s">
        <v>170</v>
      </c>
      <c r="H81" s="88" t="s">
        <v>85</v>
      </c>
      <c r="I81" s="88" t="s">
        <v>86</v>
      </c>
      <c r="J81" s="638"/>
      <c r="K81" s="638">
        <f t="shared" si="17"/>
        <v>43739</v>
      </c>
      <c r="L81" s="639" t="str">
        <f t="shared" si="11"/>
        <v>Expert</v>
      </c>
      <c r="M81" s="53">
        <f>IFERROR(VLOOKUP($E81,KPI!$B:$T,MATCH(RESOURCES!M$3,KPI!$B$1:$T$1,0),FALSE),"-")</f>
        <v>0.25</v>
      </c>
      <c r="N81" s="53">
        <f>IFERROR(VLOOKUP($E81,KPI!$B:$T,MATCH(RESOURCES!N$3,KPI!$B$1:$T$1,0),FALSE),"-")</f>
        <v>0.25</v>
      </c>
      <c r="O81" s="53">
        <f>IFERROR(VLOOKUP($E81,KPI!$B:$T,MATCH(RESOURCES!O$3,KPI!$B$1:$T$1,0),FALSE),"-")</f>
        <v>0.1</v>
      </c>
      <c r="P81" s="53" t="str">
        <f>IFERROR(VLOOKUP($E81,KPI!$B:$T,MATCH(RESOURCES!P$3,KPI!$B$1:$T$1,0),FALSE),"-")</f>
        <v>-</v>
      </c>
      <c r="Q81" s="53" t="str">
        <f>IFERROR(VLOOKUP($E81,KPI!$B:$T,MATCH(RESOURCES!Q$3,KPI!$B$1:$T$1,0),FALSE),"-")</f>
        <v>-</v>
      </c>
      <c r="R81" s="53">
        <f>IFERROR(VLOOKUP($E81,KPI!$B:$T,MATCH(RESOURCES!R$3,KPI!$B$1:$T$1,0),FALSE),"-")</f>
        <v>0.15</v>
      </c>
      <c r="S81" s="53">
        <f>IFERROR(VLOOKUP($E81,KPI!$B:$T,MATCH(RESOURCES!S$3,KPI!$B$1:$T$1,0),FALSE),"-")</f>
        <v>0.2</v>
      </c>
      <c r="T81" s="53" t="str">
        <f>IFERROR(VLOOKUP($E81,KPI!$B:$T,MATCH(RESOURCES!T$3,KPI!$B$1:$T$1,0),FALSE),"-")</f>
        <v>-</v>
      </c>
      <c r="U81" s="53" t="str">
        <f>IFERROR(VLOOKUP($E81,KPI!$B:$T,MATCH(RESOURCES!U$3,KPI!$B$1:$T$1,0),FALSE),"-")</f>
        <v>-</v>
      </c>
      <c r="V81" s="53">
        <f>IFERROR(VLOOKUP($E81,KPI!$B:$T,MATCH(RESOURCES!V$3,KPI!$B$1:$T$1,0),FALSE),"-")</f>
        <v>0.05</v>
      </c>
      <c r="W81" s="50">
        <f>IFERROR(VLOOKUP($C81,'PRODUCTIVITY RAW'!$B:$Q,16,FALSE),"-")</f>
        <v>1</v>
      </c>
      <c r="X81" s="50">
        <f>IFERROR(VLOOKUP($C81,'CHURN RAW'!$A:$H,8,FALSE),"-")</f>
        <v>0.9</v>
      </c>
      <c r="Y81" s="50">
        <f>IFERROR(IF(AVERAGEIFS('QA RAW'!$G:$G,'QA RAW'!$E:$E,RESOURCES!$C81)=0,"-",AVERAGEIFS('QA RAW'!$G:$G,'QA RAW'!$E:$E,RESOURCES!$C81)),"-")</f>
        <v>0.99809999999999999</v>
      </c>
      <c r="Z81" s="50" t="str">
        <f>IFERROR(VLOOKUP($C81,'PR CALIBRATION RAW'!$K:$S,MATCH(RESOURCES!Z$3,'PR CALIBRATION RAW'!$K$1:$S$1,0),FALSE),"-")</f>
        <v>-</v>
      </c>
      <c r="AA81" s="50" t="str">
        <f>IFERROR(VLOOKUP($C81,'DISPUTES RAW (VQA)'!$N:$U,8,FALSE),"-")</f>
        <v>-</v>
      </c>
      <c r="AB81" s="50">
        <f>IFERROR(VLOOKUP($C81,'ATTENDANCE RAW'!$E:$R,13,FALSE),"-")</f>
        <v>0.95454545454545459</v>
      </c>
      <c r="AC81" s="50">
        <f>IFERROR(IF($E81="Voice QA",IF(AVERAGEIFS('KC RAW'!$J:$J,'KC RAW'!$B:$B,RESOURCES!$C81)=0,"-",AVERAGEIFS('KC RAW'!$J:$J,'KC RAW'!$B:$B,RESOURCES!$C81)),IF(AVERAGEIFS('KC RAW'!$H:$H,'KC RAW'!$B:$B,RESOURCES!$C81)=0,"-",AVERAGEIFS('KC RAW'!$H:$H,'KC RAW'!$B:$B,RESOURCES!$C81))),"-")</f>
        <v>0.9</v>
      </c>
      <c r="AD81" s="50" t="str">
        <f>IFERROR(AVERAGEIFS('CE RAW'!$G:$G,'CE RAW'!$E:$E,RESOURCES!$C81),"-")</f>
        <v>-</v>
      </c>
      <c r="AE81" s="50" t="str">
        <f>IFERROR(VLOOKUP($C81,'FCR RAW'!$A:$I,7,FALSE),"-")</f>
        <v>-</v>
      </c>
      <c r="AF81" s="50">
        <f>IFERROR(IF(VLOOKUP($C81,'BONUS RAW'!$D:$I,6,FALSE)=100%,100%,"-"),"-")</f>
        <v>1</v>
      </c>
      <c r="AG81" s="52">
        <f t="shared" si="12"/>
        <v>0.94799181818181832</v>
      </c>
      <c r="AH81" s="56">
        <f t="shared" si="9"/>
        <v>37</v>
      </c>
      <c r="AI81" s="57">
        <f t="shared" si="13"/>
        <v>0.94525454545454557</v>
      </c>
      <c r="AJ81" s="57">
        <f t="shared" si="14"/>
        <v>0.94799181818181832</v>
      </c>
      <c r="AK81" s="325" t="str">
        <f>IFERROR(VLOOKUP($C81,'ATTRITION RAW'!$E:$J,6,FALSE),"-")</f>
        <v>-</v>
      </c>
      <c r="AL81" s="176" t="str">
        <f t="shared" si="15"/>
        <v>-</v>
      </c>
      <c r="AM81" s="454">
        <f>IFERROR(VLOOKUP($C81,'CHURN RAW'!$A:$G,7,FALSE),"-")</f>
        <v>0.1429</v>
      </c>
      <c r="AN81" s="456" t="str">
        <f t="shared" si="10"/>
        <v>QUALITY - DESIGNERS</v>
      </c>
    </row>
    <row r="82" spans="2:40">
      <c r="B82" s="637">
        <f t="shared" si="16"/>
        <v>79</v>
      </c>
      <c r="C82" s="93">
        <v>10071972</v>
      </c>
      <c r="D82" s="93" t="s">
        <v>180</v>
      </c>
      <c r="E82" s="88" t="s">
        <v>177</v>
      </c>
      <c r="F82" s="88" t="s">
        <v>169</v>
      </c>
      <c r="G82" s="88" t="s">
        <v>170</v>
      </c>
      <c r="H82" s="88" t="s">
        <v>85</v>
      </c>
      <c r="I82" s="88" t="s">
        <v>86</v>
      </c>
      <c r="J82" s="638"/>
      <c r="K82" s="638">
        <f t="shared" si="17"/>
        <v>43739</v>
      </c>
      <c r="L82" s="639" t="str">
        <f t="shared" si="11"/>
        <v>Expert</v>
      </c>
      <c r="M82" s="53">
        <f>IFERROR(VLOOKUP($E82,KPI!$B:$T,MATCH(RESOURCES!M$3,KPI!$B$1:$T$1,0),FALSE),"-")</f>
        <v>0.4</v>
      </c>
      <c r="N82" s="627"/>
      <c r="O82" s="53">
        <f>IFERROR(VLOOKUP($E82,KPI!$B:$T,MATCH(RESOURCES!O$3,KPI!$B$1:$T$1,0),FALSE),"-")</f>
        <v>0.1</v>
      </c>
      <c r="P82" s="53" t="str">
        <f>IFERROR(VLOOKUP($E82,KPI!$B:$T,MATCH(RESOURCES!P$3,KPI!$B$1:$T$1,0),FALSE),"-")</f>
        <v>-</v>
      </c>
      <c r="Q82" s="53" t="str">
        <f>IFERROR(VLOOKUP($E82,KPI!$B:$T,MATCH(RESOURCES!Q$3,KPI!$B$1:$T$1,0),FALSE),"-")</f>
        <v>-</v>
      </c>
      <c r="R82" s="53">
        <f>IFERROR(VLOOKUP($E82,KPI!$B:$T,MATCH(RESOURCES!R$3,KPI!$B$1:$T$1,0),FALSE),"-")</f>
        <v>0.2</v>
      </c>
      <c r="S82" s="53">
        <f>IFERROR(VLOOKUP($E82,KPI!$B:$T,MATCH(RESOURCES!S$3,KPI!$B$1:$T$1,0),FALSE),"-")</f>
        <v>0.25</v>
      </c>
      <c r="T82" s="53" t="str">
        <f>IFERROR(VLOOKUP($E82,KPI!$B:$T,MATCH(RESOURCES!T$3,KPI!$B$1:$T$1,0),FALSE),"-")</f>
        <v>-</v>
      </c>
      <c r="U82" s="53" t="str">
        <f>IFERROR(VLOOKUP($E82,KPI!$B:$T,MATCH(RESOURCES!U$3,KPI!$B$1:$T$1,0),FALSE),"-")</f>
        <v>-</v>
      </c>
      <c r="V82" s="53">
        <f>IFERROR(VLOOKUP($E82,KPI!$B:$T,MATCH(RESOURCES!V$3,KPI!$B$1:$T$1,0),FALSE),"-")</f>
        <v>0.05</v>
      </c>
      <c r="W82" s="50">
        <f>IFERROR(VLOOKUP($C82,'PRODUCTIVITY RAW'!$B:$Q,16,FALSE),"-")</f>
        <v>0.85784313725490091</v>
      </c>
      <c r="X82" s="50" t="str">
        <f>IFERROR(VLOOKUP($C82,'CHURN RAW'!$A:$H,8,FALSE),"-")</f>
        <v>NO SCORE</v>
      </c>
      <c r="Y82" s="50">
        <f>IFERROR(IF(AVERAGEIFS('QA RAW'!$G:$G,'QA RAW'!$E:$E,RESOURCES!$C82)=0,"-",AVERAGEIFS('QA RAW'!$G:$G,'QA RAW'!$E:$E,RESOURCES!$C82)),"-")</f>
        <v>1</v>
      </c>
      <c r="Z82" s="50" t="str">
        <f>IFERROR(VLOOKUP($C82,'PR CALIBRATION RAW'!$K:$S,MATCH(RESOURCES!Z$3,'PR CALIBRATION RAW'!$K$1:$S$1,0),FALSE),"-")</f>
        <v>-</v>
      </c>
      <c r="AA82" s="50" t="str">
        <f>IFERROR(VLOOKUP($C82,'DISPUTES RAW (VQA)'!$N:$U,8,FALSE),"-")</f>
        <v>-</v>
      </c>
      <c r="AB82" s="50">
        <f>IFERROR(VLOOKUP($C82,'ATTENDANCE RAW'!$E:$R,13,FALSE),"-")</f>
        <v>1</v>
      </c>
      <c r="AC82" s="50">
        <f>IFERROR(IF($E82="Voice QA",IF(AVERAGEIFS('KC RAW'!$J:$J,'KC RAW'!$B:$B,RESOURCES!$C82)=0,"-",AVERAGEIFS('KC RAW'!$J:$J,'KC RAW'!$B:$B,RESOURCES!$C82)),IF(AVERAGEIFS('KC RAW'!$H:$H,'KC RAW'!$B:$B,RESOURCES!$C82)=0,"-",AVERAGEIFS('KC RAW'!$H:$H,'KC RAW'!$B:$B,RESOURCES!$C82))),"-")</f>
        <v>0.85000000000000009</v>
      </c>
      <c r="AD82" s="50" t="str">
        <f>IFERROR(AVERAGEIFS('CE RAW'!$G:$G,'CE RAW'!$E:$E,RESOURCES!$C82),"-")</f>
        <v>-</v>
      </c>
      <c r="AE82" s="50" t="str">
        <f>IFERROR(VLOOKUP($C82,'FCR RAW'!$A:$I,7,FALSE),"-")</f>
        <v>-</v>
      </c>
      <c r="AF82" s="50" t="str">
        <f>IFERROR(IF(VLOOKUP($C82,'BONUS RAW'!$D:$I,6,FALSE)=100%,100%,"-"),"-")</f>
        <v>-</v>
      </c>
      <c r="AG82" s="52">
        <f t="shared" si="12"/>
        <v>0.90067079463364275</v>
      </c>
      <c r="AH82" s="56">
        <f t="shared" si="9"/>
        <v>85</v>
      </c>
      <c r="AI82" s="57">
        <f t="shared" si="13"/>
        <v>0.90067079463364275</v>
      </c>
      <c r="AJ82" s="57">
        <f t="shared" si="14"/>
        <v>0.85563725490196052</v>
      </c>
      <c r="AK82" s="325" t="str">
        <f>IFERROR(VLOOKUP($C82,'ATTRITION RAW'!$E:$J,6,FALSE),"-")</f>
        <v>-</v>
      </c>
      <c r="AL82" s="176" t="str">
        <f t="shared" si="15"/>
        <v>-</v>
      </c>
      <c r="AM82" s="454" t="str">
        <f>IFERROR(VLOOKUP($C82,'CHURN RAW'!$A:$G,7,FALSE),"-")</f>
        <v>-</v>
      </c>
      <c r="AN82" s="456" t="str">
        <f t="shared" si="10"/>
        <v>QUALITY - DESIGNERS</v>
      </c>
    </row>
    <row r="83" spans="2:40">
      <c r="B83" s="637">
        <f t="shared" si="16"/>
        <v>80</v>
      </c>
      <c r="C83" s="93">
        <v>10071283</v>
      </c>
      <c r="D83" s="93" t="s">
        <v>181</v>
      </c>
      <c r="E83" s="88" t="s">
        <v>83</v>
      </c>
      <c r="F83" s="88" t="s">
        <v>169</v>
      </c>
      <c r="G83" s="88" t="s">
        <v>170</v>
      </c>
      <c r="H83" s="88" t="s">
        <v>85</v>
      </c>
      <c r="I83" s="88" t="s">
        <v>86</v>
      </c>
      <c r="J83" s="638"/>
      <c r="K83" s="638">
        <f t="shared" si="17"/>
        <v>43739</v>
      </c>
      <c r="L83" s="639" t="str">
        <f t="shared" si="11"/>
        <v>Expert</v>
      </c>
      <c r="M83" s="53">
        <f>IFERROR(VLOOKUP($E83,KPI!$B:$T,MATCH(RESOURCES!M$3,KPI!$B$1:$T$1,0),FALSE),"-")</f>
        <v>0.25</v>
      </c>
      <c r="N83" s="53">
        <f>IFERROR(VLOOKUP($E83,KPI!$B:$T,MATCH(RESOURCES!N$3,KPI!$B$1:$T$1,0),FALSE),"-")</f>
        <v>0.25</v>
      </c>
      <c r="O83" s="53">
        <f>IFERROR(VLOOKUP($E83,KPI!$B:$T,MATCH(RESOURCES!O$3,KPI!$B$1:$T$1,0),FALSE),"-")</f>
        <v>0.1</v>
      </c>
      <c r="P83" s="53" t="str">
        <f>IFERROR(VLOOKUP($E83,KPI!$B:$T,MATCH(RESOURCES!P$3,KPI!$B$1:$T$1,0),FALSE),"-")</f>
        <v>-</v>
      </c>
      <c r="Q83" s="53" t="str">
        <f>IFERROR(VLOOKUP($E83,KPI!$B:$T,MATCH(RESOURCES!Q$3,KPI!$B$1:$T$1,0),FALSE),"-")</f>
        <v>-</v>
      </c>
      <c r="R83" s="53">
        <f>IFERROR(VLOOKUP($E83,KPI!$B:$T,MATCH(RESOURCES!R$3,KPI!$B$1:$T$1,0),FALSE),"-")</f>
        <v>0.15</v>
      </c>
      <c r="S83" s="53">
        <f>IFERROR(VLOOKUP($E83,KPI!$B:$T,MATCH(RESOURCES!S$3,KPI!$B$1:$T$1,0),FALSE),"-")</f>
        <v>0.2</v>
      </c>
      <c r="T83" s="53" t="str">
        <f>IFERROR(VLOOKUP($E83,KPI!$B:$T,MATCH(RESOURCES!T$3,KPI!$B$1:$T$1,0),FALSE),"-")</f>
        <v>-</v>
      </c>
      <c r="U83" s="53" t="str">
        <f>IFERROR(VLOOKUP($E83,KPI!$B:$T,MATCH(RESOURCES!U$3,KPI!$B$1:$T$1,0),FALSE),"-")</f>
        <v>-</v>
      </c>
      <c r="V83" s="53">
        <f>IFERROR(VLOOKUP($E83,KPI!$B:$T,MATCH(RESOURCES!V$3,KPI!$B$1:$T$1,0),FALSE),"-")</f>
        <v>0.05</v>
      </c>
      <c r="W83" s="50">
        <f>IFERROR(VLOOKUP($C83,'PRODUCTIVITY RAW'!$B:$Q,16,FALSE),"-")</f>
        <v>1</v>
      </c>
      <c r="X83" s="50">
        <f>IFERROR(VLOOKUP($C83,'CHURN RAW'!$A:$H,8,FALSE),"-")</f>
        <v>0.8</v>
      </c>
      <c r="Y83" s="50">
        <f>IFERROR(IF(AVERAGEIFS('QA RAW'!$G:$G,'QA RAW'!$E:$E,RESOURCES!$C83)=0,"-",AVERAGEIFS('QA RAW'!$G:$G,'QA RAW'!$E:$E,RESOURCES!$C83)),"-")</f>
        <v>0.99450000000000005</v>
      </c>
      <c r="Z83" s="50" t="str">
        <f>IFERROR(VLOOKUP($C83,'PR CALIBRATION RAW'!$K:$S,MATCH(RESOURCES!Z$3,'PR CALIBRATION RAW'!$K$1:$S$1,0),FALSE),"-")</f>
        <v>-</v>
      </c>
      <c r="AA83" s="50" t="str">
        <f>IFERROR(VLOOKUP($C83,'DISPUTES RAW (VQA)'!$N:$U,8,FALSE),"-")</f>
        <v>-</v>
      </c>
      <c r="AB83" s="50">
        <f>IFERROR(VLOOKUP($C83,'ATTENDANCE RAW'!$E:$R,13,FALSE),"-")</f>
        <v>1</v>
      </c>
      <c r="AC83" s="50">
        <f>IFERROR(IF($E83="Voice QA",IF(AVERAGEIFS('KC RAW'!$J:$J,'KC RAW'!$B:$B,RESOURCES!$C83)=0,"-",AVERAGEIFS('KC RAW'!$J:$J,'KC RAW'!$B:$B,RESOURCES!$C83)),IF(AVERAGEIFS('KC RAW'!$H:$H,'KC RAW'!$B:$B,RESOURCES!$C83)=0,"-",AVERAGEIFS('KC RAW'!$H:$H,'KC RAW'!$B:$B,RESOURCES!$C83))),"-")</f>
        <v>0.8</v>
      </c>
      <c r="AD83" s="50" t="str">
        <f>IFERROR(AVERAGEIFS('CE RAW'!$G:$G,'CE RAW'!$E:$E,RESOURCES!$C83),"-")</f>
        <v>-</v>
      </c>
      <c r="AE83" s="50" t="str">
        <f>IFERROR(VLOOKUP($C83,'FCR RAW'!$A:$I,7,FALSE),"-")</f>
        <v>-</v>
      </c>
      <c r="AF83" s="50">
        <f>IFERROR(IF(VLOOKUP($C83,'BONUS RAW'!$D:$I,6,FALSE)=100%,100%,"-"),"-")</f>
        <v>1</v>
      </c>
      <c r="AG83" s="52">
        <f t="shared" si="12"/>
        <v>0.90945000000000009</v>
      </c>
      <c r="AH83" s="56">
        <f t="shared" si="9"/>
        <v>72</v>
      </c>
      <c r="AI83" s="57">
        <f t="shared" si="13"/>
        <v>0.90468421052631587</v>
      </c>
      <c r="AJ83" s="57">
        <f t="shared" si="14"/>
        <v>0.90945000000000009</v>
      </c>
      <c r="AK83" s="325" t="str">
        <f>IFERROR(VLOOKUP($C83,'ATTRITION RAW'!$E:$J,6,FALSE),"-")</f>
        <v>-</v>
      </c>
      <c r="AL83" s="176" t="str">
        <f t="shared" si="15"/>
        <v>-</v>
      </c>
      <c r="AM83" s="454">
        <f>IFERROR(VLOOKUP($C83,'CHURN RAW'!$A:$G,7,FALSE),"-")</f>
        <v>0.1905</v>
      </c>
      <c r="AN83" s="456" t="str">
        <f t="shared" si="10"/>
        <v>QUALITY - DESIGNERS</v>
      </c>
    </row>
    <row r="84" spans="2:40">
      <c r="B84" s="637">
        <f t="shared" si="16"/>
        <v>81</v>
      </c>
      <c r="C84" s="93">
        <v>10071753</v>
      </c>
      <c r="D84" s="93" t="s">
        <v>182</v>
      </c>
      <c r="E84" s="88" t="s">
        <v>83</v>
      </c>
      <c r="F84" s="88" t="s">
        <v>169</v>
      </c>
      <c r="G84" s="88" t="s">
        <v>170</v>
      </c>
      <c r="H84" s="88" t="s">
        <v>85</v>
      </c>
      <c r="I84" s="88" t="s">
        <v>86</v>
      </c>
      <c r="J84" s="638"/>
      <c r="K84" s="638">
        <f t="shared" si="17"/>
        <v>43739</v>
      </c>
      <c r="L84" s="639" t="str">
        <f t="shared" si="11"/>
        <v>Expert</v>
      </c>
      <c r="M84" s="53">
        <f>IFERROR(VLOOKUP($E84,KPI!$B:$T,MATCH(RESOURCES!M$3,KPI!$B$1:$T$1,0),FALSE),"-")</f>
        <v>0.25</v>
      </c>
      <c r="N84" s="53">
        <f>IFERROR(VLOOKUP($E84,KPI!$B:$T,MATCH(RESOURCES!N$3,KPI!$B$1:$T$1,0),FALSE),"-")</f>
        <v>0.25</v>
      </c>
      <c r="O84" s="53">
        <f>IFERROR(VLOOKUP($E84,KPI!$B:$T,MATCH(RESOURCES!O$3,KPI!$B$1:$T$1,0),FALSE),"-")</f>
        <v>0.1</v>
      </c>
      <c r="P84" s="53" t="str">
        <f>IFERROR(VLOOKUP($E84,KPI!$B:$T,MATCH(RESOURCES!P$3,KPI!$B$1:$T$1,0),FALSE),"-")</f>
        <v>-</v>
      </c>
      <c r="Q84" s="53" t="str">
        <f>IFERROR(VLOOKUP($E84,KPI!$B:$T,MATCH(RESOURCES!Q$3,KPI!$B$1:$T$1,0),FALSE),"-")</f>
        <v>-</v>
      </c>
      <c r="R84" s="53">
        <f>IFERROR(VLOOKUP($E84,KPI!$B:$T,MATCH(RESOURCES!R$3,KPI!$B$1:$T$1,0),FALSE),"-")</f>
        <v>0.15</v>
      </c>
      <c r="S84" s="53">
        <f>IFERROR(VLOOKUP($E84,KPI!$B:$T,MATCH(RESOURCES!S$3,KPI!$B$1:$T$1,0),FALSE),"-")</f>
        <v>0.2</v>
      </c>
      <c r="T84" s="53" t="str">
        <f>IFERROR(VLOOKUP($E84,KPI!$B:$T,MATCH(RESOURCES!T$3,KPI!$B$1:$T$1,0),FALSE),"-")</f>
        <v>-</v>
      </c>
      <c r="U84" s="53" t="str">
        <f>IFERROR(VLOOKUP($E84,KPI!$B:$T,MATCH(RESOURCES!U$3,KPI!$B$1:$T$1,0),FALSE),"-")</f>
        <v>-</v>
      </c>
      <c r="V84" s="53">
        <f>IFERROR(VLOOKUP($E84,KPI!$B:$T,MATCH(RESOURCES!V$3,KPI!$B$1:$T$1,0),FALSE),"-")</f>
        <v>0.05</v>
      </c>
      <c r="W84" s="50">
        <f>IFERROR(VLOOKUP($C84,'PRODUCTIVITY RAW'!$B:$Q,16,FALSE),"-")</f>
        <v>1</v>
      </c>
      <c r="X84" s="50">
        <f>IFERROR(VLOOKUP($C84,'CHURN RAW'!$A:$H,8,FALSE),"-")</f>
        <v>0.8</v>
      </c>
      <c r="Y84" s="50">
        <f>IFERROR(IF(AVERAGEIFS('QA RAW'!$G:$G,'QA RAW'!$E:$E,RESOURCES!$C84)=0,"-",AVERAGEIFS('QA RAW'!$G:$G,'QA RAW'!$E:$E,RESOURCES!$C84)),"-")</f>
        <v>0.99180000000000001</v>
      </c>
      <c r="Z84" s="50" t="str">
        <f>IFERROR(VLOOKUP($C84,'PR CALIBRATION RAW'!$K:$S,MATCH(RESOURCES!Z$3,'PR CALIBRATION RAW'!$K$1:$S$1,0),FALSE),"-")</f>
        <v>-</v>
      </c>
      <c r="AA84" s="50" t="str">
        <f>IFERROR(VLOOKUP($C84,'DISPUTES RAW (VQA)'!$N:$U,8,FALSE),"-")</f>
        <v>-</v>
      </c>
      <c r="AB84" s="50">
        <f>IFERROR(VLOOKUP($C84,'ATTENDANCE RAW'!$E:$R,13,FALSE),"-")</f>
        <v>1</v>
      </c>
      <c r="AC84" s="50">
        <f>IFERROR(IF($E84="Voice QA",IF(AVERAGEIFS('KC RAW'!$J:$J,'KC RAW'!$B:$B,RESOURCES!$C84)=0,"-",AVERAGEIFS('KC RAW'!$J:$J,'KC RAW'!$B:$B,RESOURCES!$C84)),IF(AVERAGEIFS('KC RAW'!$H:$H,'KC RAW'!$B:$B,RESOURCES!$C84)=0,"-",AVERAGEIFS('KC RAW'!$H:$H,'KC RAW'!$B:$B,RESOURCES!$C84))),"-")</f>
        <v>0.6</v>
      </c>
      <c r="AD84" s="50" t="str">
        <f>IFERROR(AVERAGEIFS('CE RAW'!$G:$G,'CE RAW'!$E:$E,RESOURCES!$C84),"-")</f>
        <v>-</v>
      </c>
      <c r="AE84" s="50" t="str">
        <f>IFERROR(VLOOKUP($C84,'FCR RAW'!$A:$I,7,FALSE),"-")</f>
        <v>-</v>
      </c>
      <c r="AF84" s="50">
        <f>IFERROR(IF(VLOOKUP($C84,'BONUS RAW'!$D:$I,6,FALSE)=100%,100%,"-"),"-")</f>
        <v>1</v>
      </c>
      <c r="AG84" s="52">
        <f t="shared" si="12"/>
        <v>0.86918000000000006</v>
      </c>
      <c r="AH84" s="56">
        <f t="shared" si="9"/>
        <v>116</v>
      </c>
      <c r="AI84" s="57">
        <f t="shared" si="13"/>
        <v>0.86229473684210534</v>
      </c>
      <c r="AJ84" s="57">
        <f t="shared" si="14"/>
        <v>0.86918000000000006</v>
      </c>
      <c r="AK84" s="325" t="str">
        <f>IFERROR(VLOOKUP($C84,'ATTRITION RAW'!$E:$J,6,FALSE),"-")</f>
        <v>-</v>
      </c>
      <c r="AL84" s="176" t="str">
        <f t="shared" si="15"/>
        <v>-</v>
      </c>
      <c r="AM84" s="454">
        <f>IFERROR(VLOOKUP($C84,'CHURN RAW'!$A:$G,7,FALSE),"-")</f>
        <v>0.21429999999999999</v>
      </c>
      <c r="AN84" s="456" t="str">
        <f t="shared" si="10"/>
        <v>QUALITY - DESIGNERS</v>
      </c>
    </row>
    <row r="85" spans="2:40">
      <c r="B85" s="637">
        <f t="shared" si="16"/>
        <v>82</v>
      </c>
      <c r="C85" s="93">
        <v>10071803</v>
      </c>
      <c r="D85" s="93" t="s">
        <v>183</v>
      </c>
      <c r="E85" s="88" t="s">
        <v>83</v>
      </c>
      <c r="F85" s="88" t="s">
        <v>169</v>
      </c>
      <c r="G85" s="88" t="s">
        <v>170</v>
      </c>
      <c r="H85" s="88" t="s">
        <v>85</v>
      </c>
      <c r="I85" s="88" t="s">
        <v>86</v>
      </c>
      <c r="J85" s="638"/>
      <c r="K85" s="638">
        <f t="shared" si="17"/>
        <v>43739</v>
      </c>
      <c r="L85" s="639" t="str">
        <f t="shared" si="11"/>
        <v>Expert</v>
      </c>
      <c r="M85" s="53">
        <f>IFERROR(VLOOKUP($E85,KPI!$B:$T,MATCH(RESOURCES!M$3,KPI!$B$1:$T$1,0),FALSE),"-")</f>
        <v>0.25</v>
      </c>
      <c r="N85" s="53">
        <f>IFERROR(VLOOKUP($E85,KPI!$B:$T,MATCH(RESOURCES!N$3,KPI!$B$1:$T$1,0),FALSE),"-")</f>
        <v>0.25</v>
      </c>
      <c r="O85" s="53">
        <f>IFERROR(VLOOKUP($E85,KPI!$B:$T,MATCH(RESOURCES!O$3,KPI!$B$1:$T$1,0),FALSE),"-")</f>
        <v>0.1</v>
      </c>
      <c r="P85" s="53" t="str">
        <f>IFERROR(VLOOKUP($E85,KPI!$B:$T,MATCH(RESOURCES!P$3,KPI!$B$1:$T$1,0),FALSE),"-")</f>
        <v>-</v>
      </c>
      <c r="Q85" s="53" t="str">
        <f>IFERROR(VLOOKUP($E85,KPI!$B:$T,MATCH(RESOURCES!Q$3,KPI!$B$1:$T$1,0),FALSE),"-")</f>
        <v>-</v>
      </c>
      <c r="R85" s="53">
        <f>IFERROR(VLOOKUP($E85,KPI!$B:$T,MATCH(RESOURCES!R$3,KPI!$B$1:$T$1,0),FALSE),"-")</f>
        <v>0.15</v>
      </c>
      <c r="S85" s="53">
        <f>IFERROR(VLOOKUP($E85,KPI!$B:$T,MATCH(RESOURCES!S$3,KPI!$B$1:$T$1,0),FALSE),"-")</f>
        <v>0.2</v>
      </c>
      <c r="T85" s="53" t="str">
        <f>IFERROR(VLOOKUP($E85,KPI!$B:$T,MATCH(RESOURCES!T$3,KPI!$B$1:$T$1,0),FALSE),"-")</f>
        <v>-</v>
      </c>
      <c r="U85" s="53" t="str">
        <f>IFERROR(VLOOKUP($E85,KPI!$B:$T,MATCH(RESOURCES!U$3,KPI!$B$1:$T$1,0),FALSE),"-")</f>
        <v>-</v>
      </c>
      <c r="V85" s="53">
        <f>IFERROR(VLOOKUP($E85,KPI!$B:$T,MATCH(RESOURCES!V$3,KPI!$B$1:$T$1,0),FALSE),"-")</f>
        <v>0.05</v>
      </c>
      <c r="W85" s="50">
        <f>IFERROR(VLOOKUP($C85,'PRODUCTIVITY RAW'!$B:$Q,16,FALSE),"-")</f>
        <v>0.95750000000000002</v>
      </c>
      <c r="X85" s="50">
        <f>IFERROR(VLOOKUP($C85,'CHURN RAW'!$A:$H,8,FALSE),"-")</f>
        <v>0.9</v>
      </c>
      <c r="Y85" s="50">
        <f>IFERROR(IF(AVERAGEIFS('QA RAW'!$G:$G,'QA RAW'!$E:$E,RESOURCES!$C85)=0,"-",AVERAGEIFS('QA RAW'!$G:$G,'QA RAW'!$E:$E,RESOURCES!$C85)),"-")</f>
        <v>0.995</v>
      </c>
      <c r="Z85" s="50" t="str">
        <f>IFERROR(VLOOKUP($C85,'PR CALIBRATION RAW'!$K:$S,MATCH(RESOURCES!Z$3,'PR CALIBRATION RAW'!$K$1:$S$1,0),FALSE),"-")</f>
        <v>-</v>
      </c>
      <c r="AA85" s="50" t="str">
        <f>IFERROR(VLOOKUP($C85,'DISPUTES RAW (VQA)'!$N:$U,8,FALSE),"-")</f>
        <v>-</v>
      </c>
      <c r="AB85" s="50">
        <f>IFERROR(VLOOKUP($C85,'ATTENDANCE RAW'!$E:$R,13,FALSE),"-")</f>
        <v>1</v>
      </c>
      <c r="AC85" s="50">
        <f>IFERROR(IF($E85="Voice QA",IF(AVERAGEIFS('KC RAW'!$J:$J,'KC RAW'!$B:$B,RESOURCES!$C85)=0,"-",AVERAGEIFS('KC RAW'!$J:$J,'KC RAW'!$B:$B,RESOURCES!$C85)),IF(AVERAGEIFS('KC RAW'!$H:$H,'KC RAW'!$B:$B,RESOURCES!$C85)=0,"-",AVERAGEIFS('KC RAW'!$H:$H,'KC RAW'!$B:$B,RESOURCES!$C85))),"-")</f>
        <v>0.55000000000000004</v>
      </c>
      <c r="AD85" s="50" t="str">
        <f>IFERROR(AVERAGEIFS('CE RAW'!$G:$G,'CE RAW'!$E:$E,RESOURCES!$C85),"-")</f>
        <v>-</v>
      </c>
      <c r="AE85" s="50" t="str">
        <f>IFERROR(VLOOKUP($C85,'FCR RAW'!$A:$I,7,FALSE),"-")</f>
        <v>-</v>
      </c>
      <c r="AF85" s="50" t="str">
        <f>IFERROR(IF(VLOOKUP($C85,'BONUS RAW'!$D:$I,6,FALSE)=100%,100%,"-"),"-")</f>
        <v>-</v>
      </c>
      <c r="AG85" s="52">
        <f t="shared" si="12"/>
        <v>0.86723684210526319</v>
      </c>
      <c r="AH85" s="56">
        <f t="shared" si="9"/>
        <v>119</v>
      </c>
      <c r="AI85" s="57">
        <f t="shared" si="13"/>
        <v>0.86723684210526319</v>
      </c>
      <c r="AJ85" s="57">
        <f t="shared" si="14"/>
        <v>0.82387500000000002</v>
      </c>
      <c r="AK85" s="325" t="str">
        <f>IFERROR(VLOOKUP($C85,'ATTRITION RAW'!$E:$J,6,FALSE),"-")</f>
        <v>-</v>
      </c>
      <c r="AL85" s="176" t="str">
        <f t="shared" si="15"/>
        <v>-</v>
      </c>
      <c r="AM85" s="454">
        <f>IFERROR(VLOOKUP($C85,'CHURN RAW'!$A:$G,7,FALSE),"-")</f>
        <v>0.125</v>
      </c>
      <c r="AN85" s="456" t="str">
        <f t="shared" si="10"/>
        <v>QUALITY - DESIGNERS</v>
      </c>
    </row>
    <row r="86" spans="2:40">
      <c r="B86" s="637">
        <f t="shared" si="16"/>
        <v>83</v>
      </c>
      <c r="C86" s="93">
        <v>10072076</v>
      </c>
      <c r="D86" s="93" t="s">
        <v>184</v>
      </c>
      <c r="E86" s="88" t="s">
        <v>83</v>
      </c>
      <c r="F86" s="88" t="s">
        <v>169</v>
      </c>
      <c r="G86" s="88" t="s">
        <v>170</v>
      </c>
      <c r="H86" s="88" t="s">
        <v>85</v>
      </c>
      <c r="I86" s="88" t="s">
        <v>86</v>
      </c>
      <c r="J86" s="638"/>
      <c r="K86" s="638">
        <f t="shared" si="17"/>
        <v>43739</v>
      </c>
      <c r="L86" s="639" t="str">
        <f t="shared" si="11"/>
        <v>Expert</v>
      </c>
      <c r="M86" s="53">
        <f>IFERROR(VLOOKUP($E86,KPI!$B:$T,MATCH(RESOURCES!M$3,KPI!$B$1:$T$1,0),FALSE),"-")</f>
        <v>0.25</v>
      </c>
      <c r="N86" s="53">
        <f>IFERROR(VLOOKUP($E86,KPI!$B:$T,MATCH(RESOURCES!N$3,KPI!$B$1:$T$1,0),FALSE),"-")</f>
        <v>0.25</v>
      </c>
      <c r="O86" s="53">
        <f>IFERROR(VLOOKUP($E86,KPI!$B:$T,MATCH(RESOURCES!O$3,KPI!$B$1:$T$1,0),FALSE),"-")</f>
        <v>0.1</v>
      </c>
      <c r="P86" s="53" t="str">
        <f>IFERROR(VLOOKUP($E86,KPI!$B:$T,MATCH(RESOURCES!P$3,KPI!$B$1:$T$1,0),FALSE),"-")</f>
        <v>-</v>
      </c>
      <c r="Q86" s="53" t="str">
        <f>IFERROR(VLOOKUP($E86,KPI!$B:$T,MATCH(RESOURCES!Q$3,KPI!$B$1:$T$1,0),FALSE),"-")</f>
        <v>-</v>
      </c>
      <c r="R86" s="53">
        <f>IFERROR(VLOOKUP($E86,KPI!$B:$T,MATCH(RESOURCES!R$3,KPI!$B$1:$T$1,0),FALSE),"-")</f>
        <v>0.15</v>
      </c>
      <c r="S86" s="53">
        <f>IFERROR(VLOOKUP($E86,KPI!$B:$T,MATCH(RESOURCES!S$3,KPI!$B$1:$T$1,0),FALSE),"-")</f>
        <v>0.2</v>
      </c>
      <c r="T86" s="53" t="str">
        <f>IFERROR(VLOOKUP($E86,KPI!$B:$T,MATCH(RESOURCES!T$3,KPI!$B$1:$T$1,0),FALSE),"-")</f>
        <v>-</v>
      </c>
      <c r="U86" s="53" t="str">
        <f>IFERROR(VLOOKUP($E86,KPI!$B:$T,MATCH(RESOURCES!U$3,KPI!$B$1:$T$1,0),FALSE),"-")</f>
        <v>-</v>
      </c>
      <c r="V86" s="53">
        <f>IFERROR(VLOOKUP($E86,KPI!$B:$T,MATCH(RESOURCES!V$3,KPI!$B$1:$T$1,0),FALSE),"-")</f>
        <v>0.05</v>
      </c>
      <c r="W86" s="50">
        <f>IFERROR(VLOOKUP($C86,'PRODUCTIVITY RAW'!$B:$Q,16,FALSE),"-")</f>
        <v>0.8650000000000001</v>
      </c>
      <c r="X86" s="50">
        <f>IFERROR(VLOOKUP($C86,'CHURN RAW'!$A:$H,8,FALSE),"-")</f>
        <v>0.8</v>
      </c>
      <c r="Y86" s="50">
        <f>IFERROR(IF(AVERAGEIFS('QA RAW'!$G:$G,'QA RAW'!$E:$E,RESOURCES!$C86)=0,"-",AVERAGEIFS('QA RAW'!$G:$G,'QA RAW'!$E:$E,RESOURCES!$C86)),"-")</f>
        <v>0.996</v>
      </c>
      <c r="Z86" s="50" t="str">
        <f>IFERROR(VLOOKUP($C86,'PR CALIBRATION RAW'!$K:$S,MATCH(RESOURCES!Z$3,'PR CALIBRATION RAW'!$K$1:$S$1,0),FALSE),"-")</f>
        <v>-</v>
      </c>
      <c r="AA86" s="50" t="str">
        <f>IFERROR(VLOOKUP($C86,'DISPUTES RAW (VQA)'!$N:$U,8,FALSE),"-")</f>
        <v>-</v>
      </c>
      <c r="AB86" s="50">
        <f>IFERROR(VLOOKUP($C86,'ATTENDANCE RAW'!$E:$R,13,FALSE),"-")</f>
        <v>1</v>
      </c>
      <c r="AC86" s="50">
        <f>IFERROR(IF($E86="Voice QA",IF(AVERAGEIFS('KC RAW'!$J:$J,'KC RAW'!$B:$B,RESOURCES!$C86)=0,"-",AVERAGEIFS('KC RAW'!$J:$J,'KC RAW'!$B:$B,RESOURCES!$C86)),IF(AVERAGEIFS('KC RAW'!$H:$H,'KC RAW'!$B:$B,RESOURCES!$C86)=0,"-",AVERAGEIFS('KC RAW'!$H:$H,'KC RAW'!$B:$B,RESOURCES!$C86))),"-")</f>
        <v>0.7</v>
      </c>
      <c r="AD86" s="50" t="str">
        <f>IFERROR(AVERAGEIFS('CE RAW'!$G:$G,'CE RAW'!$E:$E,RESOURCES!$C86),"-")</f>
        <v>-</v>
      </c>
      <c r="AE86" s="50" t="str">
        <f>IFERROR(VLOOKUP($C86,'FCR RAW'!$A:$I,7,FALSE),"-")</f>
        <v>-</v>
      </c>
      <c r="AF86" s="50" t="str">
        <f>IFERROR(IF(VLOOKUP($C86,'BONUS RAW'!$D:$I,6,FALSE)=100%,100%,"-"),"-")</f>
        <v>-</v>
      </c>
      <c r="AG86" s="52">
        <f t="shared" si="12"/>
        <v>0.84826315789473694</v>
      </c>
      <c r="AH86" s="56">
        <f t="shared" si="9"/>
        <v>127</v>
      </c>
      <c r="AI86" s="57">
        <f t="shared" si="13"/>
        <v>0.84826315789473694</v>
      </c>
      <c r="AJ86" s="57">
        <f t="shared" si="14"/>
        <v>0.80585000000000007</v>
      </c>
      <c r="AK86" s="325" t="str">
        <f>IFERROR(VLOOKUP($C86,'ATTRITION RAW'!$E:$J,6,FALSE),"-")</f>
        <v>-</v>
      </c>
      <c r="AL86" s="176" t="str">
        <f t="shared" si="15"/>
        <v>-</v>
      </c>
      <c r="AM86" s="454">
        <f>IFERROR(VLOOKUP($C86,'CHURN RAW'!$A:$G,7,FALSE),"-")</f>
        <v>0.15790000000000001</v>
      </c>
      <c r="AN86" s="456" t="str">
        <f t="shared" si="10"/>
        <v>QUALITY - DESIGNERS</v>
      </c>
    </row>
    <row r="87" spans="2:40">
      <c r="B87" s="637">
        <f t="shared" si="16"/>
        <v>84</v>
      </c>
      <c r="C87" s="93">
        <v>10072458</v>
      </c>
      <c r="D87" s="93" t="s">
        <v>185</v>
      </c>
      <c r="E87" s="88" t="s">
        <v>83</v>
      </c>
      <c r="F87" s="88" t="s">
        <v>186</v>
      </c>
      <c r="G87" s="88" t="s">
        <v>170</v>
      </c>
      <c r="H87" s="88" t="s">
        <v>85</v>
      </c>
      <c r="I87" s="88" t="s">
        <v>86</v>
      </c>
      <c r="J87" s="638"/>
      <c r="K87" s="638">
        <f t="shared" si="17"/>
        <v>43739</v>
      </c>
      <c r="L87" s="639" t="str">
        <f t="shared" si="11"/>
        <v>Expert</v>
      </c>
      <c r="M87" s="53">
        <f>IFERROR(VLOOKUP($E87,KPI!$B:$T,MATCH(RESOURCES!M$3,KPI!$B$1:$T$1,0),FALSE),"-")</f>
        <v>0.25</v>
      </c>
      <c r="N87" s="53">
        <f>IFERROR(VLOOKUP($E87,KPI!$B:$T,MATCH(RESOURCES!N$3,KPI!$B$1:$T$1,0),FALSE),"-")</f>
        <v>0.25</v>
      </c>
      <c r="O87" s="53">
        <f>IFERROR(VLOOKUP($E87,KPI!$B:$T,MATCH(RESOURCES!O$3,KPI!$B$1:$T$1,0),FALSE),"-")</f>
        <v>0.1</v>
      </c>
      <c r="P87" s="53" t="str">
        <f>IFERROR(VLOOKUP($E87,KPI!$B:$T,MATCH(RESOURCES!P$3,KPI!$B$1:$T$1,0),FALSE),"-")</f>
        <v>-</v>
      </c>
      <c r="Q87" s="53" t="str">
        <f>IFERROR(VLOOKUP($E87,KPI!$B:$T,MATCH(RESOURCES!Q$3,KPI!$B$1:$T$1,0),FALSE),"-")</f>
        <v>-</v>
      </c>
      <c r="R87" s="53">
        <f>IFERROR(VLOOKUP($E87,KPI!$B:$T,MATCH(RESOURCES!R$3,KPI!$B$1:$T$1,0),FALSE),"-")</f>
        <v>0.15</v>
      </c>
      <c r="S87" s="53">
        <f>IFERROR(VLOOKUP($E87,KPI!$B:$T,MATCH(RESOURCES!S$3,KPI!$B$1:$T$1,0),FALSE),"-")</f>
        <v>0.2</v>
      </c>
      <c r="T87" s="53" t="str">
        <f>IFERROR(VLOOKUP($E87,KPI!$B:$T,MATCH(RESOURCES!T$3,KPI!$B$1:$T$1,0),FALSE),"-")</f>
        <v>-</v>
      </c>
      <c r="U87" s="53" t="str">
        <f>IFERROR(VLOOKUP($E87,KPI!$B:$T,MATCH(RESOURCES!U$3,KPI!$B$1:$T$1,0),FALSE),"-")</f>
        <v>-</v>
      </c>
      <c r="V87" s="53">
        <f>IFERROR(VLOOKUP($E87,KPI!$B:$T,MATCH(RESOURCES!V$3,KPI!$B$1:$T$1,0),FALSE),"-")</f>
        <v>0.05</v>
      </c>
      <c r="W87" s="50">
        <f>IFERROR(VLOOKUP($C87,'PRODUCTIVITY RAW'!$B:$Q,16,FALSE),"-")</f>
        <v>1</v>
      </c>
      <c r="X87" s="50">
        <f>IFERROR(VLOOKUP($C87,'CHURN RAW'!$A:$H,8,FALSE),"-")</f>
        <v>0.8</v>
      </c>
      <c r="Y87" s="50">
        <f>IFERROR(IF(AVERAGEIFS('QA RAW'!$G:$G,'QA RAW'!$E:$E,RESOURCES!$C87)=0,"-",AVERAGEIFS('QA RAW'!$G:$G,'QA RAW'!$E:$E,RESOURCES!$C87)),"-")</f>
        <v>0.99539999999999995</v>
      </c>
      <c r="Z87" s="50" t="str">
        <f>IFERROR(VLOOKUP($C87,'PR CALIBRATION RAW'!$K:$S,MATCH(RESOURCES!Z$3,'PR CALIBRATION RAW'!$K$1:$S$1,0),FALSE),"-")</f>
        <v>-</v>
      </c>
      <c r="AA87" s="50" t="str">
        <f>IFERROR(VLOOKUP($C87,'DISPUTES RAW (VQA)'!$N:$U,8,FALSE),"-")</f>
        <v>-</v>
      </c>
      <c r="AB87" s="50">
        <f>IFERROR(VLOOKUP($C87,'ATTENDANCE RAW'!$E:$R,13,FALSE),"-")</f>
        <v>1</v>
      </c>
      <c r="AC87" s="50">
        <f>IFERROR(IF($E87="Voice QA",IF(AVERAGEIFS('KC RAW'!$J:$J,'KC RAW'!$B:$B,RESOURCES!$C87)=0,"-",AVERAGEIFS('KC RAW'!$J:$J,'KC RAW'!$B:$B,RESOURCES!$C87)),IF(AVERAGEIFS('KC RAW'!$H:$H,'KC RAW'!$B:$B,RESOURCES!$C87)=0,"-",AVERAGEIFS('KC RAW'!$H:$H,'KC RAW'!$B:$B,RESOURCES!$C87))),"-")</f>
        <v>0.5</v>
      </c>
      <c r="AD87" s="50" t="str">
        <f>IFERROR(AVERAGEIFS('CE RAW'!$G:$G,'CE RAW'!$E:$E,RESOURCES!$C87),"-")</f>
        <v>-</v>
      </c>
      <c r="AE87" s="50" t="str">
        <f>IFERROR(VLOOKUP($C87,'FCR RAW'!$A:$I,7,FALSE),"-")</f>
        <v>-</v>
      </c>
      <c r="AF87" s="50" t="str">
        <f>IFERROR(IF(VLOOKUP($C87,'BONUS RAW'!$D:$I,6,FALSE)=100%,100%,"-"),"-")</f>
        <v>-</v>
      </c>
      <c r="AG87" s="52">
        <f t="shared" si="12"/>
        <v>0.84162105263157905</v>
      </c>
      <c r="AH87" s="56">
        <f t="shared" si="9"/>
        <v>131</v>
      </c>
      <c r="AI87" s="57">
        <f t="shared" si="13"/>
        <v>0.84162105263157905</v>
      </c>
      <c r="AJ87" s="57">
        <f t="shared" si="14"/>
        <v>0.79954000000000003</v>
      </c>
      <c r="AK87" s="325" t="str">
        <f>IFERROR(VLOOKUP($C87,'ATTRITION RAW'!$E:$J,6,FALSE),"-")</f>
        <v>-</v>
      </c>
      <c r="AL87" s="176" t="str">
        <f t="shared" si="15"/>
        <v>-</v>
      </c>
      <c r="AM87" s="454">
        <f>IFERROR(VLOOKUP($C87,'CHURN RAW'!$A:$G,7,FALSE),"-")</f>
        <v>0.18179999999999999</v>
      </c>
      <c r="AN87" s="456" t="str">
        <f t="shared" si="10"/>
        <v>QUALITY - DESIGNERS</v>
      </c>
    </row>
    <row r="88" spans="2:40">
      <c r="B88" s="637">
        <f t="shared" si="16"/>
        <v>85</v>
      </c>
      <c r="C88" s="93">
        <v>10071322</v>
      </c>
      <c r="D88" s="93" t="s">
        <v>187</v>
      </c>
      <c r="E88" s="88" t="s">
        <v>165</v>
      </c>
      <c r="F88" s="88" t="s">
        <v>186</v>
      </c>
      <c r="G88" s="88" t="s">
        <v>170</v>
      </c>
      <c r="H88" s="88" t="s">
        <v>85</v>
      </c>
      <c r="I88" s="88" t="s">
        <v>86</v>
      </c>
      <c r="J88" s="638"/>
      <c r="K88" s="638">
        <f t="shared" si="17"/>
        <v>43739</v>
      </c>
      <c r="L88" s="639" t="str">
        <f t="shared" si="11"/>
        <v>Expert</v>
      </c>
      <c r="M88" s="53">
        <f>IFERROR(VLOOKUP($E88,KPI!$B:$T,MATCH(RESOURCES!M$3,KPI!$B$1:$T$1,0),FALSE),"-")</f>
        <v>0.3</v>
      </c>
      <c r="N88" s="53">
        <f>IFERROR(VLOOKUP($E88,KPI!$B:$T,MATCH(RESOURCES!N$3,KPI!$B$1:$T$1,0),FALSE),"-")</f>
        <v>0.2</v>
      </c>
      <c r="O88" s="53">
        <f>IFERROR(VLOOKUP($E88,KPI!$B:$T,MATCH(RESOURCES!O$3,KPI!$B$1:$T$1,0),FALSE),"-")</f>
        <v>0.1</v>
      </c>
      <c r="P88" s="53" t="str">
        <f>IFERROR(VLOOKUP($E88,KPI!$B:$T,MATCH(RESOURCES!P$3,KPI!$B$1:$T$1,0),FALSE),"-")</f>
        <v>-</v>
      </c>
      <c r="Q88" s="53" t="str">
        <f>IFERROR(VLOOKUP($E88,KPI!$B:$T,MATCH(RESOURCES!Q$3,KPI!$B$1:$T$1,0),FALSE),"-")</f>
        <v>-</v>
      </c>
      <c r="R88" s="53">
        <f>IFERROR(VLOOKUP($E88,KPI!$B:$T,MATCH(RESOURCES!R$3,KPI!$B$1:$T$1,0),FALSE),"-")</f>
        <v>0.15</v>
      </c>
      <c r="S88" s="53">
        <f>IFERROR(VLOOKUP($E88,KPI!$B:$T,MATCH(RESOURCES!S$3,KPI!$B$1:$T$1,0),FALSE),"-")</f>
        <v>0.2</v>
      </c>
      <c r="T88" s="53" t="str">
        <f>IFERROR(VLOOKUP($E88,KPI!$B:$T,MATCH(RESOURCES!T$3,KPI!$B$1:$T$1,0),FALSE),"-")</f>
        <v>-</v>
      </c>
      <c r="U88" s="53" t="str">
        <f>IFERROR(VLOOKUP($E88,KPI!$B:$T,MATCH(RESOURCES!U$3,KPI!$B$1:$T$1,0),FALSE),"-")</f>
        <v>-</v>
      </c>
      <c r="V88" s="53">
        <f>IFERROR(VLOOKUP($E88,KPI!$B:$T,MATCH(RESOURCES!V$3,KPI!$B$1:$T$1,0),FALSE),"-")</f>
        <v>0.05</v>
      </c>
      <c r="W88" s="50">
        <f>IFERROR(VLOOKUP($C88,'PRODUCTIVITY RAW'!$B:$Q,16,FALSE),"-")</f>
        <v>0.72944728286112459</v>
      </c>
      <c r="X88" s="50">
        <f>IFERROR(VLOOKUP($C88,'CHURN RAW'!$A:$H,8,FALSE),"-")</f>
        <v>1</v>
      </c>
      <c r="Y88" s="50">
        <f>IFERROR(IF(AVERAGEIFS('QA RAW'!$G:$G,'QA RAW'!$E:$E,RESOURCES!$C88)=0,"-",AVERAGEIFS('QA RAW'!$G:$G,'QA RAW'!$E:$E,RESOURCES!$C88)),"-")</f>
        <v>1</v>
      </c>
      <c r="Z88" s="50" t="str">
        <f>IFERROR(VLOOKUP($C88,'PR CALIBRATION RAW'!$K:$S,MATCH(RESOURCES!Z$3,'PR CALIBRATION RAW'!$K$1:$S$1,0),FALSE),"-")</f>
        <v>-</v>
      </c>
      <c r="AA88" s="50" t="str">
        <f>IFERROR(VLOOKUP($C88,'DISPUTES RAW (VQA)'!$N:$U,8,FALSE),"-")</f>
        <v>-</v>
      </c>
      <c r="AB88" s="50">
        <f>IFERROR(VLOOKUP($C88,'ATTENDANCE RAW'!$E:$R,13,FALSE),"-")</f>
        <v>1</v>
      </c>
      <c r="AC88" s="50">
        <f>IFERROR(IF($E88="Voice QA",IF(AVERAGEIFS('KC RAW'!$J:$J,'KC RAW'!$B:$B,RESOURCES!$C88)=0,"-",AVERAGEIFS('KC RAW'!$J:$J,'KC RAW'!$B:$B,RESOURCES!$C88)),IF(AVERAGEIFS('KC RAW'!$H:$H,'KC RAW'!$B:$B,RESOURCES!$C88)=0,"-",AVERAGEIFS('KC RAW'!$H:$H,'KC RAW'!$B:$B,RESOURCES!$C88))),"-")</f>
        <v>0.93500000000000005</v>
      </c>
      <c r="AD88" s="50" t="str">
        <f>IFERROR(AVERAGEIFS('CE RAW'!$G:$G,'CE RAW'!$E:$E,RESOURCES!$C88),"-")</f>
        <v>-</v>
      </c>
      <c r="AE88" s="50" t="str">
        <f>IFERROR(VLOOKUP($C88,'FCR RAW'!$A:$I,7,FALSE),"-")</f>
        <v>-</v>
      </c>
      <c r="AF88" s="50">
        <f>IFERROR(IF(VLOOKUP($C88,'BONUS RAW'!$D:$I,6,FALSE)=100%,100%,"-"),"-")</f>
        <v>1</v>
      </c>
      <c r="AG88" s="52">
        <f t="shared" si="12"/>
        <v>0.90583418485833744</v>
      </c>
      <c r="AH88" s="56">
        <f t="shared" si="9"/>
        <v>77</v>
      </c>
      <c r="AI88" s="57">
        <f t="shared" si="13"/>
        <v>0.9008780893245657</v>
      </c>
      <c r="AJ88" s="57">
        <f t="shared" si="14"/>
        <v>0.90583418485833744</v>
      </c>
      <c r="AK88" s="325" t="str">
        <f>IFERROR(VLOOKUP($C88,'ATTRITION RAW'!$E:$J,6,FALSE),"-")</f>
        <v>-</v>
      </c>
      <c r="AL88" s="176" t="str">
        <f t="shared" si="15"/>
        <v>-</v>
      </c>
      <c r="AM88" s="454">
        <f>IFERROR(VLOOKUP($C88,'CHURN RAW'!$A:$G,7,FALSE),"-")</f>
        <v>0</v>
      </c>
      <c r="AN88" s="456" t="str">
        <f t="shared" si="10"/>
        <v>QUALITY - DESIGNERS</v>
      </c>
    </row>
    <row r="89" spans="2:40">
      <c r="B89" s="637">
        <f t="shared" si="16"/>
        <v>86</v>
      </c>
      <c r="C89" s="93">
        <v>10071429</v>
      </c>
      <c r="D89" s="93" t="s">
        <v>188</v>
      </c>
      <c r="E89" s="88" t="s">
        <v>158</v>
      </c>
      <c r="F89" s="88" t="s">
        <v>186</v>
      </c>
      <c r="G89" s="88" t="s">
        <v>170</v>
      </c>
      <c r="H89" s="88" t="s">
        <v>85</v>
      </c>
      <c r="I89" s="88" t="s">
        <v>86</v>
      </c>
      <c r="J89" s="638"/>
      <c r="K89" s="638">
        <f t="shared" si="17"/>
        <v>43739</v>
      </c>
      <c r="L89" s="639" t="str">
        <f t="shared" si="11"/>
        <v>Expert</v>
      </c>
      <c r="M89" s="53">
        <f>IFERROR(VLOOKUP($E89,KPI!$B:$T,MATCH(RESOURCES!M$3,KPI!$B$1:$T$1,0),FALSE),"-")</f>
        <v>0.3</v>
      </c>
      <c r="N89" s="53">
        <f>IFERROR(VLOOKUP($E89,KPI!$B:$T,MATCH(RESOURCES!N$3,KPI!$B$1:$T$1,0),FALSE),"-")</f>
        <v>0.2</v>
      </c>
      <c r="O89" s="53">
        <f>IFERROR(VLOOKUP($E89,KPI!$B:$T,MATCH(RESOURCES!O$3,KPI!$B$1:$T$1,0),FALSE),"-")</f>
        <v>0.1</v>
      </c>
      <c r="P89" s="53" t="str">
        <f>IFERROR(VLOOKUP($E89,KPI!$B:$T,MATCH(RESOURCES!P$3,KPI!$B$1:$T$1,0),FALSE),"-")</f>
        <v>-</v>
      </c>
      <c r="Q89" s="53" t="str">
        <f>IFERROR(VLOOKUP($E89,KPI!$B:$T,MATCH(RESOURCES!Q$3,KPI!$B$1:$T$1,0),FALSE),"-")</f>
        <v>-</v>
      </c>
      <c r="R89" s="53">
        <f>IFERROR(VLOOKUP($E89,KPI!$B:$T,MATCH(RESOURCES!R$3,KPI!$B$1:$T$1,0),FALSE),"-")</f>
        <v>0.15</v>
      </c>
      <c r="S89" s="53">
        <f>IFERROR(VLOOKUP($E89,KPI!$B:$T,MATCH(RESOURCES!S$3,KPI!$B$1:$T$1,0),FALSE),"-")</f>
        <v>0.2</v>
      </c>
      <c r="T89" s="53" t="str">
        <f>IFERROR(VLOOKUP($E89,KPI!$B:$T,MATCH(RESOURCES!T$3,KPI!$B$1:$T$1,0),FALSE),"-")</f>
        <v>-</v>
      </c>
      <c r="U89" s="53" t="str">
        <f>IFERROR(VLOOKUP($E89,KPI!$B:$T,MATCH(RESOURCES!U$3,KPI!$B$1:$T$1,0),FALSE),"-")</f>
        <v>-</v>
      </c>
      <c r="V89" s="53">
        <f>IFERROR(VLOOKUP($E89,KPI!$B:$T,MATCH(RESOURCES!V$3,KPI!$B$1:$T$1,0),FALSE),"-")</f>
        <v>0.05</v>
      </c>
      <c r="W89" s="50">
        <f>IFERROR(VLOOKUP($C89,'PRODUCTIVITY RAW'!$B:$Q,16,FALSE),"-")</f>
        <v>0.60490196078431369</v>
      </c>
      <c r="X89" s="50">
        <f>IFERROR(VLOOKUP($C89,'CHURN RAW'!$A:$H,8,FALSE),"-")</f>
        <v>1</v>
      </c>
      <c r="Y89" s="50">
        <f>IFERROR(IF(AVERAGEIFS('QA RAW'!$G:$G,'QA RAW'!$E:$E,RESOURCES!$C89)=0,"-",AVERAGEIFS('QA RAW'!$G:$G,'QA RAW'!$E:$E,RESOURCES!$C89)),"-")</f>
        <v>1</v>
      </c>
      <c r="Z89" s="50" t="str">
        <f>IFERROR(VLOOKUP($C89,'PR CALIBRATION RAW'!$K:$S,MATCH(RESOURCES!Z$3,'PR CALIBRATION RAW'!$K$1:$S$1,0),FALSE),"-")</f>
        <v>-</v>
      </c>
      <c r="AA89" s="50" t="str">
        <f>IFERROR(VLOOKUP($C89,'DISPUTES RAW (VQA)'!$N:$U,8,FALSE),"-")</f>
        <v>-</v>
      </c>
      <c r="AB89" s="50">
        <f>IFERROR(VLOOKUP($C89,'ATTENDANCE RAW'!$E:$R,13,FALSE),"-")</f>
        <v>1</v>
      </c>
      <c r="AC89" s="50">
        <f>IFERROR(IF($E89="Voice QA",IF(AVERAGEIFS('KC RAW'!$J:$J,'KC RAW'!$B:$B,RESOURCES!$C89)=0,"-",AVERAGEIFS('KC RAW'!$J:$J,'KC RAW'!$B:$B,RESOURCES!$C89)),IF(AVERAGEIFS('KC RAW'!$H:$H,'KC RAW'!$B:$B,RESOURCES!$C89)=0,"-",AVERAGEIFS('KC RAW'!$H:$H,'KC RAW'!$B:$B,RESOURCES!$C89))),"-")</f>
        <v>0.95</v>
      </c>
      <c r="AD89" s="50" t="str">
        <f>IFERROR(AVERAGEIFS('CE RAW'!$G:$G,'CE RAW'!$E:$E,RESOURCES!$C89),"-")</f>
        <v>-</v>
      </c>
      <c r="AE89" s="50" t="str">
        <f>IFERROR(VLOOKUP($C89,'FCR RAW'!$A:$I,7,FALSE),"-")</f>
        <v>-</v>
      </c>
      <c r="AF89" s="50">
        <f>IFERROR(IF(VLOOKUP($C89,'BONUS RAW'!$D:$I,6,FALSE)=100%,100%,"-"),"-")</f>
        <v>1</v>
      </c>
      <c r="AG89" s="52">
        <f t="shared" si="12"/>
        <v>0.87147058823529422</v>
      </c>
      <c r="AH89" s="56">
        <f t="shared" si="9"/>
        <v>114</v>
      </c>
      <c r="AI89" s="57">
        <f t="shared" si="13"/>
        <v>0.86470588235294132</v>
      </c>
      <c r="AJ89" s="57">
        <f t="shared" si="14"/>
        <v>0.87147058823529422</v>
      </c>
      <c r="AK89" s="325" t="str">
        <f>IFERROR(VLOOKUP($C89,'ATTRITION RAW'!$E:$J,6,FALSE),"-")</f>
        <v>-</v>
      </c>
      <c r="AL89" s="176" t="str">
        <f t="shared" si="15"/>
        <v>-</v>
      </c>
      <c r="AM89" s="454">
        <f>IFERROR(VLOOKUP($C89,'CHURN RAW'!$A:$G,7,FALSE),"-")</f>
        <v>0</v>
      </c>
      <c r="AN89" s="456" t="str">
        <f t="shared" si="10"/>
        <v>QUALITY - DESIGNERS</v>
      </c>
    </row>
    <row r="90" spans="2:40">
      <c r="B90" s="637">
        <f t="shared" si="16"/>
        <v>87</v>
      </c>
      <c r="C90" s="93">
        <v>10071430</v>
      </c>
      <c r="D90" s="93" t="s">
        <v>189</v>
      </c>
      <c r="E90" s="88" t="s">
        <v>83</v>
      </c>
      <c r="F90" s="88" t="s">
        <v>186</v>
      </c>
      <c r="G90" s="88" t="s">
        <v>170</v>
      </c>
      <c r="H90" s="88" t="s">
        <v>85</v>
      </c>
      <c r="I90" s="88" t="s">
        <v>86</v>
      </c>
      <c r="J90" s="638">
        <v>43731</v>
      </c>
      <c r="K90" s="638">
        <f t="shared" si="17"/>
        <v>43739</v>
      </c>
      <c r="L90" s="639" t="str">
        <f t="shared" si="11"/>
        <v>Beginner</v>
      </c>
      <c r="M90" s="53">
        <f>IFERROR(VLOOKUP($E90,KPI!$B:$T,MATCH(RESOURCES!M$3,KPI!$B$1:$T$1,0),FALSE),"-")</f>
        <v>0.25</v>
      </c>
      <c r="N90" s="53">
        <f>IFERROR(VLOOKUP($E90,KPI!$B:$T,MATCH(RESOURCES!N$3,KPI!$B$1:$T$1,0),FALSE),"-")</f>
        <v>0.25</v>
      </c>
      <c r="O90" s="53">
        <f>IFERROR(VLOOKUP($E90,KPI!$B:$T,MATCH(RESOURCES!O$3,KPI!$B$1:$T$1,0),FALSE),"-")</f>
        <v>0.1</v>
      </c>
      <c r="P90" s="53" t="str">
        <f>IFERROR(VLOOKUP($E90,KPI!$B:$T,MATCH(RESOURCES!P$3,KPI!$B$1:$T$1,0),FALSE),"-")</f>
        <v>-</v>
      </c>
      <c r="Q90" s="53" t="str">
        <f>IFERROR(VLOOKUP($E90,KPI!$B:$T,MATCH(RESOURCES!Q$3,KPI!$B$1:$T$1,0),FALSE),"-")</f>
        <v>-</v>
      </c>
      <c r="R90" s="53">
        <f>IFERROR(VLOOKUP($E90,KPI!$B:$T,MATCH(RESOURCES!R$3,KPI!$B$1:$T$1,0),FALSE),"-")</f>
        <v>0.15</v>
      </c>
      <c r="S90" s="53">
        <f>IFERROR(VLOOKUP($E90,KPI!$B:$T,MATCH(RESOURCES!S$3,KPI!$B$1:$T$1,0),FALSE),"-")</f>
        <v>0.2</v>
      </c>
      <c r="T90" s="53" t="str">
        <f>IFERROR(VLOOKUP($E90,KPI!$B:$T,MATCH(RESOURCES!T$3,KPI!$B$1:$T$1,0),FALSE),"-")</f>
        <v>-</v>
      </c>
      <c r="U90" s="53" t="str">
        <f>IFERROR(VLOOKUP($E90,KPI!$B:$T,MATCH(RESOURCES!U$3,KPI!$B$1:$T$1,0),FALSE),"-")</f>
        <v>-</v>
      </c>
      <c r="V90" s="53">
        <f>IFERROR(VLOOKUP($E90,KPI!$B:$T,MATCH(RESOURCES!V$3,KPI!$B$1:$T$1,0),FALSE),"-")</f>
        <v>0.05</v>
      </c>
      <c r="W90" s="50">
        <f>IFERROR(VLOOKUP($C90,'PRODUCTIVITY RAW'!$B:$Q,16,FALSE),"-")</f>
        <v>1</v>
      </c>
      <c r="X90" s="50">
        <f>IFERROR(VLOOKUP($C90,'CHURN RAW'!$A:$H,8,FALSE),"-")</f>
        <v>0.9</v>
      </c>
      <c r="Y90" s="50">
        <f>IFERROR(IF(AVERAGEIFS('QA RAW'!$G:$G,'QA RAW'!$E:$E,RESOURCES!$C90)=0,"-",AVERAGEIFS('QA RAW'!$G:$G,'QA RAW'!$E:$E,RESOURCES!$C90)),"-")</f>
        <v>0.99880000000000002</v>
      </c>
      <c r="Z90" s="50" t="str">
        <f>IFERROR(VLOOKUP($C90,'PR CALIBRATION RAW'!$K:$S,MATCH(RESOURCES!Z$3,'PR CALIBRATION RAW'!$K$1:$S$1,0),FALSE),"-")</f>
        <v>-</v>
      </c>
      <c r="AA90" s="50" t="str">
        <f>IFERROR(VLOOKUP($C90,'DISPUTES RAW (VQA)'!$N:$U,8,FALSE),"-")</f>
        <v>-</v>
      </c>
      <c r="AB90" s="50">
        <f>IFERROR(VLOOKUP($C90,'ATTENDANCE RAW'!$E:$R,13,FALSE),"-")</f>
        <v>1</v>
      </c>
      <c r="AC90" s="50">
        <f>IFERROR(IF($E90="Voice QA",IF(AVERAGEIFS('KC RAW'!$J:$J,'KC RAW'!$B:$B,RESOURCES!$C90)=0,"-",AVERAGEIFS('KC RAW'!$J:$J,'KC RAW'!$B:$B,RESOURCES!$C90)),IF(AVERAGEIFS('KC RAW'!$H:$H,'KC RAW'!$B:$B,RESOURCES!$C90)=0,"-",AVERAGEIFS('KC RAW'!$H:$H,'KC RAW'!$B:$B,RESOURCES!$C90))),"-")</f>
        <v>0.85000000000000009</v>
      </c>
      <c r="AD90" s="50" t="str">
        <f>IFERROR(AVERAGEIFS('CE RAW'!$G:$G,'CE RAW'!$E:$E,RESOURCES!$C90),"-")</f>
        <v>-</v>
      </c>
      <c r="AE90" s="50" t="str">
        <f>IFERROR(VLOOKUP($C90,'FCR RAW'!$A:$I,7,FALSE),"-")</f>
        <v>-</v>
      </c>
      <c r="AF90" s="50" t="str">
        <f>IFERROR(IF(VLOOKUP($C90,'BONUS RAW'!$D:$I,6,FALSE)=100%,100%,"-"),"-")</f>
        <v>-</v>
      </c>
      <c r="AG90" s="52">
        <f t="shared" si="12"/>
        <v>0.94197894736842114</v>
      </c>
      <c r="AH90" s="56">
        <f t="shared" si="9"/>
        <v>43</v>
      </c>
      <c r="AI90" s="57">
        <f t="shared" si="13"/>
        <v>0.94197894736842114</v>
      </c>
      <c r="AJ90" s="57">
        <f t="shared" si="14"/>
        <v>0.89488000000000001</v>
      </c>
      <c r="AK90" s="325" t="str">
        <f>IFERROR(VLOOKUP($C90,'ATTRITION RAW'!$E:$J,6,FALSE),"-")</f>
        <v>-</v>
      </c>
      <c r="AL90" s="176" t="str">
        <f t="shared" si="15"/>
        <v>-</v>
      </c>
      <c r="AM90" s="454">
        <f>IFERROR(VLOOKUP($C90,'CHURN RAW'!$A:$G,7,FALSE),"-")</f>
        <v>0.05</v>
      </c>
      <c r="AN90" s="456" t="str">
        <f t="shared" si="10"/>
        <v>QUALITY - DESIGNERS</v>
      </c>
    </row>
    <row r="91" spans="2:40">
      <c r="B91" s="637">
        <f t="shared" si="16"/>
        <v>88</v>
      </c>
      <c r="C91" s="93">
        <v>10072202</v>
      </c>
      <c r="D91" s="93" t="s">
        <v>190</v>
      </c>
      <c r="E91" s="88" t="s">
        <v>142</v>
      </c>
      <c r="F91" s="88" t="s">
        <v>186</v>
      </c>
      <c r="G91" s="88" t="s">
        <v>170</v>
      </c>
      <c r="H91" s="88" t="s">
        <v>85</v>
      </c>
      <c r="I91" s="88" t="s">
        <v>86</v>
      </c>
      <c r="J91" s="638"/>
      <c r="K91" s="638">
        <f t="shared" si="17"/>
        <v>43739</v>
      </c>
      <c r="L91" s="639" t="str">
        <f t="shared" si="11"/>
        <v>Expert</v>
      </c>
      <c r="M91" s="53">
        <f>IFERROR(VLOOKUP($E91,KPI!$B:$T,MATCH(RESOURCES!M$3,KPI!$B$1:$T$1,0),FALSE),"-")</f>
        <v>0.3</v>
      </c>
      <c r="N91" s="53">
        <f>IFERROR(VLOOKUP($E91,KPI!$B:$T,MATCH(RESOURCES!N$3,KPI!$B$1:$T$1,0),FALSE),"-")</f>
        <v>0.2</v>
      </c>
      <c r="O91" s="53">
        <f>IFERROR(VLOOKUP($E91,KPI!$B:$T,MATCH(RESOURCES!O$3,KPI!$B$1:$T$1,0),FALSE),"-")</f>
        <v>0.1</v>
      </c>
      <c r="P91" s="53" t="str">
        <f>IFERROR(VLOOKUP($E91,KPI!$B:$T,MATCH(RESOURCES!P$3,KPI!$B$1:$T$1,0),FALSE),"-")</f>
        <v>-</v>
      </c>
      <c r="Q91" s="53" t="str">
        <f>IFERROR(VLOOKUP($E91,KPI!$B:$T,MATCH(RESOURCES!Q$3,KPI!$B$1:$T$1,0),FALSE),"-")</f>
        <v>-</v>
      </c>
      <c r="R91" s="53">
        <f>IFERROR(VLOOKUP($E91,KPI!$B:$T,MATCH(RESOURCES!R$3,KPI!$B$1:$T$1,0),FALSE),"-")</f>
        <v>0.15</v>
      </c>
      <c r="S91" s="53">
        <f>IFERROR(VLOOKUP($E91,KPI!$B:$T,MATCH(RESOURCES!S$3,KPI!$B$1:$T$1,0),FALSE),"-")</f>
        <v>0.2</v>
      </c>
      <c r="T91" s="53" t="str">
        <f>IFERROR(VLOOKUP($E91,KPI!$B:$T,MATCH(RESOURCES!T$3,KPI!$B$1:$T$1,0),FALSE),"-")</f>
        <v>-</v>
      </c>
      <c r="U91" s="53" t="str">
        <f>IFERROR(VLOOKUP($E91,KPI!$B:$T,MATCH(RESOURCES!U$3,KPI!$B$1:$T$1,0),FALSE),"-")</f>
        <v>-</v>
      </c>
      <c r="V91" s="53">
        <f>IFERROR(VLOOKUP($E91,KPI!$B:$T,MATCH(RESOURCES!V$3,KPI!$B$1:$T$1,0),FALSE),"-")</f>
        <v>0.05</v>
      </c>
      <c r="W91" s="50">
        <f>IFERROR(VLOOKUP($C91,'PRODUCTIVITY RAW'!$B:$Q,16,FALSE),"-")</f>
        <v>0.98980952380952369</v>
      </c>
      <c r="X91" s="50">
        <f>IFERROR(VLOOKUP($C91,'CHURN RAW'!$A:$H,8,FALSE),"-")</f>
        <v>1</v>
      </c>
      <c r="Y91" s="50">
        <f>IFERROR(IF(AVERAGEIFS('QA RAW'!$G:$G,'QA RAW'!$E:$E,RESOURCES!$C91)=0,"-",AVERAGEIFS('QA RAW'!$G:$G,'QA RAW'!$E:$E,RESOURCES!$C91)),"-")</f>
        <v>1</v>
      </c>
      <c r="Z91" s="50" t="str">
        <f>IFERROR(VLOOKUP($C91,'PR CALIBRATION RAW'!$K:$S,MATCH(RESOURCES!Z$3,'PR CALIBRATION RAW'!$K$1:$S$1,0),FALSE),"-")</f>
        <v>-</v>
      </c>
      <c r="AA91" s="50" t="str">
        <f>IFERROR(VLOOKUP($C91,'DISPUTES RAW (VQA)'!$N:$U,8,FALSE),"-")</f>
        <v>-</v>
      </c>
      <c r="AB91" s="50">
        <f>IFERROR(VLOOKUP($C91,'ATTENDANCE RAW'!$E:$R,13,FALSE),"-")</f>
        <v>0.90909090909090906</v>
      </c>
      <c r="AC91" s="50">
        <f>IFERROR(IF($E91="Voice QA",IF(AVERAGEIFS('KC RAW'!$J:$J,'KC RAW'!$B:$B,RESOURCES!$C91)=0,"-",AVERAGEIFS('KC RAW'!$J:$J,'KC RAW'!$B:$B,RESOURCES!$C91)),IF(AVERAGEIFS('KC RAW'!$H:$H,'KC RAW'!$B:$B,RESOURCES!$C91)=0,"-",AVERAGEIFS('KC RAW'!$H:$H,'KC RAW'!$B:$B,RESOURCES!$C91))),"-")</f>
        <v>0.9</v>
      </c>
      <c r="AD91" s="50" t="str">
        <f>IFERROR(AVERAGEIFS('CE RAW'!$G:$G,'CE RAW'!$E:$E,RESOURCES!$C91),"-")</f>
        <v>-</v>
      </c>
      <c r="AE91" s="50" t="str">
        <f>IFERROR(VLOOKUP($C91,'FCR RAW'!$A:$I,7,FALSE),"-")</f>
        <v>-</v>
      </c>
      <c r="AF91" s="50">
        <f>IFERROR(IF(VLOOKUP($C91,'BONUS RAW'!$D:$I,6,FALSE)=100%,100%,"-"),"-")</f>
        <v>1</v>
      </c>
      <c r="AG91" s="52">
        <f t="shared" si="12"/>
        <v>0.96330649350649356</v>
      </c>
      <c r="AH91" s="56">
        <f t="shared" si="9"/>
        <v>25</v>
      </c>
      <c r="AI91" s="57">
        <f t="shared" si="13"/>
        <v>0.96137525632262477</v>
      </c>
      <c r="AJ91" s="57">
        <f t="shared" si="14"/>
        <v>0.96330649350649356</v>
      </c>
      <c r="AK91" s="325" t="str">
        <f>IFERROR(VLOOKUP($C91,'ATTRITION RAW'!$E:$J,6,FALSE),"-")</f>
        <v>-</v>
      </c>
      <c r="AL91" s="176" t="str">
        <f t="shared" si="15"/>
        <v>-</v>
      </c>
      <c r="AM91" s="454">
        <f>IFERROR(VLOOKUP($C91,'CHURN RAW'!$A:$G,7,FALSE),"-")</f>
        <v>0</v>
      </c>
      <c r="AN91" s="456" t="str">
        <f t="shared" si="10"/>
        <v>QUALITY - DESIGNERS</v>
      </c>
    </row>
    <row r="92" spans="2:40">
      <c r="B92" s="637">
        <f t="shared" si="16"/>
        <v>89</v>
      </c>
      <c r="C92" s="93">
        <v>10072205</v>
      </c>
      <c r="D92" s="93" t="s">
        <v>191</v>
      </c>
      <c r="E92" s="88" t="s">
        <v>83</v>
      </c>
      <c r="F92" s="88" t="s">
        <v>186</v>
      </c>
      <c r="G92" s="88" t="s">
        <v>170</v>
      </c>
      <c r="H92" s="88" t="s">
        <v>85</v>
      </c>
      <c r="I92" s="88" t="s">
        <v>86</v>
      </c>
      <c r="J92" s="638"/>
      <c r="K92" s="638">
        <f t="shared" si="17"/>
        <v>43739</v>
      </c>
      <c r="L92" s="639" t="str">
        <f t="shared" si="11"/>
        <v>Expert</v>
      </c>
      <c r="M92" s="53">
        <f>IFERROR(VLOOKUP($E92,KPI!$B:$T,MATCH(RESOURCES!M$3,KPI!$B$1:$T$1,0),FALSE),"-")</f>
        <v>0.25</v>
      </c>
      <c r="N92" s="53">
        <f>IFERROR(VLOOKUP($E92,KPI!$B:$T,MATCH(RESOURCES!N$3,KPI!$B$1:$T$1,0),FALSE),"-")</f>
        <v>0.25</v>
      </c>
      <c r="O92" s="53">
        <f>IFERROR(VLOOKUP($E92,KPI!$B:$T,MATCH(RESOURCES!O$3,KPI!$B$1:$T$1,0),FALSE),"-")</f>
        <v>0.1</v>
      </c>
      <c r="P92" s="53" t="str">
        <f>IFERROR(VLOOKUP($E92,KPI!$B:$T,MATCH(RESOURCES!P$3,KPI!$B$1:$T$1,0),FALSE),"-")</f>
        <v>-</v>
      </c>
      <c r="Q92" s="53" t="str">
        <f>IFERROR(VLOOKUP($E92,KPI!$B:$T,MATCH(RESOURCES!Q$3,KPI!$B$1:$T$1,0),FALSE),"-")</f>
        <v>-</v>
      </c>
      <c r="R92" s="53">
        <f>IFERROR(VLOOKUP($E92,KPI!$B:$T,MATCH(RESOURCES!R$3,KPI!$B$1:$T$1,0),FALSE),"-")</f>
        <v>0.15</v>
      </c>
      <c r="S92" s="53">
        <f>IFERROR(VLOOKUP($E92,KPI!$B:$T,MATCH(RESOURCES!S$3,KPI!$B$1:$T$1,0),FALSE),"-")</f>
        <v>0.2</v>
      </c>
      <c r="T92" s="53" t="str">
        <f>IFERROR(VLOOKUP($E92,KPI!$B:$T,MATCH(RESOURCES!T$3,KPI!$B$1:$T$1,0),FALSE),"-")</f>
        <v>-</v>
      </c>
      <c r="U92" s="53" t="str">
        <f>IFERROR(VLOOKUP($E92,KPI!$B:$T,MATCH(RESOURCES!U$3,KPI!$B$1:$T$1,0),FALSE),"-")</f>
        <v>-</v>
      </c>
      <c r="V92" s="53">
        <f>IFERROR(VLOOKUP($E92,KPI!$B:$T,MATCH(RESOURCES!V$3,KPI!$B$1:$T$1,0),FALSE),"-")</f>
        <v>0.05</v>
      </c>
      <c r="W92" s="50">
        <f>IFERROR(VLOOKUP($C92,'PRODUCTIVITY RAW'!$B:$Q,16,FALSE),"-")</f>
        <v>0.83679069767441838</v>
      </c>
      <c r="X92" s="50">
        <f>IFERROR(VLOOKUP($C92,'CHURN RAW'!$A:$H,8,FALSE),"-")</f>
        <v>0.9</v>
      </c>
      <c r="Y92" s="50">
        <f>IFERROR(IF(AVERAGEIFS('QA RAW'!$G:$G,'QA RAW'!$E:$E,RESOURCES!$C92)=0,"-",AVERAGEIFS('QA RAW'!$G:$G,'QA RAW'!$E:$E,RESOURCES!$C92)),"-")</f>
        <v>0.99839999999999995</v>
      </c>
      <c r="Z92" s="50" t="str">
        <f>IFERROR(VLOOKUP($C92,'PR CALIBRATION RAW'!$K:$S,MATCH(RESOURCES!Z$3,'PR CALIBRATION RAW'!$K$1:$S$1,0),FALSE),"-")</f>
        <v>-</v>
      </c>
      <c r="AA92" s="50" t="str">
        <f>IFERROR(VLOOKUP($C92,'DISPUTES RAW (VQA)'!$N:$U,8,FALSE),"-")</f>
        <v>-</v>
      </c>
      <c r="AB92" s="50">
        <f>IFERROR(VLOOKUP($C92,'ATTENDANCE RAW'!$E:$R,13,FALSE),"-")</f>
        <v>1</v>
      </c>
      <c r="AC92" s="50">
        <f>IFERROR(IF($E92="Voice QA",IF(AVERAGEIFS('KC RAW'!$J:$J,'KC RAW'!$B:$B,RESOURCES!$C92)=0,"-",AVERAGEIFS('KC RAW'!$J:$J,'KC RAW'!$B:$B,RESOURCES!$C92)),IF(AVERAGEIFS('KC RAW'!$H:$H,'KC RAW'!$B:$B,RESOURCES!$C92)=0,"-",AVERAGEIFS('KC RAW'!$H:$H,'KC RAW'!$B:$B,RESOURCES!$C92))),"-")</f>
        <v>0.7</v>
      </c>
      <c r="AD92" s="50" t="str">
        <f>IFERROR(AVERAGEIFS('CE RAW'!$G:$G,'CE RAW'!$E:$E,RESOURCES!$C92),"-")</f>
        <v>-</v>
      </c>
      <c r="AE92" s="50" t="str">
        <f>IFERROR(VLOOKUP($C92,'FCR RAW'!$A:$I,7,FALSE),"-")</f>
        <v>-</v>
      </c>
      <c r="AF92" s="50">
        <f>IFERROR(IF(VLOOKUP($C92,'BONUS RAW'!$D:$I,6,FALSE)=100%,100%,"-"),"-")</f>
        <v>1</v>
      </c>
      <c r="AG92" s="52">
        <f t="shared" si="12"/>
        <v>0.87403767441860469</v>
      </c>
      <c r="AH92" s="56">
        <f t="shared" si="9"/>
        <v>112</v>
      </c>
      <c r="AI92" s="57">
        <f t="shared" si="13"/>
        <v>0.86740807833537337</v>
      </c>
      <c r="AJ92" s="57">
        <f t="shared" si="14"/>
        <v>0.87403767441860469</v>
      </c>
      <c r="AK92" s="325" t="str">
        <f>IFERROR(VLOOKUP($C92,'ATTRITION RAW'!$E:$J,6,FALSE),"-")</f>
        <v>-</v>
      </c>
      <c r="AL92" s="176" t="str">
        <f t="shared" si="15"/>
        <v>-</v>
      </c>
      <c r="AM92" s="454">
        <f>IFERROR(VLOOKUP($C92,'CHURN RAW'!$A:$G,7,FALSE),"-")</f>
        <v>9.5200000000000007E-2</v>
      </c>
      <c r="AN92" s="456" t="str">
        <f t="shared" si="10"/>
        <v>QUALITY - DESIGNERS</v>
      </c>
    </row>
    <row r="93" spans="2:40">
      <c r="B93" s="637">
        <f t="shared" si="16"/>
        <v>90</v>
      </c>
      <c r="C93" s="93">
        <v>10072256</v>
      </c>
      <c r="D93" s="93" t="s">
        <v>192</v>
      </c>
      <c r="E93" s="88" t="s">
        <v>83</v>
      </c>
      <c r="F93" s="88" t="s">
        <v>186</v>
      </c>
      <c r="G93" s="88" t="s">
        <v>170</v>
      </c>
      <c r="H93" s="88" t="s">
        <v>85</v>
      </c>
      <c r="I93" s="88" t="s">
        <v>86</v>
      </c>
      <c r="J93" s="638"/>
      <c r="K93" s="638">
        <f t="shared" si="17"/>
        <v>43739</v>
      </c>
      <c r="L93" s="639" t="str">
        <f t="shared" si="11"/>
        <v>Expert</v>
      </c>
      <c r="M93" s="53">
        <f>IFERROR(VLOOKUP($E93,KPI!$B:$T,MATCH(RESOURCES!M$3,KPI!$B$1:$T$1,0),FALSE),"-")</f>
        <v>0.25</v>
      </c>
      <c r="N93" s="53">
        <f>IFERROR(VLOOKUP($E93,KPI!$B:$T,MATCH(RESOURCES!N$3,KPI!$B$1:$T$1,0),FALSE),"-")</f>
        <v>0.25</v>
      </c>
      <c r="O93" s="53">
        <f>IFERROR(VLOOKUP($E93,KPI!$B:$T,MATCH(RESOURCES!O$3,KPI!$B$1:$T$1,0),FALSE),"-")</f>
        <v>0.1</v>
      </c>
      <c r="P93" s="53" t="str">
        <f>IFERROR(VLOOKUP($E93,KPI!$B:$T,MATCH(RESOURCES!P$3,KPI!$B$1:$T$1,0),FALSE),"-")</f>
        <v>-</v>
      </c>
      <c r="Q93" s="53" t="str">
        <f>IFERROR(VLOOKUP($E93,KPI!$B:$T,MATCH(RESOURCES!Q$3,KPI!$B$1:$T$1,0),FALSE),"-")</f>
        <v>-</v>
      </c>
      <c r="R93" s="53">
        <f>IFERROR(VLOOKUP($E93,KPI!$B:$T,MATCH(RESOURCES!R$3,KPI!$B$1:$T$1,0),FALSE),"-")</f>
        <v>0.15</v>
      </c>
      <c r="S93" s="53">
        <f>IFERROR(VLOOKUP($E93,KPI!$B:$T,MATCH(RESOURCES!S$3,KPI!$B$1:$T$1,0),FALSE),"-")</f>
        <v>0.2</v>
      </c>
      <c r="T93" s="53" t="str">
        <f>IFERROR(VLOOKUP($E93,KPI!$B:$T,MATCH(RESOURCES!T$3,KPI!$B$1:$T$1,0),FALSE),"-")</f>
        <v>-</v>
      </c>
      <c r="U93" s="53" t="str">
        <f>IFERROR(VLOOKUP($E93,KPI!$B:$T,MATCH(RESOURCES!U$3,KPI!$B$1:$T$1,0),FALSE),"-")</f>
        <v>-</v>
      </c>
      <c r="V93" s="53">
        <f>IFERROR(VLOOKUP($E93,KPI!$B:$T,MATCH(RESOURCES!V$3,KPI!$B$1:$T$1,0),FALSE),"-")</f>
        <v>0.05</v>
      </c>
      <c r="W93" s="50">
        <f>IFERROR(VLOOKUP($C93,'PRODUCTIVITY RAW'!$B:$Q,16,FALSE),"-")</f>
        <v>1</v>
      </c>
      <c r="X93" s="50">
        <f>IFERROR(VLOOKUP($C93,'CHURN RAW'!$A:$H,8,FALSE),"-")</f>
        <v>0.9</v>
      </c>
      <c r="Y93" s="50">
        <f>IFERROR(IF(AVERAGEIFS('QA RAW'!$G:$G,'QA RAW'!$E:$E,RESOURCES!$C93)=0,"-",AVERAGEIFS('QA RAW'!$G:$G,'QA RAW'!$E:$E,RESOURCES!$C93)),"-")</f>
        <v>0.99934999999999996</v>
      </c>
      <c r="Z93" s="50" t="str">
        <f>IFERROR(VLOOKUP($C93,'PR CALIBRATION RAW'!$K:$S,MATCH(RESOURCES!Z$3,'PR CALIBRATION RAW'!$K$1:$S$1,0),FALSE),"-")</f>
        <v>-</v>
      </c>
      <c r="AA93" s="50" t="str">
        <f>IFERROR(VLOOKUP($C93,'DISPUTES RAW (VQA)'!$N:$U,8,FALSE),"-")</f>
        <v>-</v>
      </c>
      <c r="AB93" s="50">
        <f>IFERROR(VLOOKUP($C93,'ATTENDANCE RAW'!$E:$R,13,FALSE),"-")</f>
        <v>1</v>
      </c>
      <c r="AC93" s="50">
        <f>IFERROR(IF($E93="Voice QA",IF(AVERAGEIFS('KC RAW'!$J:$J,'KC RAW'!$B:$B,RESOURCES!$C93)=0,"-",AVERAGEIFS('KC RAW'!$J:$J,'KC RAW'!$B:$B,RESOURCES!$C93)),IF(AVERAGEIFS('KC RAW'!$H:$H,'KC RAW'!$B:$B,RESOURCES!$C93)=0,"-",AVERAGEIFS('KC RAW'!$H:$H,'KC RAW'!$B:$B,RESOURCES!$C93))),"-")</f>
        <v>0.64999999999999991</v>
      </c>
      <c r="AD93" s="50" t="str">
        <f>IFERROR(AVERAGEIFS('CE RAW'!$G:$G,'CE RAW'!$E:$E,RESOURCES!$C93),"-")</f>
        <v>-</v>
      </c>
      <c r="AE93" s="50" t="str">
        <f>IFERROR(VLOOKUP($C93,'FCR RAW'!$A:$I,7,FALSE),"-")</f>
        <v>-</v>
      </c>
      <c r="AF93" s="50">
        <f>IFERROR(IF(VLOOKUP($C93,'BONUS RAW'!$D:$I,6,FALSE)=100%,100%,"-"),"-")</f>
        <v>1</v>
      </c>
      <c r="AG93" s="52">
        <f t="shared" si="12"/>
        <v>0.90493500000000004</v>
      </c>
      <c r="AH93" s="56">
        <f t="shared" si="9"/>
        <v>78</v>
      </c>
      <c r="AI93" s="57">
        <f t="shared" si="13"/>
        <v>0.89993157894736842</v>
      </c>
      <c r="AJ93" s="57">
        <f t="shared" si="14"/>
        <v>0.90493500000000004</v>
      </c>
      <c r="AK93" s="325" t="str">
        <f>IFERROR(VLOOKUP($C93,'ATTRITION RAW'!$E:$J,6,FALSE),"-")</f>
        <v>-</v>
      </c>
      <c r="AL93" s="176" t="str">
        <f t="shared" si="15"/>
        <v>-</v>
      </c>
      <c r="AM93" s="454">
        <f>IFERROR(VLOOKUP($C93,'CHURN RAW'!$A:$G,7,FALSE),"-")</f>
        <v>0.1053</v>
      </c>
      <c r="AN93" s="456" t="str">
        <f t="shared" si="10"/>
        <v>QUALITY - DESIGNERS</v>
      </c>
    </row>
    <row r="94" spans="2:40">
      <c r="B94" s="637">
        <f t="shared" si="16"/>
        <v>91</v>
      </c>
      <c r="C94" s="93">
        <v>10071811</v>
      </c>
      <c r="D94" s="93" t="s">
        <v>193</v>
      </c>
      <c r="E94" s="88" t="s">
        <v>83</v>
      </c>
      <c r="F94" s="88" t="s">
        <v>186</v>
      </c>
      <c r="G94" s="88" t="s">
        <v>170</v>
      </c>
      <c r="H94" s="88" t="s">
        <v>85</v>
      </c>
      <c r="I94" s="88" t="s">
        <v>86</v>
      </c>
      <c r="J94" s="638"/>
      <c r="K94" s="638">
        <f t="shared" si="17"/>
        <v>43739</v>
      </c>
      <c r="L94" s="639" t="str">
        <f t="shared" si="11"/>
        <v>Expert</v>
      </c>
      <c r="M94" s="53">
        <f>IFERROR(VLOOKUP($E94,KPI!$B:$T,MATCH(RESOURCES!M$3,KPI!$B$1:$T$1,0),FALSE),"-")</f>
        <v>0.25</v>
      </c>
      <c r="N94" s="53">
        <f>IFERROR(VLOOKUP($E94,KPI!$B:$T,MATCH(RESOURCES!N$3,KPI!$B$1:$T$1,0),FALSE),"-")</f>
        <v>0.25</v>
      </c>
      <c r="O94" s="53">
        <f>IFERROR(VLOOKUP($E94,KPI!$B:$T,MATCH(RESOURCES!O$3,KPI!$B$1:$T$1,0),FALSE),"-")</f>
        <v>0.1</v>
      </c>
      <c r="P94" s="53" t="str">
        <f>IFERROR(VLOOKUP($E94,KPI!$B:$T,MATCH(RESOURCES!P$3,KPI!$B$1:$T$1,0),FALSE),"-")</f>
        <v>-</v>
      </c>
      <c r="Q94" s="53" t="str">
        <f>IFERROR(VLOOKUP($E94,KPI!$B:$T,MATCH(RESOURCES!Q$3,KPI!$B$1:$T$1,0),FALSE),"-")</f>
        <v>-</v>
      </c>
      <c r="R94" s="53">
        <f>IFERROR(VLOOKUP($E94,KPI!$B:$T,MATCH(RESOURCES!R$3,KPI!$B$1:$T$1,0),FALSE),"-")</f>
        <v>0.15</v>
      </c>
      <c r="S94" s="53">
        <f>IFERROR(VLOOKUP($E94,KPI!$B:$T,MATCH(RESOURCES!S$3,KPI!$B$1:$T$1,0),FALSE),"-")</f>
        <v>0.2</v>
      </c>
      <c r="T94" s="53" t="str">
        <f>IFERROR(VLOOKUP($E94,KPI!$B:$T,MATCH(RESOURCES!T$3,KPI!$B$1:$T$1,0),FALSE),"-")</f>
        <v>-</v>
      </c>
      <c r="U94" s="53" t="str">
        <f>IFERROR(VLOOKUP($E94,KPI!$B:$T,MATCH(RESOURCES!U$3,KPI!$B$1:$T$1,0),FALSE),"-")</f>
        <v>-</v>
      </c>
      <c r="V94" s="53">
        <f>IFERROR(VLOOKUP($E94,KPI!$B:$T,MATCH(RESOURCES!V$3,KPI!$B$1:$T$1,0),FALSE),"-")</f>
        <v>0.05</v>
      </c>
      <c r="W94" s="50">
        <f>IFERROR(VLOOKUP($C94,'PRODUCTIVITY RAW'!$B:$Q,16,FALSE),"-")</f>
        <v>0.92302083333333362</v>
      </c>
      <c r="X94" s="50">
        <f>IFERROR(VLOOKUP($C94,'CHURN RAW'!$A:$H,8,FALSE),"-")</f>
        <v>1</v>
      </c>
      <c r="Y94" s="50">
        <f>IFERROR(IF(AVERAGEIFS('QA RAW'!$G:$G,'QA RAW'!$E:$E,RESOURCES!$C94)=0,"-",AVERAGEIFS('QA RAW'!$G:$G,'QA RAW'!$E:$E,RESOURCES!$C94)),"-")</f>
        <v>1</v>
      </c>
      <c r="Z94" s="50" t="str">
        <f>IFERROR(VLOOKUP($C94,'PR CALIBRATION RAW'!$K:$S,MATCH(RESOURCES!Z$3,'PR CALIBRATION RAW'!$K$1:$S$1,0),FALSE),"-")</f>
        <v>-</v>
      </c>
      <c r="AA94" s="50" t="str">
        <f>IFERROR(VLOOKUP($C94,'DISPUTES RAW (VQA)'!$N:$U,8,FALSE),"-")</f>
        <v>-</v>
      </c>
      <c r="AB94" s="50">
        <f>IFERROR(VLOOKUP($C94,'ATTENDANCE RAW'!$E:$R,13,FALSE),"-")</f>
        <v>1</v>
      </c>
      <c r="AC94" s="50">
        <f>IFERROR(IF($E94="Voice QA",IF(AVERAGEIFS('KC RAW'!$J:$J,'KC RAW'!$B:$B,RESOURCES!$C94)=0,"-",AVERAGEIFS('KC RAW'!$J:$J,'KC RAW'!$B:$B,RESOURCES!$C94)),IF(AVERAGEIFS('KC RAW'!$H:$H,'KC RAW'!$B:$B,RESOURCES!$C94)=0,"-",AVERAGEIFS('KC RAW'!$H:$H,'KC RAW'!$B:$B,RESOURCES!$C94))),"-")</f>
        <v>0.64999999999999991</v>
      </c>
      <c r="AD94" s="50" t="str">
        <f>IFERROR(AVERAGEIFS('CE RAW'!$G:$G,'CE RAW'!$E:$E,RESOURCES!$C94),"-")</f>
        <v>-</v>
      </c>
      <c r="AE94" s="50" t="str">
        <f>IFERROR(VLOOKUP($C94,'FCR RAW'!$A:$I,7,FALSE),"-")</f>
        <v>-</v>
      </c>
      <c r="AF94" s="50" t="str">
        <f>IFERROR(IF(VLOOKUP($C94,'BONUS RAW'!$D:$I,6,FALSE)=100%,100%,"-"),"-")</f>
        <v>-</v>
      </c>
      <c r="AG94" s="52">
        <f t="shared" si="12"/>
        <v>0.90605811403508785</v>
      </c>
      <c r="AH94" s="56">
        <f t="shared" si="9"/>
        <v>75</v>
      </c>
      <c r="AI94" s="57">
        <f t="shared" si="13"/>
        <v>0.90605811403508785</v>
      </c>
      <c r="AJ94" s="57">
        <f t="shared" si="14"/>
        <v>0.86075520833333341</v>
      </c>
      <c r="AK94" s="325" t="str">
        <f>IFERROR(VLOOKUP($C94,'ATTRITION RAW'!$E:$J,6,FALSE),"-")</f>
        <v>-</v>
      </c>
      <c r="AL94" s="176" t="str">
        <f t="shared" si="15"/>
        <v>-</v>
      </c>
      <c r="AM94" s="454">
        <f>IFERROR(VLOOKUP($C94,'CHURN RAW'!$A:$G,7,FALSE),"-")</f>
        <v>0</v>
      </c>
      <c r="AN94" s="456" t="str">
        <f t="shared" si="10"/>
        <v>QUALITY - DESIGNERS</v>
      </c>
    </row>
    <row r="95" spans="2:40">
      <c r="B95" s="637">
        <f t="shared" si="16"/>
        <v>92</v>
      </c>
      <c r="C95" s="93">
        <v>10072516</v>
      </c>
      <c r="D95" s="93" t="s">
        <v>194</v>
      </c>
      <c r="E95" s="88" t="s">
        <v>83</v>
      </c>
      <c r="F95" s="88" t="s">
        <v>186</v>
      </c>
      <c r="G95" s="88" t="s">
        <v>170</v>
      </c>
      <c r="H95" s="88" t="s">
        <v>85</v>
      </c>
      <c r="I95" s="88" t="s">
        <v>86</v>
      </c>
      <c r="J95" s="638"/>
      <c r="K95" s="638">
        <f t="shared" si="17"/>
        <v>43739</v>
      </c>
      <c r="L95" s="639" t="str">
        <f t="shared" si="11"/>
        <v>Expert</v>
      </c>
      <c r="M95" s="53">
        <f>IFERROR(VLOOKUP($E95,KPI!$B:$T,MATCH(RESOURCES!M$3,KPI!$B$1:$T$1,0),FALSE),"-")</f>
        <v>0.25</v>
      </c>
      <c r="N95" s="53">
        <f>IFERROR(VLOOKUP($E95,KPI!$B:$T,MATCH(RESOURCES!N$3,KPI!$B$1:$T$1,0),FALSE),"-")</f>
        <v>0.25</v>
      </c>
      <c r="O95" s="53">
        <f>IFERROR(VLOOKUP($E95,KPI!$B:$T,MATCH(RESOURCES!O$3,KPI!$B$1:$T$1,0),FALSE),"-")</f>
        <v>0.1</v>
      </c>
      <c r="P95" s="53" t="str">
        <f>IFERROR(VLOOKUP($E95,KPI!$B:$T,MATCH(RESOURCES!P$3,KPI!$B$1:$T$1,0),FALSE),"-")</f>
        <v>-</v>
      </c>
      <c r="Q95" s="53" t="str">
        <f>IFERROR(VLOOKUP($E95,KPI!$B:$T,MATCH(RESOURCES!Q$3,KPI!$B$1:$T$1,0),FALSE),"-")</f>
        <v>-</v>
      </c>
      <c r="R95" s="53">
        <f>IFERROR(VLOOKUP($E95,KPI!$B:$T,MATCH(RESOURCES!R$3,KPI!$B$1:$T$1,0),FALSE),"-")</f>
        <v>0.15</v>
      </c>
      <c r="S95" s="53">
        <f>IFERROR(VLOOKUP($E95,KPI!$B:$T,MATCH(RESOURCES!S$3,KPI!$B$1:$T$1,0),FALSE),"-")</f>
        <v>0.2</v>
      </c>
      <c r="T95" s="53" t="str">
        <f>IFERROR(VLOOKUP($E95,KPI!$B:$T,MATCH(RESOURCES!T$3,KPI!$B$1:$T$1,0),FALSE),"-")</f>
        <v>-</v>
      </c>
      <c r="U95" s="53" t="str">
        <f>IFERROR(VLOOKUP($E95,KPI!$B:$T,MATCH(RESOURCES!U$3,KPI!$B$1:$T$1,0),FALSE),"-")</f>
        <v>-</v>
      </c>
      <c r="V95" s="53">
        <f>IFERROR(VLOOKUP($E95,KPI!$B:$T,MATCH(RESOURCES!V$3,KPI!$B$1:$T$1,0),FALSE),"-")</f>
        <v>0.05</v>
      </c>
      <c r="W95" s="50">
        <f>IFERROR(VLOOKUP($C95,'PRODUCTIVITY RAW'!$B:$Q,16,FALSE),"-")</f>
        <v>1</v>
      </c>
      <c r="X95" s="50">
        <f>IFERROR(VLOOKUP($C95,'CHURN RAW'!$A:$H,8,FALSE),"-")</f>
        <v>0.9</v>
      </c>
      <c r="Y95" s="50">
        <f>IFERROR(IF(AVERAGEIFS('QA RAW'!$G:$G,'QA RAW'!$E:$E,RESOURCES!$C95)=0,"-",AVERAGEIFS('QA RAW'!$G:$G,'QA RAW'!$E:$E,RESOURCES!$C95)),"-")</f>
        <v>0.99890000000000001</v>
      </c>
      <c r="Z95" s="50" t="str">
        <f>IFERROR(VLOOKUP($C95,'PR CALIBRATION RAW'!$K:$S,MATCH(RESOURCES!Z$3,'PR CALIBRATION RAW'!$K$1:$S$1,0),FALSE),"-")</f>
        <v>-</v>
      </c>
      <c r="AA95" s="50" t="str">
        <f>IFERROR(VLOOKUP($C95,'DISPUTES RAW (VQA)'!$N:$U,8,FALSE),"-")</f>
        <v>-</v>
      </c>
      <c r="AB95" s="50">
        <f>IFERROR(VLOOKUP($C95,'ATTENDANCE RAW'!$E:$R,13,FALSE),"-")</f>
        <v>0.95454545454545459</v>
      </c>
      <c r="AC95" s="50">
        <f>IFERROR(IF($E95="Voice QA",IF(AVERAGEIFS('KC RAW'!$J:$J,'KC RAW'!$B:$B,RESOURCES!$C95)=0,"-",AVERAGEIFS('KC RAW'!$J:$J,'KC RAW'!$B:$B,RESOURCES!$C95)),IF(AVERAGEIFS('KC RAW'!$H:$H,'KC RAW'!$B:$B,RESOURCES!$C95)=0,"-",AVERAGEIFS('KC RAW'!$H:$H,'KC RAW'!$B:$B,RESOURCES!$C95))),"-")</f>
        <v>0.64999999999999991</v>
      </c>
      <c r="AD95" s="50" t="str">
        <f>IFERROR(AVERAGEIFS('CE RAW'!$G:$G,'CE RAW'!$E:$E,RESOURCES!$C95),"-")</f>
        <v>-</v>
      </c>
      <c r="AE95" s="50" t="str">
        <f>IFERROR(VLOOKUP($C95,'FCR RAW'!$A:$I,7,FALSE),"-")</f>
        <v>-</v>
      </c>
      <c r="AF95" s="50">
        <f>IFERROR(IF(VLOOKUP($C95,'BONUS RAW'!$D:$I,6,FALSE)=100%,100%,"-"),"-")</f>
        <v>1</v>
      </c>
      <c r="AG95" s="52">
        <f t="shared" si="12"/>
        <v>0.89807181818181825</v>
      </c>
      <c r="AH95" s="56">
        <f t="shared" si="9"/>
        <v>89</v>
      </c>
      <c r="AI95" s="57">
        <f t="shared" si="13"/>
        <v>0.89270717703349289</v>
      </c>
      <c r="AJ95" s="57">
        <f t="shared" si="14"/>
        <v>0.89807181818181825</v>
      </c>
      <c r="AK95" s="325" t="str">
        <f>IFERROR(VLOOKUP($C95,'ATTRITION RAW'!$E:$J,6,FALSE),"-")</f>
        <v>-</v>
      </c>
      <c r="AL95" s="176" t="str">
        <f t="shared" si="15"/>
        <v>-</v>
      </c>
      <c r="AM95" s="454">
        <f>IFERROR(VLOOKUP($C95,'CHURN RAW'!$A:$G,7,FALSE),"-")</f>
        <v>0.1176</v>
      </c>
      <c r="AN95" s="456" t="str">
        <f t="shared" si="10"/>
        <v>QUALITY - DESIGNERS</v>
      </c>
    </row>
    <row r="96" spans="2:40">
      <c r="B96" s="637">
        <f t="shared" si="16"/>
        <v>93</v>
      </c>
      <c r="C96" s="93">
        <v>10072243</v>
      </c>
      <c r="D96" s="93" t="s">
        <v>195</v>
      </c>
      <c r="E96" s="88" t="s">
        <v>142</v>
      </c>
      <c r="F96" s="88" t="s">
        <v>186</v>
      </c>
      <c r="G96" s="88" t="s">
        <v>170</v>
      </c>
      <c r="H96" s="88" t="s">
        <v>85</v>
      </c>
      <c r="I96" s="88" t="s">
        <v>86</v>
      </c>
      <c r="J96" s="638"/>
      <c r="K96" s="638">
        <f t="shared" si="17"/>
        <v>43739</v>
      </c>
      <c r="L96" s="639" t="str">
        <f t="shared" si="11"/>
        <v>Expert</v>
      </c>
      <c r="M96" s="53">
        <f>IFERROR(VLOOKUP($E96,KPI!$B:$T,MATCH(RESOURCES!M$3,KPI!$B$1:$T$1,0),FALSE),"-")</f>
        <v>0.3</v>
      </c>
      <c r="N96" s="53">
        <f>IFERROR(VLOOKUP($E96,KPI!$B:$T,MATCH(RESOURCES!N$3,KPI!$B$1:$T$1,0),FALSE),"-")</f>
        <v>0.2</v>
      </c>
      <c r="O96" s="53">
        <f>IFERROR(VLOOKUP($E96,KPI!$B:$T,MATCH(RESOURCES!O$3,KPI!$B$1:$T$1,0),FALSE),"-")</f>
        <v>0.1</v>
      </c>
      <c r="P96" s="53" t="str">
        <f>IFERROR(VLOOKUP($E96,KPI!$B:$T,MATCH(RESOURCES!P$3,KPI!$B$1:$T$1,0),FALSE),"-")</f>
        <v>-</v>
      </c>
      <c r="Q96" s="53" t="str">
        <f>IFERROR(VLOOKUP($E96,KPI!$B:$T,MATCH(RESOURCES!Q$3,KPI!$B$1:$T$1,0),FALSE),"-")</f>
        <v>-</v>
      </c>
      <c r="R96" s="53">
        <f>IFERROR(VLOOKUP($E96,KPI!$B:$T,MATCH(RESOURCES!R$3,KPI!$B$1:$T$1,0),FALSE),"-")</f>
        <v>0.15</v>
      </c>
      <c r="S96" s="53">
        <f>IFERROR(VLOOKUP($E96,KPI!$B:$T,MATCH(RESOURCES!S$3,KPI!$B$1:$T$1,0),FALSE),"-")</f>
        <v>0.2</v>
      </c>
      <c r="T96" s="53" t="str">
        <f>IFERROR(VLOOKUP($E96,KPI!$B:$T,MATCH(RESOURCES!T$3,KPI!$B$1:$T$1,0),FALSE),"-")</f>
        <v>-</v>
      </c>
      <c r="U96" s="53" t="str">
        <f>IFERROR(VLOOKUP($E96,KPI!$B:$T,MATCH(RESOURCES!U$3,KPI!$B$1:$T$1,0),FALSE),"-")</f>
        <v>-</v>
      </c>
      <c r="V96" s="53">
        <f>IFERROR(VLOOKUP($E96,KPI!$B:$T,MATCH(RESOURCES!V$3,KPI!$B$1:$T$1,0),FALSE),"-")</f>
        <v>0.05</v>
      </c>
      <c r="W96" s="50">
        <f>IFERROR(VLOOKUP($C96,'PRODUCTIVITY RAW'!$B:$Q,16,FALSE),"-")</f>
        <v>1</v>
      </c>
      <c r="X96" s="50">
        <f>IFERROR(VLOOKUP($C96,'CHURN RAW'!$A:$H,8,FALSE),"-")</f>
        <v>1</v>
      </c>
      <c r="Y96" s="50">
        <f>IFERROR(IF(AVERAGEIFS('QA RAW'!$G:$G,'QA RAW'!$E:$E,RESOURCES!$C96)=0,"-",AVERAGEIFS('QA RAW'!$G:$G,'QA RAW'!$E:$E,RESOURCES!$C96)),"-")</f>
        <v>1</v>
      </c>
      <c r="Z96" s="50" t="str">
        <f>IFERROR(VLOOKUP($C96,'PR CALIBRATION RAW'!$K:$S,MATCH(RESOURCES!Z$3,'PR CALIBRATION RAW'!$K$1:$S$1,0),FALSE),"-")</f>
        <v>-</v>
      </c>
      <c r="AA96" s="50" t="str">
        <f>IFERROR(VLOOKUP($C96,'DISPUTES RAW (VQA)'!$N:$U,8,FALSE),"-")</f>
        <v>-</v>
      </c>
      <c r="AB96" s="50">
        <f>IFERROR(VLOOKUP($C96,'ATTENDANCE RAW'!$E:$R,13,FALSE),"-")</f>
        <v>1</v>
      </c>
      <c r="AC96" s="50">
        <f>IFERROR(IF($E96="Voice QA",IF(AVERAGEIFS('KC RAW'!$J:$J,'KC RAW'!$B:$B,RESOURCES!$C96)=0,"-",AVERAGEIFS('KC RAW'!$J:$J,'KC RAW'!$B:$B,RESOURCES!$C96)),IF(AVERAGEIFS('KC RAW'!$H:$H,'KC RAW'!$B:$B,RESOURCES!$C96)=0,"-",AVERAGEIFS('KC RAW'!$H:$H,'KC RAW'!$B:$B,RESOURCES!$C96))),"-")</f>
        <v>0.9</v>
      </c>
      <c r="AD96" s="50" t="str">
        <f>IFERROR(AVERAGEIFS('CE RAW'!$G:$G,'CE RAW'!$E:$E,RESOURCES!$C96),"-")</f>
        <v>-</v>
      </c>
      <c r="AE96" s="50" t="str">
        <f>IFERROR(VLOOKUP($C96,'FCR RAW'!$A:$I,7,FALSE),"-")</f>
        <v>-</v>
      </c>
      <c r="AF96" s="50">
        <f>IFERROR(IF(VLOOKUP($C96,'BONUS RAW'!$D:$I,6,FALSE)=100%,100%,"-"),"-")</f>
        <v>1</v>
      </c>
      <c r="AG96" s="52">
        <f t="shared" si="12"/>
        <v>0.98000000000000009</v>
      </c>
      <c r="AH96" s="56">
        <f t="shared" si="9"/>
        <v>14</v>
      </c>
      <c r="AI96" s="57">
        <f t="shared" si="13"/>
        <v>0.97894736842105268</v>
      </c>
      <c r="AJ96" s="57">
        <f t="shared" si="14"/>
        <v>0.98000000000000009</v>
      </c>
      <c r="AK96" s="325" t="str">
        <f>IFERROR(VLOOKUP($C96,'ATTRITION RAW'!$E:$J,6,FALSE),"-")</f>
        <v>-</v>
      </c>
      <c r="AL96" s="176" t="str">
        <f t="shared" si="15"/>
        <v>-</v>
      </c>
      <c r="AM96" s="454">
        <f>IFERROR(VLOOKUP($C96,'CHURN RAW'!$A:$G,7,FALSE),"-")</f>
        <v>0</v>
      </c>
      <c r="AN96" s="456" t="str">
        <f t="shared" si="10"/>
        <v>QUALITY - DESIGNERS</v>
      </c>
    </row>
    <row r="97" spans="2:40">
      <c r="B97" s="637">
        <f t="shared" si="16"/>
        <v>94</v>
      </c>
      <c r="C97" s="93">
        <v>10072096</v>
      </c>
      <c r="D97" s="93" t="s">
        <v>196</v>
      </c>
      <c r="E97" s="88" t="s">
        <v>83</v>
      </c>
      <c r="F97" s="88" t="s">
        <v>186</v>
      </c>
      <c r="G97" s="88" t="s">
        <v>170</v>
      </c>
      <c r="H97" s="88" t="s">
        <v>85</v>
      </c>
      <c r="I97" s="88" t="s">
        <v>86</v>
      </c>
      <c r="J97" s="638"/>
      <c r="K97" s="638">
        <f t="shared" si="17"/>
        <v>43739</v>
      </c>
      <c r="L97" s="639" t="str">
        <f t="shared" si="11"/>
        <v>Expert</v>
      </c>
      <c r="M97" s="53">
        <f>IFERROR(VLOOKUP($E97,KPI!$B:$T,MATCH(RESOURCES!M$3,KPI!$B$1:$T$1,0),FALSE),"-")</f>
        <v>0.25</v>
      </c>
      <c r="N97" s="53">
        <f>IFERROR(VLOOKUP($E97,KPI!$B:$T,MATCH(RESOURCES!N$3,KPI!$B$1:$T$1,0),FALSE),"-")</f>
        <v>0.25</v>
      </c>
      <c r="O97" s="53">
        <f>IFERROR(VLOOKUP($E97,KPI!$B:$T,MATCH(RESOURCES!O$3,KPI!$B$1:$T$1,0),FALSE),"-")</f>
        <v>0.1</v>
      </c>
      <c r="P97" s="53" t="str">
        <f>IFERROR(VLOOKUP($E97,KPI!$B:$T,MATCH(RESOURCES!P$3,KPI!$B$1:$T$1,0),FALSE),"-")</f>
        <v>-</v>
      </c>
      <c r="Q97" s="53" t="str">
        <f>IFERROR(VLOOKUP($E97,KPI!$B:$T,MATCH(RESOURCES!Q$3,KPI!$B$1:$T$1,0),FALSE),"-")</f>
        <v>-</v>
      </c>
      <c r="R97" s="53">
        <f>IFERROR(VLOOKUP($E97,KPI!$B:$T,MATCH(RESOURCES!R$3,KPI!$B$1:$T$1,0),FALSE),"-")</f>
        <v>0.15</v>
      </c>
      <c r="S97" s="53">
        <f>IFERROR(VLOOKUP($E97,KPI!$B:$T,MATCH(RESOURCES!S$3,KPI!$B$1:$T$1,0),FALSE),"-")</f>
        <v>0.2</v>
      </c>
      <c r="T97" s="53" t="str">
        <f>IFERROR(VLOOKUP($E97,KPI!$B:$T,MATCH(RESOURCES!T$3,KPI!$B$1:$T$1,0),FALSE),"-")</f>
        <v>-</v>
      </c>
      <c r="U97" s="53" t="str">
        <f>IFERROR(VLOOKUP($E97,KPI!$B:$T,MATCH(RESOURCES!U$3,KPI!$B$1:$T$1,0),FALSE),"-")</f>
        <v>-</v>
      </c>
      <c r="V97" s="53">
        <f>IFERROR(VLOOKUP($E97,KPI!$B:$T,MATCH(RESOURCES!V$3,KPI!$B$1:$T$1,0),FALSE),"-")</f>
        <v>0.05</v>
      </c>
      <c r="W97" s="50">
        <f>IFERROR(VLOOKUP($C97,'PRODUCTIVITY RAW'!$B:$Q,16,FALSE),"-")</f>
        <v>0.83445378151260508</v>
      </c>
      <c r="X97" s="50">
        <f>IFERROR(VLOOKUP($C97,'CHURN RAW'!$A:$H,8,FALSE),"-")</f>
        <v>0.9</v>
      </c>
      <c r="Y97" s="50">
        <f>IFERROR(IF(AVERAGEIFS('QA RAW'!$G:$G,'QA RAW'!$E:$E,RESOURCES!$C97)=0,"-",AVERAGEIFS('QA RAW'!$G:$G,'QA RAW'!$E:$E,RESOURCES!$C97)),"-")</f>
        <v>0.99739999999999995</v>
      </c>
      <c r="Z97" s="50" t="str">
        <f>IFERROR(VLOOKUP($C97,'PR CALIBRATION RAW'!$K:$S,MATCH(RESOURCES!Z$3,'PR CALIBRATION RAW'!$K$1:$S$1,0),FALSE),"-")</f>
        <v>-</v>
      </c>
      <c r="AA97" s="50" t="str">
        <f>IFERROR(VLOOKUP($C97,'DISPUTES RAW (VQA)'!$N:$U,8,FALSE),"-")</f>
        <v>-</v>
      </c>
      <c r="AB97" s="50">
        <f>IFERROR(VLOOKUP($C97,'ATTENDANCE RAW'!$E:$R,13,FALSE),"-")</f>
        <v>1</v>
      </c>
      <c r="AC97" s="50">
        <f>IFERROR(IF($E97="Voice QA",IF(AVERAGEIFS('KC RAW'!$J:$J,'KC RAW'!$B:$B,RESOURCES!$C97)=0,"-",AVERAGEIFS('KC RAW'!$J:$J,'KC RAW'!$B:$B,RESOURCES!$C97)),IF(AVERAGEIFS('KC RAW'!$H:$H,'KC RAW'!$B:$B,RESOURCES!$C97)=0,"-",AVERAGEIFS('KC RAW'!$H:$H,'KC RAW'!$B:$B,RESOURCES!$C97))),"-")</f>
        <v>0.55000000000000004</v>
      </c>
      <c r="AD97" s="50" t="str">
        <f>IFERROR(AVERAGEIFS('CE RAW'!$G:$G,'CE RAW'!$E:$E,RESOURCES!$C97),"-")</f>
        <v>-</v>
      </c>
      <c r="AE97" s="50" t="str">
        <f>IFERROR(VLOOKUP($C97,'FCR RAW'!$A:$I,7,FALSE),"-")</f>
        <v>-</v>
      </c>
      <c r="AF97" s="50" t="str">
        <f>IFERROR(IF(VLOOKUP($C97,'BONUS RAW'!$D:$I,6,FALSE)=100%,100%,"-"),"-")</f>
        <v>-</v>
      </c>
      <c r="AG97" s="52">
        <f t="shared" si="12"/>
        <v>0.83510888987173815</v>
      </c>
      <c r="AH97" s="56">
        <f t="shared" si="9"/>
        <v>137</v>
      </c>
      <c r="AI97" s="57">
        <f t="shared" si="13"/>
        <v>0.83510888987173815</v>
      </c>
      <c r="AJ97" s="57">
        <f t="shared" si="14"/>
        <v>0.79335344537815122</v>
      </c>
      <c r="AK97" s="325" t="str">
        <f>IFERROR(VLOOKUP($C97,'ATTRITION RAW'!$E:$J,6,FALSE),"-")</f>
        <v>-</v>
      </c>
      <c r="AL97" s="176" t="str">
        <f t="shared" si="15"/>
        <v>-</v>
      </c>
      <c r="AM97" s="454">
        <f>IFERROR(VLOOKUP($C97,'CHURN RAW'!$A:$G,7,FALSE),"-")</f>
        <v>0.13639999999999999</v>
      </c>
      <c r="AN97" s="456" t="str">
        <f t="shared" si="10"/>
        <v>QUALITY - DESIGNERS</v>
      </c>
    </row>
    <row r="98" spans="2:40">
      <c r="B98" s="637">
        <f t="shared" si="16"/>
        <v>95</v>
      </c>
      <c r="C98" s="93">
        <v>10071432</v>
      </c>
      <c r="D98" s="93" t="s">
        <v>197</v>
      </c>
      <c r="E98" s="88" t="s">
        <v>142</v>
      </c>
      <c r="F98" s="88" t="s">
        <v>186</v>
      </c>
      <c r="G98" s="88" t="s">
        <v>170</v>
      </c>
      <c r="H98" s="88" t="s">
        <v>85</v>
      </c>
      <c r="I98" s="88" t="s">
        <v>86</v>
      </c>
      <c r="J98" s="638"/>
      <c r="K98" s="638">
        <f t="shared" si="17"/>
        <v>43739</v>
      </c>
      <c r="L98" s="639" t="str">
        <f t="shared" si="11"/>
        <v>Expert</v>
      </c>
      <c r="M98" s="53">
        <f>IFERROR(VLOOKUP($E98,KPI!$B:$T,MATCH(RESOURCES!M$3,KPI!$B$1:$T$1,0),FALSE),"-")</f>
        <v>0.3</v>
      </c>
      <c r="N98" s="53">
        <f>IFERROR(VLOOKUP($E98,KPI!$B:$T,MATCH(RESOURCES!N$3,KPI!$B$1:$T$1,0),FALSE),"-")</f>
        <v>0.2</v>
      </c>
      <c r="O98" s="53">
        <f>IFERROR(VLOOKUP($E98,KPI!$B:$T,MATCH(RESOURCES!O$3,KPI!$B$1:$T$1,0),FALSE),"-")</f>
        <v>0.1</v>
      </c>
      <c r="P98" s="53" t="str">
        <f>IFERROR(VLOOKUP($E98,KPI!$B:$T,MATCH(RESOURCES!P$3,KPI!$B$1:$T$1,0),FALSE),"-")</f>
        <v>-</v>
      </c>
      <c r="Q98" s="53" t="str">
        <f>IFERROR(VLOOKUP($E98,KPI!$B:$T,MATCH(RESOURCES!Q$3,KPI!$B$1:$T$1,0),FALSE),"-")</f>
        <v>-</v>
      </c>
      <c r="R98" s="53">
        <f>IFERROR(VLOOKUP($E98,KPI!$B:$T,MATCH(RESOURCES!R$3,KPI!$B$1:$T$1,0),FALSE),"-")</f>
        <v>0.15</v>
      </c>
      <c r="S98" s="53">
        <f>IFERROR(VLOOKUP($E98,KPI!$B:$T,MATCH(RESOURCES!S$3,KPI!$B$1:$T$1,0),FALSE),"-")</f>
        <v>0.2</v>
      </c>
      <c r="T98" s="53" t="str">
        <f>IFERROR(VLOOKUP($E98,KPI!$B:$T,MATCH(RESOURCES!T$3,KPI!$B$1:$T$1,0),FALSE),"-")</f>
        <v>-</v>
      </c>
      <c r="U98" s="53" t="str">
        <f>IFERROR(VLOOKUP($E98,KPI!$B:$T,MATCH(RESOURCES!U$3,KPI!$B$1:$T$1,0),FALSE),"-")</f>
        <v>-</v>
      </c>
      <c r="V98" s="53">
        <f>IFERROR(VLOOKUP($E98,KPI!$B:$T,MATCH(RESOURCES!V$3,KPI!$B$1:$T$1,0),FALSE),"-")</f>
        <v>0.05</v>
      </c>
      <c r="W98" s="50">
        <f>IFERROR(VLOOKUP($C98,'PRODUCTIVITY RAW'!$B:$Q,16,FALSE),"-")</f>
        <v>1</v>
      </c>
      <c r="X98" s="50">
        <f>IFERROR(VLOOKUP($C98,'CHURN RAW'!$A:$H,8,FALSE),"-")</f>
        <v>1</v>
      </c>
      <c r="Y98" s="50">
        <f>IFERROR(IF(AVERAGEIFS('QA RAW'!$G:$G,'QA RAW'!$E:$E,RESOURCES!$C98)=0,"-",AVERAGEIFS('QA RAW'!$G:$G,'QA RAW'!$E:$E,RESOURCES!$C98)),"-")</f>
        <v>1</v>
      </c>
      <c r="Z98" s="50" t="str">
        <f>IFERROR(VLOOKUP($C98,'PR CALIBRATION RAW'!$K:$S,MATCH(RESOURCES!Z$3,'PR CALIBRATION RAW'!$K$1:$S$1,0),FALSE),"-")</f>
        <v>-</v>
      </c>
      <c r="AA98" s="50" t="str">
        <f>IFERROR(VLOOKUP($C98,'DISPUTES RAW (VQA)'!$N:$U,8,FALSE),"-")</f>
        <v>-</v>
      </c>
      <c r="AB98" s="50">
        <f>IFERROR(VLOOKUP($C98,'ATTENDANCE RAW'!$E:$R,13,FALSE),"-")</f>
        <v>1</v>
      </c>
      <c r="AC98" s="50">
        <f>IFERROR(IF($E98="Voice QA",IF(AVERAGEIFS('KC RAW'!$J:$J,'KC RAW'!$B:$B,RESOURCES!$C98)=0,"-",AVERAGEIFS('KC RAW'!$J:$J,'KC RAW'!$B:$B,RESOURCES!$C98)),IF(AVERAGEIFS('KC RAW'!$H:$H,'KC RAW'!$B:$B,RESOURCES!$C98)=0,"-",AVERAGEIFS('KC RAW'!$H:$H,'KC RAW'!$B:$B,RESOURCES!$C98))),"-")</f>
        <v>0.85</v>
      </c>
      <c r="AD98" s="50" t="str">
        <f>IFERROR(AVERAGEIFS('CE RAW'!$G:$G,'CE RAW'!$E:$E,RESOURCES!$C98),"-")</f>
        <v>-</v>
      </c>
      <c r="AE98" s="50" t="str">
        <f>IFERROR(VLOOKUP($C98,'FCR RAW'!$A:$I,7,FALSE),"-")</f>
        <v>-</v>
      </c>
      <c r="AF98" s="50" t="str">
        <f>IFERROR(IF(VLOOKUP($C98,'BONUS RAW'!$D:$I,6,FALSE)=100%,100%,"-"),"-")</f>
        <v>-</v>
      </c>
      <c r="AG98" s="52">
        <f t="shared" si="12"/>
        <v>0.96842105263157907</v>
      </c>
      <c r="AH98" s="56">
        <f t="shared" si="9"/>
        <v>22</v>
      </c>
      <c r="AI98" s="57">
        <f t="shared" si="13"/>
        <v>0.96842105263157907</v>
      </c>
      <c r="AJ98" s="57">
        <f t="shared" si="14"/>
        <v>0.92</v>
      </c>
      <c r="AK98" s="325" t="str">
        <f>IFERROR(VLOOKUP($C98,'ATTRITION RAW'!$E:$J,6,FALSE),"-")</f>
        <v>-</v>
      </c>
      <c r="AL98" s="176" t="str">
        <f t="shared" si="15"/>
        <v>-</v>
      </c>
      <c r="AM98" s="454">
        <f>IFERROR(VLOOKUP($C98,'CHURN RAW'!$A:$G,7,FALSE),"-")</f>
        <v>0</v>
      </c>
      <c r="AN98" s="456" t="str">
        <f t="shared" si="10"/>
        <v>QUALITY - DESIGNERS</v>
      </c>
    </row>
    <row r="99" spans="2:40">
      <c r="B99" s="637">
        <f t="shared" si="16"/>
        <v>96</v>
      </c>
      <c r="C99" s="93">
        <v>10071188</v>
      </c>
      <c r="D99" s="93" t="s">
        <v>198</v>
      </c>
      <c r="E99" s="88" t="s">
        <v>83</v>
      </c>
      <c r="F99" s="88" t="s">
        <v>186</v>
      </c>
      <c r="G99" s="88" t="s">
        <v>170</v>
      </c>
      <c r="H99" s="88" t="s">
        <v>85</v>
      </c>
      <c r="I99" s="88" t="s">
        <v>86</v>
      </c>
      <c r="J99" s="638"/>
      <c r="K99" s="638">
        <f t="shared" si="17"/>
        <v>43739</v>
      </c>
      <c r="L99" s="639" t="str">
        <f t="shared" si="11"/>
        <v>Expert</v>
      </c>
      <c r="M99" s="53">
        <f>IFERROR(VLOOKUP($E99,KPI!$B:$T,MATCH(RESOURCES!M$3,KPI!$B$1:$T$1,0),FALSE),"-")</f>
        <v>0.25</v>
      </c>
      <c r="N99" s="53">
        <f>IFERROR(VLOOKUP($E99,KPI!$B:$T,MATCH(RESOURCES!N$3,KPI!$B$1:$T$1,0),FALSE),"-")</f>
        <v>0.25</v>
      </c>
      <c r="O99" s="53">
        <f>IFERROR(VLOOKUP($E99,KPI!$B:$T,MATCH(RESOURCES!O$3,KPI!$B$1:$T$1,0),FALSE),"-")</f>
        <v>0.1</v>
      </c>
      <c r="P99" s="53" t="str">
        <f>IFERROR(VLOOKUP($E99,KPI!$B:$T,MATCH(RESOURCES!P$3,KPI!$B$1:$T$1,0),FALSE),"-")</f>
        <v>-</v>
      </c>
      <c r="Q99" s="53" t="str">
        <f>IFERROR(VLOOKUP($E99,KPI!$B:$T,MATCH(RESOURCES!Q$3,KPI!$B$1:$T$1,0),FALSE),"-")</f>
        <v>-</v>
      </c>
      <c r="R99" s="53">
        <f>IFERROR(VLOOKUP($E99,KPI!$B:$T,MATCH(RESOURCES!R$3,KPI!$B$1:$T$1,0),FALSE),"-")</f>
        <v>0.15</v>
      </c>
      <c r="S99" s="53">
        <f>IFERROR(VLOOKUP($E99,KPI!$B:$T,MATCH(RESOURCES!S$3,KPI!$B$1:$T$1,0),FALSE),"-")</f>
        <v>0.2</v>
      </c>
      <c r="T99" s="53" t="str">
        <f>IFERROR(VLOOKUP($E99,KPI!$B:$T,MATCH(RESOURCES!T$3,KPI!$B$1:$T$1,0),FALSE),"-")</f>
        <v>-</v>
      </c>
      <c r="U99" s="53" t="str">
        <f>IFERROR(VLOOKUP($E99,KPI!$B:$T,MATCH(RESOURCES!U$3,KPI!$B$1:$T$1,0),FALSE),"-")</f>
        <v>-</v>
      </c>
      <c r="V99" s="53">
        <f>IFERROR(VLOOKUP($E99,KPI!$B:$T,MATCH(RESOURCES!V$3,KPI!$B$1:$T$1,0),FALSE),"-")</f>
        <v>0.05</v>
      </c>
      <c r="W99" s="50">
        <f>IFERROR(VLOOKUP($C99,'PRODUCTIVITY RAW'!$B:$Q,16,FALSE),"-")</f>
        <v>1</v>
      </c>
      <c r="X99" s="50">
        <f>IFERROR(VLOOKUP($C99,'CHURN RAW'!$A:$H,8,FALSE),"-")</f>
        <v>0.8</v>
      </c>
      <c r="Y99" s="50">
        <f>IFERROR(IF(AVERAGEIFS('QA RAW'!$G:$G,'QA RAW'!$E:$E,RESOURCES!$C99)=0,"-",AVERAGEIFS('QA RAW'!$G:$G,'QA RAW'!$E:$E,RESOURCES!$C99)),"-")</f>
        <v>0.99450000000000005</v>
      </c>
      <c r="Z99" s="50" t="str">
        <f>IFERROR(VLOOKUP($C99,'PR CALIBRATION RAW'!$K:$S,MATCH(RESOURCES!Z$3,'PR CALIBRATION RAW'!$K$1:$S$1,0),FALSE),"-")</f>
        <v>-</v>
      </c>
      <c r="AA99" s="50" t="str">
        <f>IFERROR(VLOOKUP($C99,'DISPUTES RAW (VQA)'!$N:$U,8,FALSE),"-")</f>
        <v>-</v>
      </c>
      <c r="AB99" s="50">
        <f>IFERROR(VLOOKUP($C99,'ATTENDANCE RAW'!$E:$R,13,FALSE),"-")</f>
        <v>1</v>
      </c>
      <c r="AC99" s="50">
        <f>IFERROR(IF($E99="Voice QA",IF(AVERAGEIFS('KC RAW'!$J:$J,'KC RAW'!$B:$B,RESOURCES!$C99)=0,"-",AVERAGEIFS('KC RAW'!$J:$J,'KC RAW'!$B:$B,RESOURCES!$C99)),IF(AVERAGEIFS('KC RAW'!$H:$H,'KC RAW'!$B:$B,RESOURCES!$C99)=0,"-",AVERAGEIFS('KC RAW'!$H:$H,'KC RAW'!$B:$B,RESOURCES!$C99))),"-")</f>
        <v>0.5</v>
      </c>
      <c r="AD99" s="50" t="str">
        <f>IFERROR(AVERAGEIFS('CE RAW'!$G:$G,'CE RAW'!$E:$E,RESOURCES!$C99),"-")</f>
        <v>-</v>
      </c>
      <c r="AE99" s="50" t="str">
        <f>IFERROR(VLOOKUP($C99,'FCR RAW'!$A:$I,7,FALSE),"-")</f>
        <v>-</v>
      </c>
      <c r="AF99" s="50" t="str">
        <f>IFERROR(IF(VLOOKUP($C99,'BONUS RAW'!$D:$I,6,FALSE)=100%,100%,"-"),"-")</f>
        <v>-</v>
      </c>
      <c r="AG99" s="52">
        <f t="shared" si="12"/>
        <v>0.84152631578947368</v>
      </c>
      <c r="AH99" s="56">
        <f t="shared" si="9"/>
        <v>132</v>
      </c>
      <c r="AI99" s="57">
        <f t="shared" si="13"/>
        <v>0.84152631578947368</v>
      </c>
      <c r="AJ99" s="57">
        <f t="shared" si="14"/>
        <v>0.79944999999999999</v>
      </c>
      <c r="AK99" s="325" t="str">
        <f>IFERROR(VLOOKUP($C99,'ATTRITION RAW'!$E:$J,6,FALSE),"-")</f>
        <v>-</v>
      </c>
      <c r="AL99" s="176" t="str">
        <f t="shared" si="15"/>
        <v>-</v>
      </c>
      <c r="AM99" s="454">
        <f>IFERROR(VLOOKUP($C99,'CHURN RAW'!$A:$G,7,FALSE),"-")</f>
        <v>0.1905</v>
      </c>
      <c r="AN99" s="456" t="str">
        <f t="shared" si="10"/>
        <v>QUALITY - DESIGNERS</v>
      </c>
    </row>
    <row r="100" spans="2:40">
      <c r="B100" s="637">
        <f t="shared" si="16"/>
        <v>97</v>
      </c>
      <c r="C100" s="93">
        <v>10072244</v>
      </c>
      <c r="D100" s="93" t="s">
        <v>199</v>
      </c>
      <c r="E100" s="88" t="s">
        <v>83</v>
      </c>
      <c r="F100" s="88" t="s">
        <v>200</v>
      </c>
      <c r="G100" s="88" t="s">
        <v>170</v>
      </c>
      <c r="H100" s="88" t="s">
        <v>85</v>
      </c>
      <c r="I100" s="88" t="s">
        <v>86</v>
      </c>
      <c r="J100" s="638"/>
      <c r="K100" s="638">
        <f t="shared" si="17"/>
        <v>43739</v>
      </c>
      <c r="L100" s="639" t="str">
        <f t="shared" si="11"/>
        <v>Expert</v>
      </c>
      <c r="M100" s="53">
        <f>IFERROR(VLOOKUP($E100,KPI!$B:$T,MATCH(RESOURCES!M$3,KPI!$B$1:$T$1,0),FALSE),"-")</f>
        <v>0.25</v>
      </c>
      <c r="N100" s="53">
        <f>IFERROR(VLOOKUP($E100,KPI!$B:$T,MATCH(RESOURCES!N$3,KPI!$B$1:$T$1,0),FALSE),"-")</f>
        <v>0.25</v>
      </c>
      <c r="O100" s="53">
        <f>IFERROR(VLOOKUP($E100,KPI!$B:$T,MATCH(RESOURCES!O$3,KPI!$B$1:$T$1,0),FALSE),"-")</f>
        <v>0.1</v>
      </c>
      <c r="P100" s="53" t="str">
        <f>IFERROR(VLOOKUP($E100,KPI!$B:$T,MATCH(RESOURCES!P$3,KPI!$B$1:$T$1,0),FALSE),"-")</f>
        <v>-</v>
      </c>
      <c r="Q100" s="53" t="str">
        <f>IFERROR(VLOOKUP($E100,KPI!$B:$T,MATCH(RESOURCES!Q$3,KPI!$B$1:$T$1,0),FALSE),"-")</f>
        <v>-</v>
      </c>
      <c r="R100" s="53">
        <f>IFERROR(VLOOKUP($E100,KPI!$B:$T,MATCH(RESOURCES!R$3,KPI!$B$1:$T$1,0),FALSE),"-")</f>
        <v>0.15</v>
      </c>
      <c r="S100" s="53">
        <f>IFERROR(VLOOKUP($E100,KPI!$B:$T,MATCH(RESOURCES!S$3,KPI!$B$1:$T$1,0),FALSE),"-")</f>
        <v>0.2</v>
      </c>
      <c r="T100" s="53" t="str">
        <f>IFERROR(VLOOKUP($E100,KPI!$B:$T,MATCH(RESOURCES!T$3,KPI!$B$1:$T$1,0),FALSE),"-")</f>
        <v>-</v>
      </c>
      <c r="U100" s="53" t="str">
        <f>IFERROR(VLOOKUP($E100,KPI!$B:$T,MATCH(RESOURCES!U$3,KPI!$B$1:$T$1,0),FALSE),"-")</f>
        <v>-</v>
      </c>
      <c r="V100" s="53">
        <f>IFERROR(VLOOKUP($E100,KPI!$B:$T,MATCH(RESOURCES!V$3,KPI!$B$1:$T$1,0),FALSE),"-")</f>
        <v>0.05</v>
      </c>
      <c r="W100" s="50">
        <f>IFERROR(VLOOKUP($C100,'PRODUCTIVITY RAW'!$B:$Q,16,FALSE),"-")</f>
        <v>0.80886075949367164</v>
      </c>
      <c r="X100" s="50">
        <f>IFERROR(VLOOKUP($C100,'CHURN RAW'!$A:$H,8,FALSE),"-")</f>
        <v>0.7</v>
      </c>
      <c r="Y100" s="50">
        <f>IFERROR(IF(AVERAGEIFS('QA RAW'!$G:$G,'QA RAW'!$E:$E,RESOURCES!$C100)=0,"-",AVERAGEIFS('QA RAW'!$G:$G,'QA RAW'!$E:$E,RESOURCES!$C100)),"-")</f>
        <v>0.99619999999999997</v>
      </c>
      <c r="Z100" s="50" t="str">
        <f>IFERROR(VLOOKUP($C100,'PR CALIBRATION RAW'!$K:$S,MATCH(RESOURCES!Z$3,'PR CALIBRATION RAW'!$K$1:$S$1,0),FALSE),"-")</f>
        <v>-</v>
      </c>
      <c r="AA100" s="50" t="str">
        <f>IFERROR(VLOOKUP($C100,'DISPUTES RAW (VQA)'!$N:$U,8,FALSE),"-")</f>
        <v>-</v>
      </c>
      <c r="AB100" s="50">
        <f>IFERROR(VLOOKUP($C100,'ATTENDANCE RAW'!$E:$R,13,FALSE),"-")</f>
        <v>0.90909090909090906</v>
      </c>
      <c r="AC100" s="50">
        <f>IFERROR(IF($E100="Voice QA",IF(AVERAGEIFS('KC RAW'!$J:$J,'KC RAW'!$B:$B,RESOURCES!$C100)=0,"-",AVERAGEIFS('KC RAW'!$J:$J,'KC RAW'!$B:$B,RESOURCES!$C100)),IF(AVERAGEIFS('KC RAW'!$H:$H,'KC RAW'!$B:$B,RESOURCES!$C100)=0,"-",AVERAGEIFS('KC RAW'!$H:$H,'KC RAW'!$B:$B,RESOURCES!$C100))),"-")</f>
        <v>0.75</v>
      </c>
      <c r="AD100" s="50" t="str">
        <f>IFERROR(AVERAGEIFS('CE RAW'!$G:$G,'CE RAW'!$E:$E,RESOURCES!$C100),"-")</f>
        <v>-</v>
      </c>
      <c r="AE100" s="50" t="str">
        <f>IFERROR(VLOOKUP($C100,'FCR RAW'!$A:$I,7,FALSE),"-")</f>
        <v>-</v>
      </c>
      <c r="AF100" s="50">
        <f>IFERROR(IF(VLOOKUP($C100,'BONUS RAW'!$D:$I,6,FALSE)=100%,100%,"-"),"-")</f>
        <v>1</v>
      </c>
      <c r="AG100" s="52">
        <f t="shared" si="12"/>
        <v>0.81319882623705431</v>
      </c>
      <c r="AH100" s="56">
        <f t="shared" si="9"/>
        <v>140</v>
      </c>
      <c r="AI100" s="57">
        <f t="shared" si="13"/>
        <v>0.80336718551268871</v>
      </c>
      <c r="AJ100" s="57">
        <f t="shared" si="14"/>
        <v>0.81319882623705431</v>
      </c>
      <c r="AK100" s="325" t="str">
        <f>IFERROR(VLOOKUP($C100,'ATTRITION RAW'!$E:$J,6,FALSE),"-")</f>
        <v>-</v>
      </c>
      <c r="AL100" s="176" t="str">
        <f t="shared" si="15"/>
        <v>-</v>
      </c>
      <c r="AM100" s="454">
        <f>IFERROR(VLOOKUP($C100,'CHURN RAW'!$A:$G,7,FALSE),"-")</f>
        <v>0.25</v>
      </c>
      <c r="AN100" s="456" t="str">
        <f t="shared" si="10"/>
        <v>QUALITY - DESIGNERS</v>
      </c>
    </row>
    <row r="101" spans="2:40">
      <c r="B101" s="637">
        <f t="shared" si="16"/>
        <v>98</v>
      </c>
      <c r="C101" s="93">
        <v>10072449</v>
      </c>
      <c r="D101" s="93" t="s">
        <v>201</v>
      </c>
      <c r="E101" s="88" t="s">
        <v>83</v>
      </c>
      <c r="F101" s="88" t="s">
        <v>200</v>
      </c>
      <c r="G101" s="88" t="s">
        <v>170</v>
      </c>
      <c r="H101" s="88" t="s">
        <v>85</v>
      </c>
      <c r="I101" s="88" t="s">
        <v>86</v>
      </c>
      <c r="J101" s="638"/>
      <c r="K101" s="638">
        <f t="shared" si="17"/>
        <v>43739</v>
      </c>
      <c r="L101" s="639" t="str">
        <f t="shared" si="11"/>
        <v>Expert</v>
      </c>
      <c r="M101" s="53">
        <f>IFERROR(VLOOKUP($E101,KPI!$B:$T,MATCH(RESOURCES!M$3,KPI!$B$1:$T$1,0),FALSE),"-")</f>
        <v>0.25</v>
      </c>
      <c r="N101" s="53">
        <f>IFERROR(VLOOKUP($E101,KPI!$B:$T,MATCH(RESOURCES!N$3,KPI!$B$1:$T$1,0),FALSE),"-")</f>
        <v>0.25</v>
      </c>
      <c r="O101" s="53">
        <f>IFERROR(VLOOKUP($E101,KPI!$B:$T,MATCH(RESOURCES!O$3,KPI!$B$1:$T$1,0),FALSE),"-")</f>
        <v>0.1</v>
      </c>
      <c r="P101" s="53" t="str">
        <f>IFERROR(VLOOKUP($E101,KPI!$B:$T,MATCH(RESOURCES!P$3,KPI!$B$1:$T$1,0),FALSE),"-")</f>
        <v>-</v>
      </c>
      <c r="Q101" s="53" t="str">
        <f>IFERROR(VLOOKUP($E101,KPI!$B:$T,MATCH(RESOURCES!Q$3,KPI!$B$1:$T$1,0),FALSE),"-")</f>
        <v>-</v>
      </c>
      <c r="R101" s="53">
        <f>IFERROR(VLOOKUP($E101,KPI!$B:$T,MATCH(RESOURCES!R$3,KPI!$B$1:$T$1,0),FALSE),"-")</f>
        <v>0.15</v>
      </c>
      <c r="S101" s="53">
        <f>IFERROR(VLOOKUP($E101,KPI!$B:$T,MATCH(RESOURCES!S$3,KPI!$B$1:$T$1,0),FALSE),"-")</f>
        <v>0.2</v>
      </c>
      <c r="T101" s="53" t="str">
        <f>IFERROR(VLOOKUP($E101,KPI!$B:$T,MATCH(RESOURCES!T$3,KPI!$B$1:$T$1,0),FALSE),"-")</f>
        <v>-</v>
      </c>
      <c r="U101" s="53" t="str">
        <f>IFERROR(VLOOKUP($E101,KPI!$B:$T,MATCH(RESOURCES!U$3,KPI!$B$1:$T$1,0),FALSE),"-")</f>
        <v>-</v>
      </c>
      <c r="V101" s="53">
        <f>IFERROR(VLOOKUP($E101,KPI!$B:$T,MATCH(RESOURCES!V$3,KPI!$B$1:$T$1,0),FALSE),"-")</f>
        <v>0.05</v>
      </c>
      <c r="W101" s="50">
        <f>IFERROR(VLOOKUP($C101,'PRODUCTIVITY RAW'!$B:$Q,16,FALSE),"-")</f>
        <v>0.89270157553290086</v>
      </c>
      <c r="X101" s="50">
        <f>IFERROR(VLOOKUP($C101,'CHURN RAW'!$A:$H,8,FALSE),"-")</f>
        <v>0.8</v>
      </c>
      <c r="Y101" s="50">
        <f>IFERROR(IF(AVERAGEIFS('QA RAW'!$G:$G,'QA RAW'!$E:$E,RESOURCES!$C101)=0,"-",AVERAGEIFS('QA RAW'!$G:$G,'QA RAW'!$E:$E,RESOURCES!$C101)),"-")</f>
        <v>0.99550000000000005</v>
      </c>
      <c r="Z101" s="50" t="str">
        <f>IFERROR(VLOOKUP($C101,'PR CALIBRATION RAW'!$K:$S,MATCH(RESOURCES!Z$3,'PR CALIBRATION RAW'!$K$1:$S$1,0),FALSE),"-")</f>
        <v>-</v>
      </c>
      <c r="AA101" s="50" t="str">
        <f>IFERROR(VLOOKUP($C101,'DISPUTES RAW (VQA)'!$N:$U,8,FALSE),"-")</f>
        <v>-</v>
      </c>
      <c r="AB101" s="50">
        <f>IFERROR(VLOOKUP($C101,'ATTENDANCE RAW'!$E:$R,13,FALSE),"-")</f>
        <v>1</v>
      </c>
      <c r="AC101" s="50">
        <f>IFERROR(IF($E101="Voice QA",IF(AVERAGEIFS('KC RAW'!$J:$J,'KC RAW'!$B:$B,RESOURCES!$C101)=0,"-",AVERAGEIFS('KC RAW'!$J:$J,'KC RAW'!$B:$B,RESOURCES!$C101)),IF(AVERAGEIFS('KC RAW'!$H:$H,'KC RAW'!$B:$B,RESOURCES!$C101)=0,"-",AVERAGEIFS('KC RAW'!$H:$H,'KC RAW'!$B:$B,RESOURCES!$C101))),"-")</f>
        <v>0.75</v>
      </c>
      <c r="AD101" s="50" t="str">
        <f>IFERROR(AVERAGEIFS('CE RAW'!$G:$G,'CE RAW'!$E:$E,RESOURCES!$C101),"-")</f>
        <v>-</v>
      </c>
      <c r="AE101" s="50" t="str">
        <f>IFERROR(VLOOKUP($C101,'FCR RAW'!$A:$I,7,FALSE),"-")</f>
        <v>-</v>
      </c>
      <c r="AF101" s="50" t="str">
        <f>IFERROR(IF(VLOOKUP($C101,'BONUS RAW'!$D:$I,6,FALSE)=100%,100%,"-"),"-")</f>
        <v>-</v>
      </c>
      <c r="AG101" s="52">
        <f t="shared" si="12"/>
        <v>0.86602673040339506</v>
      </c>
      <c r="AH101" s="56">
        <f t="shared" si="9"/>
        <v>120</v>
      </c>
      <c r="AI101" s="57">
        <f t="shared" si="13"/>
        <v>0.86602673040339506</v>
      </c>
      <c r="AJ101" s="57">
        <f t="shared" si="14"/>
        <v>0.8227253938832253</v>
      </c>
      <c r="AK101" s="325" t="str">
        <f>IFERROR(VLOOKUP($C101,'ATTRITION RAW'!$E:$J,6,FALSE),"-")</f>
        <v>-</v>
      </c>
      <c r="AL101" s="176" t="str">
        <f t="shared" si="15"/>
        <v>-</v>
      </c>
      <c r="AM101" s="454">
        <f>IFERROR(VLOOKUP($C101,'CHURN RAW'!$A:$G,7,FALSE),"-")</f>
        <v>0.2</v>
      </c>
      <c r="AN101" s="456" t="str">
        <f t="shared" si="10"/>
        <v>QUALITY - DESIGNERS</v>
      </c>
    </row>
    <row r="102" spans="2:40">
      <c r="B102" s="637">
        <f t="shared" si="16"/>
        <v>99</v>
      </c>
      <c r="C102" s="93">
        <v>10071692</v>
      </c>
      <c r="D102" s="93" t="s">
        <v>202</v>
      </c>
      <c r="E102" s="88" t="s">
        <v>83</v>
      </c>
      <c r="F102" s="88" t="s">
        <v>200</v>
      </c>
      <c r="G102" s="88" t="s">
        <v>170</v>
      </c>
      <c r="H102" s="88" t="s">
        <v>85</v>
      </c>
      <c r="I102" s="88" t="s">
        <v>86</v>
      </c>
      <c r="J102" s="638"/>
      <c r="K102" s="638">
        <f t="shared" si="17"/>
        <v>43739</v>
      </c>
      <c r="L102" s="639" t="str">
        <f t="shared" si="11"/>
        <v>Expert</v>
      </c>
      <c r="M102" s="53">
        <f>IFERROR(VLOOKUP($E102,KPI!$B:$T,MATCH(RESOURCES!M$3,KPI!$B$1:$T$1,0),FALSE),"-")</f>
        <v>0.25</v>
      </c>
      <c r="N102" s="53">
        <f>IFERROR(VLOOKUP($E102,KPI!$B:$T,MATCH(RESOURCES!N$3,KPI!$B$1:$T$1,0),FALSE),"-")</f>
        <v>0.25</v>
      </c>
      <c r="O102" s="53">
        <f>IFERROR(VLOOKUP($E102,KPI!$B:$T,MATCH(RESOURCES!O$3,KPI!$B$1:$T$1,0),FALSE),"-")</f>
        <v>0.1</v>
      </c>
      <c r="P102" s="53" t="str">
        <f>IFERROR(VLOOKUP($E102,KPI!$B:$T,MATCH(RESOURCES!P$3,KPI!$B$1:$T$1,0),FALSE),"-")</f>
        <v>-</v>
      </c>
      <c r="Q102" s="53" t="str">
        <f>IFERROR(VLOOKUP($E102,KPI!$B:$T,MATCH(RESOURCES!Q$3,KPI!$B$1:$T$1,0),FALSE),"-")</f>
        <v>-</v>
      </c>
      <c r="R102" s="53">
        <f>IFERROR(VLOOKUP($E102,KPI!$B:$T,MATCH(RESOURCES!R$3,KPI!$B$1:$T$1,0),FALSE),"-")</f>
        <v>0.15</v>
      </c>
      <c r="S102" s="53">
        <f>IFERROR(VLOOKUP($E102,KPI!$B:$T,MATCH(RESOURCES!S$3,KPI!$B$1:$T$1,0),FALSE),"-")</f>
        <v>0.2</v>
      </c>
      <c r="T102" s="53" t="str">
        <f>IFERROR(VLOOKUP($E102,KPI!$B:$T,MATCH(RESOURCES!T$3,KPI!$B$1:$T$1,0),FALSE),"-")</f>
        <v>-</v>
      </c>
      <c r="U102" s="53" t="str">
        <f>IFERROR(VLOOKUP($E102,KPI!$B:$T,MATCH(RESOURCES!U$3,KPI!$B$1:$T$1,0),FALSE),"-")</f>
        <v>-</v>
      </c>
      <c r="V102" s="53">
        <f>IFERROR(VLOOKUP($E102,KPI!$B:$T,MATCH(RESOURCES!V$3,KPI!$B$1:$T$1,0),FALSE),"-")</f>
        <v>0.05</v>
      </c>
      <c r="W102" s="50">
        <f>IFERROR(VLOOKUP($C102,'PRODUCTIVITY RAW'!$B:$Q,16,FALSE),"-")</f>
        <v>0.77299270072992732</v>
      </c>
      <c r="X102" s="50">
        <f>IFERROR(VLOOKUP($C102,'CHURN RAW'!$A:$H,8,FALSE),"-")</f>
        <v>0.9</v>
      </c>
      <c r="Y102" s="50">
        <f>IFERROR(IF(AVERAGEIFS('QA RAW'!$G:$G,'QA RAW'!$E:$E,RESOURCES!$C102)=0,"-",AVERAGEIFS('QA RAW'!$G:$G,'QA RAW'!$E:$E,RESOURCES!$C102)),"-")</f>
        <v>0.99839999999999995</v>
      </c>
      <c r="Z102" s="50" t="str">
        <f>IFERROR(VLOOKUP($C102,'PR CALIBRATION RAW'!$K:$S,MATCH(RESOURCES!Z$3,'PR CALIBRATION RAW'!$K$1:$S$1,0),FALSE),"-")</f>
        <v>-</v>
      </c>
      <c r="AA102" s="50" t="str">
        <f>IFERROR(VLOOKUP($C102,'DISPUTES RAW (VQA)'!$N:$U,8,FALSE),"-")</f>
        <v>-</v>
      </c>
      <c r="AB102" s="50">
        <f>IFERROR(VLOOKUP($C102,'ATTENDANCE RAW'!$E:$R,13,FALSE),"-")</f>
        <v>0.95454545454545459</v>
      </c>
      <c r="AC102" s="50">
        <f>IFERROR(IF($E102="Voice QA",IF(AVERAGEIFS('KC RAW'!$J:$J,'KC RAW'!$B:$B,RESOURCES!$C102)=0,"-",AVERAGEIFS('KC RAW'!$J:$J,'KC RAW'!$B:$B,RESOURCES!$C102)),IF(AVERAGEIFS('KC RAW'!$H:$H,'KC RAW'!$B:$B,RESOURCES!$C102)=0,"-",AVERAGEIFS('KC RAW'!$H:$H,'KC RAW'!$B:$B,RESOURCES!$C102))),"-")</f>
        <v>0.75</v>
      </c>
      <c r="AD102" s="50" t="str">
        <f>IFERROR(AVERAGEIFS('CE RAW'!$G:$G,'CE RAW'!$E:$E,RESOURCES!$C102),"-")</f>
        <v>-</v>
      </c>
      <c r="AE102" s="50" t="str">
        <f>IFERROR(VLOOKUP($C102,'FCR RAW'!$A:$I,7,FALSE),"-")</f>
        <v>-</v>
      </c>
      <c r="AF102" s="50">
        <f>IFERROR(IF(VLOOKUP($C102,'BONUS RAW'!$D:$I,6,FALSE)=100%,100%,"-"),"-")</f>
        <v>1</v>
      </c>
      <c r="AG102" s="52">
        <f t="shared" si="12"/>
        <v>0.8612699933643001</v>
      </c>
      <c r="AH102" s="56">
        <f t="shared" si="9"/>
        <v>121</v>
      </c>
      <c r="AI102" s="57">
        <f t="shared" si="13"/>
        <v>0.85396841406768431</v>
      </c>
      <c r="AJ102" s="57">
        <f t="shared" si="14"/>
        <v>0.8612699933643001</v>
      </c>
      <c r="AK102" s="325" t="str">
        <f>IFERROR(VLOOKUP($C102,'ATTRITION RAW'!$E:$J,6,FALSE),"-")</f>
        <v>-</v>
      </c>
      <c r="AL102" s="176" t="str">
        <f t="shared" si="15"/>
        <v>-</v>
      </c>
      <c r="AM102" s="454">
        <f>IFERROR(VLOOKUP($C102,'CHURN RAW'!$A:$G,7,FALSE),"-")</f>
        <v>8.3299999999999999E-2</v>
      </c>
      <c r="AN102" s="456" t="str">
        <f t="shared" si="10"/>
        <v>QUALITY - DESIGNERS</v>
      </c>
    </row>
    <row r="103" spans="2:40">
      <c r="B103" s="637">
        <f t="shared" si="16"/>
        <v>100</v>
      </c>
      <c r="C103" s="93">
        <v>10072180</v>
      </c>
      <c r="D103" s="93" t="s">
        <v>203</v>
      </c>
      <c r="E103" s="88" t="s">
        <v>83</v>
      </c>
      <c r="F103" s="88" t="s">
        <v>200</v>
      </c>
      <c r="G103" s="88" t="s">
        <v>170</v>
      </c>
      <c r="H103" s="88" t="s">
        <v>85</v>
      </c>
      <c r="I103" s="88" t="s">
        <v>86</v>
      </c>
      <c r="J103" s="638">
        <v>43731</v>
      </c>
      <c r="K103" s="638">
        <f t="shared" si="17"/>
        <v>43739</v>
      </c>
      <c r="L103" s="639" t="str">
        <f t="shared" si="11"/>
        <v>Beginner</v>
      </c>
      <c r="M103" s="53">
        <f>IFERROR(VLOOKUP($E103,KPI!$B:$T,MATCH(RESOURCES!M$3,KPI!$B$1:$T$1,0),FALSE),"-")</f>
        <v>0.25</v>
      </c>
      <c r="N103" s="53">
        <f>IFERROR(VLOOKUP($E103,KPI!$B:$T,MATCH(RESOURCES!N$3,KPI!$B$1:$T$1,0),FALSE),"-")</f>
        <v>0.25</v>
      </c>
      <c r="O103" s="53">
        <f>IFERROR(VLOOKUP($E103,KPI!$B:$T,MATCH(RESOURCES!O$3,KPI!$B$1:$T$1,0),FALSE),"-")</f>
        <v>0.1</v>
      </c>
      <c r="P103" s="53" t="str">
        <f>IFERROR(VLOOKUP($E103,KPI!$B:$T,MATCH(RESOURCES!P$3,KPI!$B$1:$T$1,0),FALSE),"-")</f>
        <v>-</v>
      </c>
      <c r="Q103" s="53" t="str">
        <f>IFERROR(VLOOKUP($E103,KPI!$B:$T,MATCH(RESOURCES!Q$3,KPI!$B$1:$T$1,0),FALSE),"-")</f>
        <v>-</v>
      </c>
      <c r="R103" s="53">
        <f>IFERROR(VLOOKUP($E103,KPI!$B:$T,MATCH(RESOURCES!R$3,KPI!$B$1:$T$1,0),FALSE),"-")</f>
        <v>0.15</v>
      </c>
      <c r="S103" s="53">
        <f>IFERROR(VLOOKUP($E103,KPI!$B:$T,MATCH(RESOURCES!S$3,KPI!$B$1:$T$1,0),FALSE),"-")</f>
        <v>0.2</v>
      </c>
      <c r="T103" s="53" t="str">
        <f>IFERROR(VLOOKUP($E103,KPI!$B:$T,MATCH(RESOURCES!T$3,KPI!$B$1:$T$1,0),FALSE),"-")</f>
        <v>-</v>
      </c>
      <c r="U103" s="53" t="str">
        <f>IFERROR(VLOOKUP($E103,KPI!$B:$T,MATCH(RESOURCES!U$3,KPI!$B$1:$T$1,0),FALSE),"-")</f>
        <v>-</v>
      </c>
      <c r="V103" s="53">
        <f>IFERROR(VLOOKUP($E103,KPI!$B:$T,MATCH(RESOURCES!V$3,KPI!$B$1:$T$1,0),FALSE),"-")</f>
        <v>0.05</v>
      </c>
      <c r="W103" s="50">
        <f>IFERROR(VLOOKUP($C103,'PRODUCTIVITY RAW'!$B:$Q,16,FALSE),"-")</f>
        <v>1</v>
      </c>
      <c r="X103" s="50">
        <f>IFERROR(VLOOKUP($C103,'CHURN RAW'!$A:$H,8,FALSE),"-")</f>
        <v>0.7</v>
      </c>
      <c r="Y103" s="50">
        <f>IFERROR(IF(AVERAGEIFS('QA RAW'!$G:$G,'QA RAW'!$E:$E,RESOURCES!$C103)=0,"-",AVERAGEIFS('QA RAW'!$G:$G,'QA RAW'!$E:$E,RESOURCES!$C103)),"-")</f>
        <v>0.99639999999999995</v>
      </c>
      <c r="Z103" s="50" t="str">
        <f>IFERROR(VLOOKUP($C103,'PR CALIBRATION RAW'!$K:$S,MATCH(RESOURCES!Z$3,'PR CALIBRATION RAW'!$K$1:$S$1,0),FALSE),"-")</f>
        <v>-</v>
      </c>
      <c r="AA103" s="50" t="str">
        <f>IFERROR(VLOOKUP($C103,'DISPUTES RAW (VQA)'!$N:$U,8,FALSE),"-")</f>
        <v>-</v>
      </c>
      <c r="AB103" s="50">
        <f>IFERROR(VLOOKUP($C103,'ATTENDANCE RAW'!$E:$R,13,FALSE),"-")</f>
        <v>1</v>
      </c>
      <c r="AC103" s="50">
        <f>IFERROR(IF($E103="Voice QA",IF(AVERAGEIFS('KC RAW'!$J:$J,'KC RAW'!$B:$B,RESOURCES!$C103)=0,"-",AVERAGEIFS('KC RAW'!$J:$J,'KC RAW'!$B:$B,RESOURCES!$C103)),IF(AVERAGEIFS('KC RAW'!$H:$H,'KC RAW'!$B:$B,RESOURCES!$C103)=0,"-",AVERAGEIFS('KC RAW'!$H:$H,'KC RAW'!$B:$B,RESOURCES!$C103))),"-")</f>
        <v>0.85</v>
      </c>
      <c r="AD103" s="50" t="str">
        <f>IFERROR(AVERAGEIFS('CE RAW'!$G:$G,'CE RAW'!$E:$E,RESOURCES!$C103),"-")</f>
        <v>-</v>
      </c>
      <c r="AE103" s="50" t="str">
        <f>IFERROR(VLOOKUP($C103,'FCR RAW'!$A:$I,7,FALSE),"-")</f>
        <v>-</v>
      </c>
      <c r="AF103" s="50" t="str">
        <f>IFERROR(IF(VLOOKUP($C103,'BONUS RAW'!$D:$I,6,FALSE)=100%,100%,"-"),"-")</f>
        <v>-</v>
      </c>
      <c r="AG103" s="52">
        <f t="shared" si="12"/>
        <v>0.88909473684210538</v>
      </c>
      <c r="AH103" s="56">
        <f t="shared" si="9"/>
        <v>97</v>
      </c>
      <c r="AI103" s="57">
        <f t="shared" si="13"/>
        <v>0.88909473684210538</v>
      </c>
      <c r="AJ103" s="57">
        <f t="shared" si="14"/>
        <v>0.84464000000000006</v>
      </c>
      <c r="AK103" s="325" t="str">
        <f>IFERROR(VLOOKUP($C103,'ATTRITION RAW'!$E:$J,6,FALSE),"-")</f>
        <v>-</v>
      </c>
      <c r="AL103" s="176" t="str">
        <f t="shared" si="15"/>
        <v>-</v>
      </c>
      <c r="AM103" s="454">
        <f>IFERROR(VLOOKUP($C103,'CHURN RAW'!$A:$G,7,FALSE),"-")</f>
        <v>0.25</v>
      </c>
      <c r="AN103" s="456" t="str">
        <f t="shared" si="10"/>
        <v>QUALITY - DESIGNERS</v>
      </c>
    </row>
    <row r="104" spans="2:40">
      <c r="B104" s="637">
        <f t="shared" si="16"/>
        <v>101</v>
      </c>
      <c r="C104" s="93">
        <v>10072198</v>
      </c>
      <c r="D104" s="93" t="s">
        <v>204</v>
      </c>
      <c r="E104" s="88" t="s">
        <v>83</v>
      </c>
      <c r="F104" s="88" t="s">
        <v>200</v>
      </c>
      <c r="G104" s="88" t="s">
        <v>170</v>
      </c>
      <c r="H104" s="88" t="s">
        <v>85</v>
      </c>
      <c r="I104" s="88" t="s">
        <v>86</v>
      </c>
      <c r="J104" s="638"/>
      <c r="K104" s="638">
        <f t="shared" si="17"/>
        <v>43739</v>
      </c>
      <c r="L104" s="639" t="str">
        <f t="shared" si="11"/>
        <v>Expert</v>
      </c>
      <c r="M104" s="53">
        <f>IFERROR(VLOOKUP($E104,KPI!$B:$T,MATCH(RESOURCES!M$3,KPI!$B$1:$T$1,0),FALSE),"-")</f>
        <v>0.25</v>
      </c>
      <c r="N104" s="53">
        <f>IFERROR(VLOOKUP($E104,KPI!$B:$T,MATCH(RESOURCES!N$3,KPI!$B$1:$T$1,0),FALSE),"-")</f>
        <v>0.25</v>
      </c>
      <c r="O104" s="53">
        <f>IFERROR(VLOOKUP($E104,KPI!$B:$T,MATCH(RESOURCES!O$3,KPI!$B$1:$T$1,0),FALSE),"-")</f>
        <v>0.1</v>
      </c>
      <c r="P104" s="53" t="str">
        <f>IFERROR(VLOOKUP($E104,KPI!$B:$T,MATCH(RESOURCES!P$3,KPI!$B$1:$T$1,0),FALSE),"-")</f>
        <v>-</v>
      </c>
      <c r="Q104" s="53" t="str">
        <f>IFERROR(VLOOKUP($E104,KPI!$B:$T,MATCH(RESOURCES!Q$3,KPI!$B$1:$T$1,0),FALSE),"-")</f>
        <v>-</v>
      </c>
      <c r="R104" s="53">
        <f>IFERROR(VLOOKUP($E104,KPI!$B:$T,MATCH(RESOURCES!R$3,KPI!$B$1:$T$1,0),FALSE),"-")</f>
        <v>0.15</v>
      </c>
      <c r="S104" s="53">
        <f>IFERROR(VLOOKUP($E104,KPI!$B:$T,MATCH(RESOURCES!S$3,KPI!$B$1:$T$1,0),FALSE),"-")</f>
        <v>0.2</v>
      </c>
      <c r="T104" s="53" t="str">
        <f>IFERROR(VLOOKUP($E104,KPI!$B:$T,MATCH(RESOURCES!T$3,KPI!$B$1:$T$1,0),FALSE),"-")</f>
        <v>-</v>
      </c>
      <c r="U104" s="53" t="str">
        <f>IFERROR(VLOOKUP($E104,KPI!$B:$T,MATCH(RESOURCES!U$3,KPI!$B$1:$T$1,0),FALSE),"-")</f>
        <v>-</v>
      </c>
      <c r="V104" s="53">
        <f>IFERROR(VLOOKUP($E104,KPI!$B:$T,MATCH(RESOURCES!V$3,KPI!$B$1:$T$1,0),FALSE),"-")</f>
        <v>0.05</v>
      </c>
      <c r="W104" s="50">
        <f>IFERROR(VLOOKUP($C104,'PRODUCTIVITY RAW'!$B:$Q,16,FALSE),"-")</f>
        <v>0.77577777777777779</v>
      </c>
      <c r="X104" s="50">
        <f>IFERROR(VLOOKUP($C104,'CHURN RAW'!$A:$H,8,FALSE),"-")</f>
        <v>0.8</v>
      </c>
      <c r="Y104" s="50">
        <f>IFERROR(IF(AVERAGEIFS('QA RAW'!$G:$G,'QA RAW'!$E:$E,RESOURCES!$C104)=0,"-",AVERAGEIFS('QA RAW'!$G:$G,'QA RAW'!$E:$E,RESOURCES!$C104)),"-")</f>
        <v>0.99519999999999997</v>
      </c>
      <c r="Z104" s="50" t="str">
        <f>IFERROR(VLOOKUP($C104,'PR CALIBRATION RAW'!$K:$S,MATCH(RESOURCES!Z$3,'PR CALIBRATION RAW'!$K$1:$S$1,0),FALSE),"-")</f>
        <v>-</v>
      </c>
      <c r="AA104" s="50" t="str">
        <f>IFERROR(VLOOKUP($C104,'DISPUTES RAW (VQA)'!$N:$U,8,FALSE),"-")</f>
        <v>-</v>
      </c>
      <c r="AB104" s="50">
        <f>IFERROR(VLOOKUP($C104,'ATTENDANCE RAW'!$E:$R,13,FALSE),"-")</f>
        <v>0.95454545454545459</v>
      </c>
      <c r="AC104" s="50">
        <f>IFERROR(IF($E104="Voice QA",IF(AVERAGEIFS('KC RAW'!$J:$J,'KC RAW'!$B:$B,RESOURCES!$C104)=0,"-",AVERAGEIFS('KC RAW'!$J:$J,'KC RAW'!$B:$B,RESOURCES!$C104)),IF(AVERAGEIFS('KC RAW'!$H:$H,'KC RAW'!$B:$B,RESOURCES!$C104)=0,"-",AVERAGEIFS('KC RAW'!$H:$H,'KC RAW'!$B:$B,RESOURCES!$C104))),"-")</f>
        <v>0.5</v>
      </c>
      <c r="AD104" s="50" t="str">
        <f>IFERROR(AVERAGEIFS('CE RAW'!$G:$G,'CE RAW'!$E:$E,RESOURCES!$C104),"-")</f>
        <v>-</v>
      </c>
      <c r="AE104" s="50" t="str">
        <f>IFERROR(VLOOKUP($C104,'FCR RAW'!$A:$I,7,FALSE),"-")</f>
        <v>-</v>
      </c>
      <c r="AF104" s="50">
        <f>IFERROR(IF(VLOOKUP($C104,'BONUS RAW'!$D:$I,6,FALSE)=100%,100%,"-"),"-")</f>
        <v>1</v>
      </c>
      <c r="AG104" s="52">
        <f t="shared" si="12"/>
        <v>0.78664626262626258</v>
      </c>
      <c r="AH104" s="56">
        <f t="shared" si="9"/>
        <v>143</v>
      </c>
      <c r="AI104" s="57">
        <f t="shared" si="13"/>
        <v>0.77541711855396056</v>
      </c>
      <c r="AJ104" s="57">
        <f t="shared" si="14"/>
        <v>0.78664626262626258</v>
      </c>
      <c r="AK104" s="325" t="str">
        <f>IFERROR(VLOOKUP($C104,'ATTRITION RAW'!$E:$J,6,FALSE),"-")</f>
        <v>-</v>
      </c>
      <c r="AL104" s="176" t="str">
        <f t="shared" si="15"/>
        <v>-</v>
      </c>
      <c r="AM104" s="454">
        <f>IFERROR(VLOOKUP($C104,'CHURN RAW'!$A:$G,7,FALSE),"-")</f>
        <v>0.2</v>
      </c>
      <c r="AN104" s="456" t="str">
        <f t="shared" si="10"/>
        <v>QUALITY - DESIGNERS</v>
      </c>
    </row>
    <row r="105" spans="2:40">
      <c r="B105" s="637">
        <f t="shared" si="16"/>
        <v>102</v>
      </c>
      <c r="C105" s="93">
        <v>10072444</v>
      </c>
      <c r="D105" s="93" t="s">
        <v>205</v>
      </c>
      <c r="E105" s="88" t="s">
        <v>83</v>
      </c>
      <c r="F105" s="88" t="s">
        <v>200</v>
      </c>
      <c r="G105" s="88" t="s">
        <v>170</v>
      </c>
      <c r="H105" s="88" t="s">
        <v>85</v>
      </c>
      <c r="I105" s="88" t="s">
        <v>86</v>
      </c>
      <c r="J105" s="638"/>
      <c r="K105" s="638">
        <f t="shared" si="17"/>
        <v>43739</v>
      </c>
      <c r="L105" s="639" t="str">
        <f t="shared" si="11"/>
        <v>Expert</v>
      </c>
      <c r="M105" s="53">
        <f>IFERROR(VLOOKUP($E105,KPI!$B:$T,MATCH(RESOURCES!M$3,KPI!$B$1:$T$1,0),FALSE),"-")</f>
        <v>0.25</v>
      </c>
      <c r="N105" s="53">
        <f>IFERROR(VLOOKUP($E105,KPI!$B:$T,MATCH(RESOURCES!N$3,KPI!$B$1:$T$1,0),FALSE),"-")</f>
        <v>0.25</v>
      </c>
      <c r="O105" s="53">
        <f>IFERROR(VLOOKUP($E105,KPI!$B:$T,MATCH(RESOURCES!O$3,KPI!$B$1:$T$1,0),FALSE),"-")</f>
        <v>0.1</v>
      </c>
      <c r="P105" s="53" t="str">
        <f>IFERROR(VLOOKUP($E105,KPI!$B:$T,MATCH(RESOURCES!P$3,KPI!$B$1:$T$1,0),FALSE),"-")</f>
        <v>-</v>
      </c>
      <c r="Q105" s="53" t="str">
        <f>IFERROR(VLOOKUP($E105,KPI!$B:$T,MATCH(RESOURCES!Q$3,KPI!$B$1:$T$1,0),FALSE),"-")</f>
        <v>-</v>
      </c>
      <c r="R105" s="53">
        <f>IFERROR(VLOOKUP($E105,KPI!$B:$T,MATCH(RESOURCES!R$3,KPI!$B$1:$T$1,0),FALSE),"-")</f>
        <v>0.15</v>
      </c>
      <c r="S105" s="53">
        <f>IFERROR(VLOOKUP($E105,KPI!$B:$T,MATCH(RESOURCES!S$3,KPI!$B$1:$T$1,0),FALSE),"-")</f>
        <v>0.2</v>
      </c>
      <c r="T105" s="53" t="str">
        <f>IFERROR(VLOOKUP($E105,KPI!$B:$T,MATCH(RESOURCES!T$3,KPI!$B$1:$T$1,0),FALSE),"-")</f>
        <v>-</v>
      </c>
      <c r="U105" s="53" t="str">
        <f>IFERROR(VLOOKUP($E105,KPI!$B:$T,MATCH(RESOURCES!U$3,KPI!$B$1:$T$1,0),FALSE),"-")</f>
        <v>-</v>
      </c>
      <c r="V105" s="53">
        <f>IFERROR(VLOOKUP($E105,KPI!$B:$T,MATCH(RESOURCES!V$3,KPI!$B$1:$T$1,0),FALSE),"-")</f>
        <v>0.05</v>
      </c>
      <c r="W105" s="50">
        <f>IFERROR(VLOOKUP($C105,'PRODUCTIVITY RAW'!$B:$Q,16,FALSE),"-")</f>
        <v>0.66526315789473678</v>
      </c>
      <c r="X105" s="50">
        <f>IFERROR(VLOOKUP($C105,'CHURN RAW'!$A:$H,8,FALSE),"-")</f>
        <v>0.9</v>
      </c>
      <c r="Y105" s="50">
        <f>IFERROR(IF(AVERAGEIFS('QA RAW'!$G:$G,'QA RAW'!$E:$E,RESOURCES!$C105)=0,"-",AVERAGEIFS('QA RAW'!$G:$G,'QA RAW'!$E:$E,RESOURCES!$C105)),"-")</f>
        <v>0.99819999999999998</v>
      </c>
      <c r="Z105" s="50" t="str">
        <f>IFERROR(VLOOKUP($C105,'PR CALIBRATION RAW'!$K:$S,MATCH(RESOURCES!Z$3,'PR CALIBRATION RAW'!$K$1:$S$1,0),FALSE),"-")</f>
        <v>-</v>
      </c>
      <c r="AA105" s="50" t="str">
        <f>IFERROR(VLOOKUP($C105,'DISPUTES RAW (VQA)'!$N:$U,8,FALSE),"-")</f>
        <v>-</v>
      </c>
      <c r="AB105" s="50">
        <f>IFERROR(VLOOKUP($C105,'ATTENDANCE RAW'!$E:$R,13,FALSE),"-")</f>
        <v>0.95454545454545459</v>
      </c>
      <c r="AC105" s="50">
        <f>IFERROR(IF($E105="Voice QA",IF(AVERAGEIFS('KC RAW'!$J:$J,'KC RAW'!$B:$B,RESOURCES!$C105)=0,"-",AVERAGEIFS('KC RAW'!$J:$J,'KC RAW'!$B:$B,RESOURCES!$C105)),IF(AVERAGEIFS('KC RAW'!$H:$H,'KC RAW'!$B:$B,RESOURCES!$C105)=0,"-",AVERAGEIFS('KC RAW'!$H:$H,'KC RAW'!$B:$B,RESOURCES!$C105))),"-")</f>
        <v>0.9</v>
      </c>
      <c r="AD105" s="50" t="str">
        <f>IFERROR(AVERAGEIFS('CE RAW'!$G:$G,'CE RAW'!$E:$E,RESOURCES!$C105),"-")</f>
        <v>-</v>
      </c>
      <c r="AE105" s="50" t="str">
        <f>IFERROR(VLOOKUP($C105,'FCR RAW'!$A:$I,7,FALSE),"-")</f>
        <v>-</v>
      </c>
      <c r="AF105" s="50" t="str">
        <f>IFERROR(IF(VLOOKUP($C105,'BONUS RAW'!$D:$I,6,FALSE)=100%,100%,"-"),"-")</f>
        <v>-</v>
      </c>
      <c r="AG105" s="52">
        <f t="shared" si="12"/>
        <v>0.85717642911105518</v>
      </c>
      <c r="AH105" s="56">
        <f t="shared" si="9"/>
        <v>122</v>
      </c>
      <c r="AI105" s="57">
        <f t="shared" si="13"/>
        <v>0.85717642911105518</v>
      </c>
      <c r="AJ105" s="57">
        <f t="shared" si="14"/>
        <v>0.81431760765550243</v>
      </c>
      <c r="AK105" s="325" t="str">
        <f>IFERROR(VLOOKUP($C105,'ATTRITION RAW'!$E:$J,6,FALSE),"-")</f>
        <v>-</v>
      </c>
      <c r="AL105" s="176" t="str">
        <f t="shared" si="15"/>
        <v>-</v>
      </c>
      <c r="AM105" s="454">
        <f>IFERROR(VLOOKUP($C105,'CHURN RAW'!$A:$G,7,FALSE),"-")</f>
        <v>7.6899999999999996E-2</v>
      </c>
      <c r="AN105" s="456" t="str">
        <f t="shared" si="10"/>
        <v>QUALITY - DESIGNERS</v>
      </c>
    </row>
    <row r="106" spans="2:40">
      <c r="B106" s="637">
        <f t="shared" si="16"/>
        <v>103</v>
      </c>
      <c r="C106" s="93">
        <v>10071306</v>
      </c>
      <c r="D106" s="93" t="s">
        <v>206</v>
      </c>
      <c r="E106" s="88" t="s">
        <v>83</v>
      </c>
      <c r="F106" s="88" t="s">
        <v>200</v>
      </c>
      <c r="G106" s="88" t="s">
        <v>170</v>
      </c>
      <c r="H106" s="88" t="s">
        <v>85</v>
      </c>
      <c r="I106" s="88" t="s">
        <v>86</v>
      </c>
      <c r="J106" s="638"/>
      <c r="K106" s="638">
        <f t="shared" si="17"/>
        <v>43739</v>
      </c>
      <c r="L106" s="639" t="str">
        <f t="shared" si="11"/>
        <v>Expert</v>
      </c>
      <c r="M106" s="53">
        <f>IFERROR(VLOOKUP($E106,KPI!$B:$T,MATCH(RESOURCES!M$3,KPI!$B$1:$T$1,0),FALSE),"-")</f>
        <v>0.25</v>
      </c>
      <c r="N106" s="53">
        <f>IFERROR(VLOOKUP($E106,KPI!$B:$T,MATCH(RESOURCES!N$3,KPI!$B$1:$T$1,0),FALSE),"-")</f>
        <v>0.25</v>
      </c>
      <c r="O106" s="53">
        <f>IFERROR(VLOOKUP($E106,KPI!$B:$T,MATCH(RESOURCES!O$3,KPI!$B$1:$T$1,0),FALSE),"-")</f>
        <v>0.1</v>
      </c>
      <c r="P106" s="53" t="str">
        <f>IFERROR(VLOOKUP($E106,KPI!$B:$T,MATCH(RESOURCES!P$3,KPI!$B$1:$T$1,0),FALSE),"-")</f>
        <v>-</v>
      </c>
      <c r="Q106" s="53" t="str">
        <f>IFERROR(VLOOKUP($E106,KPI!$B:$T,MATCH(RESOURCES!Q$3,KPI!$B$1:$T$1,0),FALSE),"-")</f>
        <v>-</v>
      </c>
      <c r="R106" s="53">
        <f>IFERROR(VLOOKUP($E106,KPI!$B:$T,MATCH(RESOURCES!R$3,KPI!$B$1:$T$1,0),FALSE),"-")</f>
        <v>0.15</v>
      </c>
      <c r="S106" s="53">
        <f>IFERROR(VLOOKUP($E106,KPI!$B:$T,MATCH(RESOURCES!S$3,KPI!$B$1:$T$1,0),FALSE),"-")</f>
        <v>0.2</v>
      </c>
      <c r="T106" s="53" t="str">
        <f>IFERROR(VLOOKUP($E106,KPI!$B:$T,MATCH(RESOURCES!T$3,KPI!$B$1:$T$1,0),FALSE),"-")</f>
        <v>-</v>
      </c>
      <c r="U106" s="53" t="str">
        <f>IFERROR(VLOOKUP($E106,KPI!$B:$T,MATCH(RESOURCES!U$3,KPI!$B$1:$T$1,0),FALSE),"-")</f>
        <v>-</v>
      </c>
      <c r="V106" s="53">
        <f>IFERROR(VLOOKUP($E106,KPI!$B:$T,MATCH(RESOURCES!V$3,KPI!$B$1:$T$1,0),FALSE),"-")</f>
        <v>0.05</v>
      </c>
      <c r="W106" s="50">
        <f>IFERROR(VLOOKUP($C106,'PRODUCTIVITY RAW'!$B:$Q,16,FALSE),"-")</f>
        <v>0.95673611111111179</v>
      </c>
      <c r="X106" s="50">
        <f>IFERROR(VLOOKUP($C106,'CHURN RAW'!$A:$H,8,FALSE),"-")</f>
        <v>0.8</v>
      </c>
      <c r="Y106" s="50">
        <f>IFERROR(IF(AVERAGEIFS('QA RAW'!$G:$G,'QA RAW'!$E:$E,RESOURCES!$C106)=0,"-",AVERAGEIFS('QA RAW'!$G:$G,'QA RAW'!$E:$E,RESOURCES!$C106)),"-")</f>
        <v>0.99629999999999996</v>
      </c>
      <c r="Z106" s="50" t="str">
        <f>IFERROR(VLOOKUP($C106,'PR CALIBRATION RAW'!$K:$S,MATCH(RESOURCES!Z$3,'PR CALIBRATION RAW'!$K$1:$S$1,0),FALSE),"-")</f>
        <v>-</v>
      </c>
      <c r="AA106" s="50" t="str">
        <f>IFERROR(VLOOKUP($C106,'DISPUTES RAW (VQA)'!$N:$U,8,FALSE),"-")</f>
        <v>-</v>
      </c>
      <c r="AB106" s="50">
        <f>IFERROR(VLOOKUP($C106,'ATTENDANCE RAW'!$E:$R,13,FALSE),"-")</f>
        <v>0.90909090909090906</v>
      </c>
      <c r="AC106" s="50">
        <f>IFERROR(IF($E106="Voice QA",IF(AVERAGEIFS('KC RAW'!$J:$J,'KC RAW'!$B:$B,RESOURCES!$C106)=0,"-",AVERAGEIFS('KC RAW'!$J:$J,'KC RAW'!$B:$B,RESOURCES!$C106)),IF(AVERAGEIFS('KC RAW'!$H:$H,'KC RAW'!$B:$B,RESOURCES!$C106)=0,"-",AVERAGEIFS('KC RAW'!$H:$H,'KC RAW'!$B:$B,RESOURCES!$C106))),"-")</f>
        <v>0.8</v>
      </c>
      <c r="AD106" s="50" t="str">
        <f>IFERROR(AVERAGEIFS('CE RAW'!$G:$G,'CE RAW'!$E:$E,RESOURCES!$C106),"-")</f>
        <v>-</v>
      </c>
      <c r="AE106" s="50" t="str">
        <f>IFERROR(VLOOKUP($C106,'FCR RAW'!$A:$I,7,FALSE),"-")</f>
        <v>-</v>
      </c>
      <c r="AF106" s="50">
        <f>IFERROR(IF(VLOOKUP($C106,'BONUS RAW'!$D:$I,6,FALSE)=100%,100%,"-"),"-")</f>
        <v>1</v>
      </c>
      <c r="AG106" s="52">
        <f t="shared" si="12"/>
        <v>0.88517766414141441</v>
      </c>
      <c r="AH106" s="56">
        <f t="shared" si="9"/>
        <v>102</v>
      </c>
      <c r="AI106" s="57">
        <f t="shared" si="13"/>
        <v>0.87913438330675198</v>
      </c>
      <c r="AJ106" s="57">
        <f t="shared" si="14"/>
        <v>0.88517766414141441</v>
      </c>
      <c r="AK106" s="325" t="str">
        <f>IFERROR(VLOOKUP($C106,'ATTRITION RAW'!$E:$J,6,FALSE),"-")</f>
        <v>-</v>
      </c>
      <c r="AL106" s="176" t="str">
        <f t="shared" si="15"/>
        <v>-</v>
      </c>
      <c r="AM106" s="454">
        <f>IFERROR(VLOOKUP($C106,'CHURN RAW'!$A:$G,7,FALSE),"-")</f>
        <v>0.23810000000000001</v>
      </c>
      <c r="AN106" s="456" t="str">
        <f t="shared" si="10"/>
        <v>QUALITY - DESIGNERS</v>
      </c>
    </row>
    <row r="107" spans="2:40">
      <c r="B107" s="637">
        <f t="shared" si="16"/>
        <v>104</v>
      </c>
      <c r="C107" s="93">
        <v>10072517</v>
      </c>
      <c r="D107" s="93" t="s">
        <v>207</v>
      </c>
      <c r="E107" s="88" t="s">
        <v>83</v>
      </c>
      <c r="F107" s="88" t="s">
        <v>200</v>
      </c>
      <c r="G107" s="88" t="s">
        <v>170</v>
      </c>
      <c r="H107" s="88" t="s">
        <v>85</v>
      </c>
      <c r="I107" s="88" t="s">
        <v>86</v>
      </c>
      <c r="J107" s="638"/>
      <c r="K107" s="638">
        <f t="shared" si="17"/>
        <v>43739</v>
      </c>
      <c r="L107" s="639" t="str">
        <f t="shared" si="11"/>
        <v>Expert</v>
      </c>
      <c r="M107" s="53">
        <f>IFERROR(VLOOKUP($E107,KPI!$B:$T,MATCH(RESOURCES!M$3,KPI!$B$1:$T$1,0),FALSE),"-")</f>
        <v>0.25</v>
      </c>
      <c r="N107" s="53">
        <f>IFERROR(VLOOKUP($E107,KPI!$B:$T,MATCH(RESOURCES!N$3,KPI!$B$1:$T$1,0),FALSE),"-")</f>
        <v>0.25</v>
      </c>
      <c r="O107" s="53">
        <f>IFERROR(VLOOKUP($E107,KPI!$B:$T,MATCH(RESOURCES!O$3,KPI!$B$1:$T$1,0),FALSE),"-")</f>
        <v>0.1</v>
      </c>
      <c r="P107" s="53" t="str">
        <f>IFERROR(VLOOKUP($E107,KPI!$B:$T,MATCH(RESOURCES!P$3,KPI!$B$1:$T$1,0),FALSE),"-")</f>
        <v>-</v>
      </c>
      <c r="Q107" s="53" t="str">
        <f>IFERROR(VLOOKUP($E107,KPI!$B:$T,MATCH(RESOURCES!Q$3,KPI!$B$1:$T$1,0),FALSE),"-")</f>
        <v>-</v>
      </c>
      <c r="R107" s="53">
        <f>IFERROR(VLOOKUP($E107,KPI!$B:$T,MATCH(RESOURCES!R$3,KPI!$B$1:$T$1,0),FALSE),"-")</f>
        <v>0.15</v>
      </c>
      <c r="S107" s="53">
        <f>IFERROR(VLOOKUP($E107,KPI!$B:$T,MATCH(RESOURCES!S$3,KPI!$B$1:$T$1,0),FALSE),"-")</f>
        <v>0.2</v>
      </c>
      <c r="T107" s="53" t="str">
        <f>IFERROR(VLOOKUP($E107,KPI!$B:$T,MATCH(RESOURCES!T$3,KPI!$B$1:$T$1,0),FALSE),"-")</f>
        <v>-</v>
      </c>
      <c r="U107" s="53" t="str">
        <f>IFERROR(VLOOKUP($E107,KPI!$B:$T,MATCH(RESOURCES!U$3,KPI!$B$1:$T$1,0),FALSE),"-")</f>
        <v>-</v>
      </c>
      <c r="V107" s="53">
        <f>IFERROR(VLOOKUP($E107,KPI!$B:$T,MATCH(RESOURCES!V$3,KPI!$B$1:$T$1,0),FALSE),"-")</f>
        <v>0.05</v>
      </c>
      <c r="W107" s="50">
        <f>IFERROR(VLOOKUP($C107,'PRODUCTIVITY RAW'!$B:$Q,16,FALSE),"-")</f>
        <v>0.66326923076923072</v>
      </c>
      <c r="X107" s="50">
        <f>IFERROR(VLOOKUP($C107,'CHURN RAW'!$A:$H,8,FALSE),"-")</f>
        <v>0.8</v>
      </c>
      <c r="Y107" s="50">
        <f>IFERROR(IF(AVERAGEIFS('QA RAW'!$G:$G,'QA RAW'!$E:$E,RESOURCES!$C107)=0,"-",AVERAGEIFS('QA RAW'!$G:$G,'QA RAW'!$E:$E,RESOURCES!$C107)),"-")</f>
        <v>0.99339999999999995</v>
      </c>
      <c r="Z107" s="50" t="str">
        <f>IFERROR(VLOOKUP($C107,'PR CALIBRATION RAW'!$K:$S,MATCH(RESOURCES!Z$3,'PR CALIBRATION RAW'!$K$1:$S$1,0),FALSE),"-")</f>
        <v>-</v>
      </c>
      <c r="AA107" s="50" t="str">
        <f>IFERROR(VLOOKUP($C107,'DISPUTES RAW (VQA)'!$N:$U,8,FALSE),"-")</f>
        <v>-</v>
      </c>
      <c r="AB107" s="50">
        <f>IFERROR(VLOOKUP($C107,'ATTENDANCE RAW'!$E:$R,13,FALSE),"-")</f>
        <v>1</v>
      </c>
      <c r="AC107" s="50">
        <f>IFERROR(IF($E107="Voice QA",IF(AVERAGEIFS('KC RAW'!$J:$J,'KC RAW'!$B:$B,RESOURCES!$C107)=0,"-",AVERAGEIFS('KC RAW'!$J:$J,'KC RAW'!$B:$B,RESOURCES!$C107)),IF(AVERAGEIFS('KC RAW'!$H:$H,'KC RAW'!$B:$B,RESOURCES!$C107)=0,"-",AVERAGEIFS('KC RAW'!$H:$H,'KC RAW'!$B:$B,RESOURCES!$C107))),"-")</f>
        <v>0.85</v>
      </c>
      <c r="AD107" s="50" t="str">
        <f>IFERROR(AVERAGEIFS('CE RAW'!$G:$G,'CE RAW'!$E:$E,RESOURCES!$C107),"-")</f>
        <v>-</v>
      </c>
      <c r="AE107" s="50" t="str">
        <f>IFERROR(VLOOKUP($C107,'FCR RAW'!$A:$I,7,FALSE),"-")</f>
        <v>-</v>
      </c>
      <c r="AF107" s="50">
        <f>IFERROR(IF(VLOOKUP($C107,'BONUS RAW'!$D:$I,6,FALSE)=100%,100%,"-"),"-")</f>
        <v>1</v>
      </c>
      <c r="AG107" s="52">
        <f t="shared" si="12"/>
        <v>0.83515730769230778</v>
      </c>
      <c r="AH107" s="56">
        <f t="shared" si="9"/>
        <v>136</v>
      </c>
      <c r="AI107" s="57">
        <f t="shared" si="13"/>
        <v>0.82648137651821874</v>
      </c>
      <c r="AJ107" s="57">
        <f t="shared" si="14"/>
        <v>0.83515730769230778</v>
      </c>
      <c r="AK107" s="325" t="str">
        <f>IFERROR(VLOOKUP($C107,'ATTRITION RAW'!$E:$J,6,FALSE),"-")</f>
        <v>-</v>
      </c>
      <c r="AL107" s="176" t="str">
        <f t="shared" si="15"/>
        <v>-</v>
      </c>
      <c r="AM107" s="454">
        <f>IFERROR(VLOOKUP($C107,'CHURN RAW'!$A:$G,7,FALSE),"-")</f>
        <v>0.1905</v>
      </c>
      <c r="AN107" s="456" t="str">
        <f t="shared" si="10"/>
        <v>QUALITY - DESIGNERS</v>
      </c>
    </row>
    <row r="108" spans="2:40">
      <c r="B108" s="637">
        <f t="shared" si="16"/>
        <v>105</v>
      </c>
      <c r="C108" s="93">
        <v>10072204</v>
      </c>
      <c r="D108" s="93" t="s">
        <v>208</v>
      </c>
      <c r="E108" s="88" t="s">
        <v>83</v>
      </c>
      <c r="F108" s="88" t="s">
        <v>200</v>
      </c>
      <c r="G108" s="88" t="s">
        <v>170</v>
      </c>
      <c r="H108" s="88" t="s">
        <v>85</v>
      </c>
      <c r="I108" s="88" t="s">
        <v>86</v>
      </c>
      <c r="J108" s="638"/>
      <c r="K108" s="638">
        <f t="shared" si="17"/>
        <v>43739</v>
      </c>
      <c r="L108" s="639" t="str">
        <f t="shared" si="11"/>
        <v>Expert</v>
      </c>
      <c r="M108" s="53">
        <f>IFERROR(VLOOKUP($E108,KPI!$B:$T,MATCH(RESOURCES!M$3,KPI!$B$1:$T$1,0),FALSE),"-")</f>
        <v>0.25</v>
      </c>
      <c r="N108" s="53">
        <f>IFERROR(VLOOKUP($E108,KPI!$B:$T,MATCH(RESOURCES!N$3,KPI!$B$1:$T$1,0),FALSE),"-")</f>
        <v>0.25</v>
      </c>
      <c r="O108" s="53">
        <f>IFERROR(VLOOKUP($E108,KPI!$B:$T,MATCH(RESOURCES!O$3,KPI!$B$1:$T$1,0),FALSE),"-")</f>
        <v>0.1</v>
      </c>
      <c r="P108" s="53" t="str">
        <f>IFERROR(VLOOKUP($E108,KPI!$B:$T,MATCH(RESOURCES!P$3,KPI!$B$1:$T$1,0),FALSE),"-")</f>
        <v>-</v>
      </c>
      <c r="Q108" s="53" t="str">
        <f>IFERROR(VLOOKUP($E108,KPI!$B:$T,MATCH(RESOURCES!Q$3,KPI!$B$1:$T$1,0),FALSE),"-")</f>
        <v>-</v>
      </c>
      <c r="R108" s="53">
        <f>IFERROR(VLOOKUP($E108,KPI!$B:$T,MATCH(RESOURCES!R$3,KPI!$B$1:$T$1,0),FALSE),"-")</f>
        <v>0.15</v>
      </c>
      <c r="S108" s="53">
        <f>IFERROR(VLOOKUP($E108,KPI!$B:$T,MATCH(RESOURCES!S$3,KPI!$B$1:$T$1,0),FALSE),"-")</f>
        <v>0.2</v>
      </c>
      <c r="T108" s="53" t="str">
        <f>IFERROR(VLOOKUP($E108,KPI!$B:$T,MATCH(RESOURCES!T$3,KPI!$B$1:$T$1,0),FALSE),"-")</f>
        <v>-</v>
      </c>
      <c r="U108" s="53" t="str">
        <f>IFERROR(VLOOKUP($E108,KPI!$B:$T,MATCH(RESOURCES!U$3,KPI!$B$1:$T$1,0),FALSE),"-")</f>
        <v>-</v>
      </c>
      <c r="V108" s="53">
        <f>IFERROR(VLOOKUP($E108,KPI!$B:$T,MATCH(RESOURCES!V$3,KPI!$B$1:$T$1,0),FALSE),"-")</f>
        <v>0.05</v>
      </c>
      <c r="W108" s="50">
        <f>IFERROR(VLOOKUP($C108,'PRODUCTIVITY RAW'!$B:$Q,16,FALSE),"-")</f>
        <v>0.88556043956043962</v>
      </c>
      <c r="X108" s="50">
        <f>IFERROR(VLOOKUP($C108,'CHURN RAW'!$A:$H,8,FALSE),"-")</f>
        <v>1</v>
      </c>
      <c r="Y108" s="50">
        <f>IFERROR(IF(AVERAGEIFS('QA RAW'!$G:$G,'QA RAW'!$E:$E,RESOURCES!$C108)=0,"-",AVERAGEIFS('QA RAW'!$G:$G,'QA RAW'!$E:$E,RESOURCES!$C108)),"-")</f>
        <v>1</v>
      </c>
      <c r="Z108" s="50" t="str">
        <f>IFERROR(VLOOKUP($C108,'PR CALIBRATION RAW'!$K:$S,MATCH(RESOURCES!Z$3,'PR CALIBRATION RAW'!$K$1:$S$1,0),FALSE),"-")</f>
        <v>-</v>
      </c>
      <c r="AA108" s="50" t="str">
        <f>IFERROR(VLOOKUP($C108,'DISPUTES RAW (VQA)'!$N:$U,8,FALSE),"-")</f>
        <v>-</v>
      </c>
      <c r="AB108" s="50">
        <f>IFERROR(VLOOKUP($C108,'ATTENDANCE RAW'!$E:$R,13,FALSE),"-")</f>
        <v>0.95454545454545459</v>
      </c>
      <c r="AC108" s="50">
        <f>IFERROR(IF($E108="Voice QA",IF(AVERAGEIFS('KC RAW'!$J:$J,'KC RAW'!$B:$B,RESOURCES!$C108)=0,"-",AVERAGEIFS('KC RAW'!$J:$J,'KC RAW'!$B:$B,RESOURCES!$C108)),IF(AVERAGEIFS('KC RAW'!$H:$H,'KC RAW'!$B:$B,RESOURCES!$C108)=0,"-",AVERAGEIFS('KC RAW'!$H:$H,'KC RAW'!$B:$B,RESOURCES!$C108))),"-")</f>
        <v>0.85000000000000009</v>
      </c>
      <c r="AD108" s="50" t="str">
        <f>IFERROR(AVERAGEIFS('CE RAW'!$G:$G,'CE RAW'!$E:$E,RESOURCES!$C108),"-")</f>
        <v>-</v>
      </c>
      <c r="AE108" s="50" t="str">
        <f>IFERROR(VLOOKUP($C108,'FCR RAW'!$A:$I,7,FALSE),"-")</f>
        <v>-</v>
      </c>
      <c r="AF108" s="50">
        <f>IFERROR(IF(VLOOKUP($C108,'BONUS RAW'!$D:$I,6,FALSE)=100%,100%,"-"),"-")</f>
        <v>1</v>
      </c>
      <c r="AG108" s="52">
        <f t="shared" si="12"/>
        <v>0.93457192807192813</v>
      </c>
      <c r="AH108" s="56">
        <f t="shared" si="9"/>
        <v>50</v>
      </c>
      <c r="AI108" s="57">
        <f t="shared" si="13"/>
        <v>0.93112834533887168</v>
      </c>
      <c r="AJ108" s="57">
        <f t="shared" si="14"/>
        <v>0.93457192807192813</v>
      </c>
      <c r="AK108" s="325" t="str">
        <f>IFERROR(VLOOKUP($C108,'ATTRITION RAW'!$E:$J,6,FALSE),"-")</f>
        <v>-</v>
      </c>
      <c r="AL108" s="176" t="str">
        <f t="shared" si="15"/>
        <v>-</v>
      </c>
      <c r="AM108" s="454">
        <f>IFERROR(VLOOKUP($C108,'CHURN RAW'!$A:$G,7,FALSE),"-")</f>
        <v>0</v>
      </c>
      <c r="AN108" s="456" t="str">
        <f t="shared" si="10"/>
        <v>QUALITY - DESIGNERS</v>
      </c>
    </row>
    <row r="109" spans="2:40">
      <c r="B109" s="637">
        <f t="shared" si="16"/>
        <v>106</v>
      </c>
      <c r="C109" s="93">
        <v>10072445</v>
      </c>
      <c r="D109" s="93" t="s">
        <v>209</v>
      </c>
      <c r="E109" s="88" t="s">
        <v>83</v>
      </c>
      <c r="F109" s="88" t="s">
        <v>200</v>
      </c>
      <c r="G109" s="88" t="s">
        <v>170</v>
      </c>
      <c r="H109" s="88" t="s">
        <v>85</v>
      </c>
      <c r="I109" s="88" t="s">
        <v>86</v>
      </c>
      <c r="J109" s="638"/>
      <c r="K109" s="638">
        <f t="shared" si="17"/>
        <v>43739</v>
      </c>
      <c r="L109" s="639" t="str">
        <f t="shared" si="11"/>
        <v>Expert</v>
      </c>
      <c r="M109" s="53">
        <f>IFERROR(VLOOKUP($E109,KPI!$B:$T,MATCH(RESOURCES!M$3,KPI!$B$1:$T$1,0),FALSE),"-")</f>
        <v>0.25</v>
      </c>
      <c r="N109" s="53">
        <f>IFERROR(VLOOKUP($E109,KPI!$B:$T,MATCH(RESOURCES!N$3,KPI!$B$1:$T$1,0),FALSE),"-")</f>
        <v>0.25</v>
      </c>
      <c r="O109" s="53">
        <f>IFERROR(VLOOKUP($E109,KPI!$B:$T,MATCH(RESOURCES!O$3,KPI!$B$1:$T$1,0),FALSE),"-")</f>
        <v>0.1</v>
      </c>
      <c r="P109" s="53" t="str">
        <f>IFERROR(VLOOKUP($E109,KPI!$B:$T,MATCH(RESOURCES!P$3,KPI!$B$1:$T$1,0),FALSE),"-")</f>
        <v>-</v>
      </c>
      <c r="Q109" s="53" t="str">
        <f>IFERROR(VLOOKUP($E109,KPI!$B:$T,MATCH(RESOURCES!Q$3,KPI!$B$1:$T$1,0),FALSE),"-")</f>
        <v>-</v>
      </c>
      <c r="R109" s="53">
        <f>IFERROR(VLOOKUP($E109,KPI!$B:$T,MATCH(RESOURCES!R$3,KPI!$B$1:$T$1,0),FALSE),"-")</f>
        <v>0.15</v>
      </c>
      <c r="S109" s="53">
        <f>IFERROR(VLOOKUP($E109,KPI!$B:$T,MATCH(RESOURCES!S$3,KPI!$B$1:$T$1,0),FALSE),"-")</f>
        <v>0.2</v>
      </c>
      <c r="T109" s="53" t="str">
        <f>IFERROR(VLOOKUP($E109,KPI!$B:$T,MATCH(RESOURCES!T$3,KPI!$B$1:$T$1,0),FALSE),"-")</f>
        <v>-</v>
      </c>
      <c r="U109" s="53" t="str">
        <f>IFERROR(VLOOKUP($E109,KPI!$B:$T,MATCH(RESOURCES!U$3,KPI!$B$1:$T$1,0),FALSE),"-")</f>
        <v>-</v>
      </c>
      <c r="V109" s="53">
        <f>IFERROR(VLOOKUP($E109,KPI!$B:$T,MATCH(RESOURCES!V$3,KPI!$B$1:$T$1,0),FALSE),"-")</f>
        <v>0.05</v>
      </c>
      <c r="W109" s="50">
        <f>IFERROR(VLOOKUP($C109,'PRODUCTIVITY RAW'!$B:$Q,16,FALSE),"-")</f>
        <v>1</v>
      </c>
      <c r="X109" s="50">
        <f>IFERROR(VLOOKUP($C109,'CHURN RAW'!$A:$H,8,FALSE),"-")</f>
        <v>0.9</v>
      </c>
      <c r="Y109" s="50">
        <f>IFERROR(IF(AVERAGEIFS('QA RAW'!$G:$G,'QA RAW'!$E:$E,RESOURCES!$C109)=0,"-",AVERAGEIFS('QA RAW'!$G:$G,'QA RAW'!$E:$E,RESOURCES!$C109)),"-")</f>
        <v>0.99770000000000003</v>
      </c>
      <c r="Z109" s="50" t="str">
        <f>IFERROR(VLOOKUP($C109,'PR CALIBRATION RAW'!$K:$S,MATCH(RESOURCES!Z$3,'PR CALIBRATION RAW'!$K$1:$S$1,0),FALSE),"-")</f>
        <v>-</v>
      </c>
      <c r="AA109" s="50" t="str">
        <f>IFERROR(VLOOKUP($C109,'DISPUTES RAW (VQA)'!$N:$U,8,FALSE),"-")</f>
        <v>-</v>
      </c>
      <c r="AB109" s="50">
        <f>IFERROR(VLOOKUP($C109,'ATTENDANCE RAW'!$E:$R,13,FALSE),"-")</f>
        <v>1</v>
      </c>
      <c r="AC109" s="50">
        <f>IFERROR(IF($E109="Voice QA",IF(AVERAGEIFS('KC RAW'!$J:$J,'KC RAW'!$B:$B,RESOURCES!$C109)=0,"-",AVERAGEIFS('KC RAW'!$J:$J,'KC RAW'!$B:$B,RESOURCES!$C109)),IF(AVERAGEIFS('KC RAW'!$H:$H,'KC RAW'!$B:$B,RESOURCES!$C109)=0,"-",AVERAGEIFS('KC RAW'!$H:$H,'KC RAW'!$B:$B,RESOURCES!$C109))),"-")</f>
        <v>0.8</v>
      </c>
      <c r="AD109" s="50" t="str">
        <f>IFERROR(AVERAGEIFS('CE RAW'!$G:$G,'CE RAW'!$E:$E,RESOURCES!$C109),"-")</f>
        <v>-</v>
      </c>
      <c r="AE109" s="50" t="str">
        <f>IFERROR(VLOOKUP($C109,'FCR RAW'!$A:$I,7,FALSE),"-")</f>
        <v>-</v>
      </c>
      <c r="AF109" s="50">
        <f>IFERROR(IF(VLOOKUP($C109,'BONUS RAW'!$D:$I,6,FALSE)=100%,100%,"-"),"-")</f>
        <v>1</v>
      </c>
      <c r="AG109" s="52">
        <f t="shared" si="12"/>
        <v>0.9347700000000001</v>
      </c>
      <c r="AH109" s="56">
        <f t="shared" si="9"/>
        <v>49</v>
      </c>
      <c r="AI109" s="57">
        <f t="shared" si="13"/>
        <v>0.93133684210526324</v>
      </c>
      <c r="AJ109" s="57">
        <f t="shared" si="14"/>
        <v>0.9347700000000001</v>
      </c>
      <c r="AK109" s="325" t="str">
        <f>IFERROR(VLOOKUP($C109,'ATTRITION RAW'!$E:$J,6,FALSE),"-")</f>
        <v>-</v>
      </c>
      <c r="AL109" s="176" t="str">
        <f t="shared" si="15"/>
        <v>-</v>
      </c>
      <c r="AM109" s="454">
        <f>IFERROR(VLOOKUP($C109,'CHURN RAW'!$A:$G,7,FALSE),"-")</f>
        <v>0.1176</v>
      </c>
      <c r="AN109" s="456" t="str">
        <f t="shared" si="10"/>
        <v>QUALITY - DESIGNERS</v>
      </c>
    </row>
    <row r="110" spans="2:40">
      <c r="B110" s="637">
        <f t="shared" si="16"/>
        <v>107</v>
      </c>
      <c r="C110" s="93">
        <v>10071728</v>
      </c>
      <c r="D110" s="93" t="s">
        <v>210</v>
      </c>
      <c r="E110" s="88" t="s">
        <v>83</v>
      </c>
      <c r="F110" s="88" t="s">
        <v>200</v>
      </c>
      <c r="G110" s="88" t="s">
        <v>170</v>
      </c>
      <c r="H110" s="88" t="s">
        <v>85</v>
      </c>
      <c r="I110" s="88" t="s">
        <v>86</v>
      </c>
      <c r="J110" s="638"/>
      <c r="K110" s="638">
        <f t="shared" si="17"/>
        <v>43739</v>
      </c>
      <c r="L110" s="639" t="str">
        <f t="shared" si="11"/>
        <v>Expert</v>
      </c>
      <c r="M110" s="53">
        <f>IFERROR(VLOOKUP($E110,KPI!$B:$T,MATCH(RESOURCES!M$3,KPI!$B$1:$T$1,0),FALSE),"-")</f>
        <v>0.25</v>
      </c>
      <c r="N110" s="53">
        <f>IFERROR(VLOOKUP($E110,KPI!$B:$T,MATCH(RESOURCES!N$3,KPI!$B$1:$T$1,0),FALSE),"-")</f>
        <v>0.25</v>
      </c>
      <c r="O110" s="53">
        <f>IFERROR(VLOOKUP($E110,KPI!$B:$T,MATCH(RESOURCES!O$3,KPI!$B$1:$T$1,0),FALSE),"-")</f>
        <v>0.1</v>
      </c>
      <c r="P110" s="53" t="str">
        <f>IFERROR(VLOOKUP($E110,KPI!$B:$T,MATCH(RESOURCES!P$3,KPI!$B$1:$T$1,0),FALSE),"-")</f>
        <v>-</v>
      </c>
      <c r="Q110" s="53" t="str">
        <f>IFERROR(VLOOKUP($E110,KPI!$B:$T,MATCH(RESOURCES!Q$3,KPI!$B$1:$T$1,0),FALSE),"-")</f>
        <v>-</v>
      </c>
      <c r="R110" s="53">
        <f>IFERROR(VLOOKUP($E110,KPI!$B:$T,MATCH(RESOURCES!R$3,KPI!$B$1:$T$1,0),FALSE),"-")</f>
        <v>0.15</v>
      </c>
      <c r="S110" s="53">
        <f>IFERROR(VLOOKUP($E110,KPI!$B:$T,MATCH(RESOURCES!S$3,KPI!$B$1:$T$1,0),FALSE),"-")</f>
        <v>0.2</v>
      </c>
      <c r="T110" s="53" t="str">
        <f>IFERROR(VLOOKUP($E110,KPI!$B:$T,MATCH(RESOURCES!T$3,KPI!$B$1:$T$1,0),FALSE),"-")</f>
        <v>-</v>
      </c>
      <c r="U110" s="53" t="str">
        <f>IFERROR(VLOOKUP($E110,KPI!$B:$T,MATCH(RESOURCES!U$3,KPI!$B$1:$T$1,0),FALSE),"-")</f>
        <v>-</v>
      </c>
      <c r="V110" s="53">
        <f>IFERROR(VLOOKUP($E110,KPI!$B:$T,MATCH(RESOURCES!V$3,KPI!$B$1:$T$1,0),FALSE),"-")</f>
        <v>0.05</v>
      </c>
      <c r="W110" s="50">
        <f>IFERROR(VLOOKUP($C110,'PRODUCTIVITY RAW'!$B:$Q,16,FALSE),"-")</f>
        <v>0.70948616600790515</v>
      </c>
      <c r="X110" s="50">
        <f>IFERROR(VLOOKUP($C110,'CHURN RAW'!$A:$H,8,FALSE),"-")</f>
        <v>0.9</v>
      </c>
      <c r="Y110" s="50">
        <f>IFERROR(IF(AVERAGEIFS('QA RAW'!$G:$G,'QA RAW'!$E:$E,RESOURCES!$C110)=0,"-",AVERAGEIFS('QA RAW'!$G:$G,'QA RAW'!$E:$E,RESOURCES!$C110)),"-")</f>
        <v>0.99750000000000005</v>
      </c>
      <c r="Z110" s="50" t="str">
        <f>IFERROR(VLOOKUP($C110,'PR CALIBRATION RAW'!$K:$S,MATCH(RESOURCES!Z$3,'PR CALIBRATION RAW'!$K$1:$S$1,0),FALSE),"-")</f>
        <v>-</v>
      </c>
      <c r="AA110" s="50" t="str">
        <f>IFERROR(VLOOKUP($C110,'DISPUTES RAW (VQA)'!$N:$U,8,FALSE),"-")</f>
        <v>-</v>
      </c>
      <c r="AB110" s="50">
        <f>IFERROR(VLOOKUP($C110,'ATTENDANCE RAW'!$E:$R,13,FALSE),"-")</f>
        <v>1</v>
      </c>
      <c r="AC110" s="50">
        <f>IFERROR(IF($E110="Voice QA",IF(AVERAGEIFS('KC RAW'!$J:$J,'KC RAW'!$B:$B,RESOURCES!$C110)=0,"-",AVERAGEIFS('KC RAW'!$J:$J,'KC RAW'!$B:$B,RESOURCES!$C110)),IF(AVERAGEIFS('KC RAW'!$H:$H,'KC RAW'!$B:$B,RESOURCES!$C110)=0,"-",AVERAGEIFS('KC RAW'!$H:$H,'KC RAW'!$B:$B,RESOURCES!$C110))),"-")</f>
        <v>0.7</v>
      </c>
      <c r="AD110" s="50" t="str">
        <f>IFERROR(AVERAGEIFS('CE RAW'!$G:$G,'CE RAW'!$E:$E,RESOURCES!$C110),"-")</f>
        <v>-</v>
      </c>
      <c r="AE110" s="50" t="str">
        <f>IFERROR(VLOOKUP($C110,'FCR RAW'!$A:$I,7,FALSE),"-")</f>
        <v>-</v>
      </c>
      <c r="AF110" s="50">
        <f>IFERROR(IF(VLOOKUP($C110,'BONUS RAW'!$D:$I,6,FALSE)=100%,100%,"-"),"-")</f>
        <v>1</v>
      </c>
      <c r="AG110" s="52">
        <f t="shared" si="12"/>
        <v>0.84212154150197638</v>
      </c>
      <c r="AH110" s="56">
        <f t="shared" si="9"/>
        <v>130</v>
      </c>
      <c r="AI110" s="57">
        <f t="shared" si="13"/>
        <v>0.83381214894944877</v>
      </c>
      <c r="AJ110" s="57">
        <f t="shared" si="14"/>
        <v>0.84212154150197638</v>
      </c>
      <c r="AK110" s="325" t="str">
        <f>IFERROR(VLOOKUP($C110,'ATTRITION RAW'!$E:$J,6,FALSE),"-")</f>
        <v>-</v>
      </c>
      <c r="AL110" s="176" t="str">
        <f t="shared" si="15"/>
        <v>-</v>
      </c>
      <c r="AM110" s="454">
        <f>IFERROR(VLOOKUP($C110,'CHURN RAW'!$A:$G,7,FALSE),"-")</f>
        <v>5.8799999999999998E-2</v>
      </c>
      <c r="AN110" s="456" t="str">
        <f t="shared" si="10"/>
        <v>QUALITY - DESIGNERS</v>
      </c>
    </row>
    <row r="111" spans="2:40">
      <c r="B111" s="637">
        <f t="shared" si="16"/>
        <v>108</v>
      </c>
      <c r="C111" s="93">
        <v>10072438</v>
      </c>
      <c r="D111" s="93" t="s">
        <v>211</v>
      </c>
      <c r="E111" s="88" t="s">
        <v>83</v>
      </c>
      <c r="F111" s="88" t="s">
        <v>200</v>
      </c>
      <c r="G111" s="88" t="s">
        <v>170</v>
      </c>
      <c r="H111" s="88" t="s">
        <v>85</v>
      </c>
      <c r="I111" s="88" t="s">
        <v>86</v>
      </c>
      <c r="J111" s="638"/>
      <c r="K111" s="638">
        <f t="shared" si="17"/>
        <v>43739</v>
      </c>
      <c r="L111" s="639" t="str">
        <f t="shared" si="11"/>
        <v>Expert</v>
      </c>
      <c r="M111" s="53">
        <f>IFERROR(VLOOKUP($E111,KPI!$B:$T,MATCH(RESOURCES!M$3,KPI!$B$1:$T$1,0),FALSE),"-")</f>
        <v>0.25</v>
      </c>
      <c r="N111" s="53">
        <f>IFERROR(VLOOKUP($E111,KPI!$B:$T,MATCH(RESOURCES!N$3,KPI!$B$1:$T$1,0),FALSE),"-")</f>
        <v>0.25</v>
      </c>
      <c r="O111" s="53">
        <f>IFERROR(VLOOKUP($E111,KPI!$B:$T,MATCH(RESOURCES!O$3,KPI!$B$1:$T$1,0),FALSE),"-")</f>
        <v>0.1</v>
      </c>
      <c r="P111" s="53" t="str">
        <f>IFERROR(VLOOKUP($E111,KPI!$B:$T,MATCH(RESOURCES!P$3,KPI!$B$1:$T$1,0),FALSE),"-")</f>
        <v>-</v>
      </c>
      <c r="Q111" s="53" t="str">
        <f>IFERROR(VLOOKUP($E111,KPI!$B:$T,MATCH(RESOURCES!Q$3,KPI!$B$1:$T$1,0),FALSE),"-")</f>
        <v>-</v>
      </c>
      <c r="R111" s="53">
        <f>IFERROR(VLOOKUP($E111,KPI!$B:$T,MATCH(RESOURCES!R$3,KPI!$B$1:$T$1,0),FALSE),"-")</f>
        <v>0.15</v>
      </c>
      <c r="S111" s="53">
        <f>IFERROR(VLOOKUP($E111,KPI!$B:$T,MATCH(RESOURCES!S$3,KPI!$B$1:$T$1,0),FALSE),"-")</f>
        <v>0.2</v>
      </c>
      <c r="T111" s="53" t="str">
        <f>IFERROR(VLOOKUP($E111,KPI!$B:$T,MATCH(RESOURCES!T$3,KPI!$B$1:$T$1,0),FALSE),"-")</f>
        <v>-</v>
      </c>
      <c r="U111" s="53" t="str">
        <f>IFERROR(VLOOKUP($E111,KPI!$B:$T,MATCH(RESOURCES!U$3,KPI!$B$1:$T$1,0),FALSE),"-")</f>
        <v>-</v>
      </c>
      <c r="V111" s="53">
        <f>IFERROR(VLOOKUP($E111,KPI!$B:$T,MATCH(RESOURCES!V$3,KPI!$B$1:$T$1,0),FALSE),"-")</f>
        <v>0.05</v>
      </c>
      <c r="W111" s="50">
        <f>IFERROR(VLOOKUP($C111,'PRODUCTIVITY RAW'!$B:$Q,16,FALSE),"-")</f>
        <v>1</v>
      </c>
      <c r="X111" s="50">
        <f>IFERROR(VLOOKUP($C111,'CHURN RAW'!$A:$H,8,FALSE),"-")</f>
        <v>0.9</v>
      </c>
      <c r="Y111" s="50">
        <f>IFERROR(IF(AVERAGEIFS('QA RAW'!$G:$G,'QA RAW'!$E:$E,RESOURCES!$C111)=0,"-",AVERAGEIFS('QA RAW'!$G:$G,'QA RAW'!$E:$E,RESOURCES!$C111)),"-")</f>
        <v>0.99380000000000002</v>
      </c>
      <c r="Z111" s="50" t="str">
        <f>IFERROR(VLOOKUP($C111,'PR CALIBRATION RAW'!$K:$S,MATCH(RESOURCES!Z$3,'PR CALIBRATION RAW'!$K$1:$S$1,0),FALSE),"-")</f>
        <v>-</v>
      </c>
      <c r="AA111" s="50" t="str">
        <f>IFERROR(VLOOKUP($C111,'DISPUTES RAW (VQA)'!$N:$U,8,FALSE),"-")</f>
        <v>-</v>
      </c>
      <c r="AB111" s="50">
        <f>IFERROR(VLOOKUP($C111,'ATTENDANCE RAW'!$E:$R,13,FALSE),"-")</f>
        <v>1</v>
      </c>
      <c r="AC111" s="50">
        <f>IFERROR(IF($E111="Voice QA",IF(AVERAGEIFS('KC RAW'!$J:$J,'KC RAW'!$B:$B,RESOURCES!$C111)=0,"-",AVERAGEIFS('KC RAW'!$J:$J,'KC RAW'!$B:$B,RESOURCES!$C111)),IF(AVERAGEIFS('KC RAW'!$H:$H,'KC RAW'!$B:$B,RESOURCES!$C111)=0,"-",AVERAGEIFS('KC RAW'!$H:$H,'KC RAW'!$B:$B,RESOURCES!$C111))),"-")</f>
        <v>0.8</v>
      </c>
      <c r="AD111" s="50" t="str">
        <f>IFERROR(AVERAGEIFS('CE RAW'!$G:$G,'CE RAW'!$E:$E,RESOURCES!$C111),"-")</f>
        <v>-</v>
      </c>
      <c r="AE111" s="50" t="str">
        <f>IFERROR(VLOOKUP($C111,'FCR RAW'!$A:$I,7,FALSE),"-")</f>
        <v>-</v>
      </c>
      <c r="AF111" s="50" t="str">
        <f>IFERROR(IF(VLOOKUP($C111,'BONUS RAW'!$D:$I,6,FALSE)=100%,100%,"-"),"-")</f>
        <v>-</v>
      </c>
      <c r="AG111" s="52">
        <f t="shared" si="12"/>
        <v>0.93092631578947382</v>
      </c>
      <c r="AH111" s="56">
        <f t="shared" si="9"/>
        <v>54</v>
      </c>
      <c r="AI111" s="57">
        <f t="shared" si="13"/>
        <v>0.93092631578947382</v>
      </c>
      <c r="AJ111" s="57">
        <f t="shared" si="14"/>
        <v>0.88438000000000005</v>
      </c>
      <c r="AK111" s="325" t="str">
        <f>IFERROR(VLOOKUP($C111,'ATTRITION RAW'!$E:$J,6,FALSE),"-")</f>
        <v>-</v>
      </c>
      <c r="AL111" s="176" t="str">
        <f t="shared" si="15"/>
        <v>-</v>
      </c>
      <c r="AM111" s="454">
        <f>IFERROR(VLOOKUP($C111,'CHURN RAW'!$A:$G,7,FALSE),"-")</f>
        <v>0.14810000000000001</v>
      </c>
      <c r="AN111" s="456" t="str">
        <f t="shared" si="10"/>
        <v>QUALITY - DESIGNERS</v>
      </c>
    </row>
    <row r="112" spans="2:40">
      <c r="B112" s="637">
        <f t="shared" si="16"/>
        <v>109</v>
      </c>
      <c r="C112" s="93">
        <v>10072073</v>
      </c>
      <c r="D112" s="93" t="s">
        <v>212</v>
      </c>
      <c r="E112" s="88" t="s">
        <v>83</v>
      </c>
      <c r="F112" s="88" t="s">
        <v>200</v>
      </c>
      <c r="G112" s="88" t="s">
        <v>170</v>
      </c>
      <c r="H112" s="88" t="s">
        <v>85</v>
      </c>
      <c r="I112" s="88" t="s">
        <v>86</v>
      </c>
      <c r="J112" s="638"/>
      <c r="K112" s="638">
        <f t="shared" si="17"/>
        <v>43739</v>
      </c>
      <c r="L112" s="639" t="str">
        <f t="shared" si="11"/>
        <v>Expert</v>
      </c>
      <c r="M112" s="53">
        <f>IFERROR(VLOOKUP($E112,KPI!$B:$T,MATCH(RESOURCES!M$3,KPI!$B$1:$T$1,0),FALSE),"-")</f>
        <v>0.25</v>
      </c>
      <c r="N112" s="53">
        <f>IFERROR(VLOOKUP($E112,KPI!$B:$T,MATCH(RESOURCES!N$3,KPI!$B$1:$T$1,0),FALSE),"-")</f>
        <v>0.25</v>
      </c>
      <c r="O112" s="53">
        <f>IFERROR(VLOOKUP($E112,KPI!$B:$T,MATCH(RESOURCES!O$3,KPI!$B$1:$T$1,0),FALSE),"-")</f>
        <v>0.1</v>
      </c>
      <c r="P112" s="53" t="str">
        <f>IFERROR(VLOOKUP($E112,KPI!$B:$T,MATCH(RESOURCES!P$3,KPI!$B$1:$T$1,0),FALSE),"-")</f>
        <v>-</v>
      </c>
      <c r="Q112" s="53" t="str">
        <f>IFERROR(VLOOKUP($E112,KPI!$B:$T,MATCH(RESOURCES!Q$3,KPI!$B$1:$T$1,0),FALSE),"-")</f>
        <v>-</v>
      </c>
      <c r="R112" s="53">
        <f>IFERROR(VLOOKUP($E112,KPI!$B:$T,MATCH(RESOURCES!R$3,KPI!$B$1:$T$1,0),FALSE),"-")</f>
        <v>0.15</v>
      </c>
      <c r="S112" s="53">
        <f>IFERROR(VLOOKUP($E112,KPI!$B:$T,MATCH(RESOURCES!S$3,KPI!$B$1:$T$1,0),FALSE),"-")</f>
        <v>0.2</v>
      </c>
      <c r="T112" s="53" t="str">
        <f>IFERROR(VLOOKUP($E112,KPI!$B:$T,MATCH(RESOURCES!T$3,KPI!$B$1:$T$1,0),FALSE),"-")</f>
        <v>-</v>
      </c>
      <c r="U112" s="53" t="str">
        <f>IFERROR(VLOOKUP($E112,KPI!$B:$T,MATCH(RESOURCES!U$3,KPI!$B$1:$T$1,0),FALSE),"-")</f>
        <v>-</v>
      </c>
      <c r="V112" s="53">
        <f>IFERROR(VLOOKUP($E112,KPI!$B:$T,MATCH(RESOURCES!V$3,KPI!$B$1:$T$1,0),FALSE),"-")</f>
        <v>0.05</v>
      </c>
      <c r="W112" s="50">
        <f>IFERROR(VLOOKUP($C112,'PRODUCTIVITY RAW'!$B:$Q,16,FALSE),"-")</f>
        <v>0.79843750000000024</v>
      </c>
      <c r="X112" s="50">
        <f>IFERROR(VLOOKUP($C112,'CHURN RAW'!$A:$H,8,FALSE),"-")</f>
        <v>0.9</v>
      </c>
      <c r="Y112" s="50">
        <f>IFERROR(IF(AVERAGEIFS('QA RAW'!$G:$G,'QA RAW'!$E:$E,RESOURCES!$C112)=0,"-",AVERAGEIFS('QA RAW'!$G:$G,'QA RAW'!$E:$E,RESOURCES!$C112)),"-")</f>
        <v>0.99860000000000004</v>
      </c>
      <c r="Z112" s="50" t="str">
        <f>IFERROR(VLOOKUP($C112,'PR CALIBRATION RAW'!$K:$S,MATCH(RESOURCES!Z$3,'PR CALIBRATION RAW'!$K$1:$S$1,0),FALSE),"-")</f>
        <v>-</v>
      </c>
      <c r="AA112" s="50" t="str">
        <f>IFERROR(VLOOKUP($C112,'DISPUTES RAW (VQA)'!$N:$U,8,FALSE),"-")</f>
        <v>-</v>
      </c>
      <c r="AB112" s="50">
        <f>IFERROR(VLOOKUP($C112,'ATTENDANCE RAW'!$E:$R,13,FALSE),"-")</f>
        <v>0.90909090909090906</v>
      </c>
      <c r="AC112" s="50">
        <f>IFERROR(IF($E112="Voice QA",IF(AVERAGEIFS('KC RAW'!$J:$J,'KC RAW'!$B:$B,RESOURCES!$C112)=0,"-",AVERAGEIFS('KC RAW'!$J:$J,'KC RAW'!$B:$B,RESOURCES!$C112)),IF(AVERAGEIFS('KC RAW'!$H:$H,'KC RAW'!$B:$B,RESOURCES!$C112)=0,"-",AVERAGEIFS('KC RAW'!$H:$H,'KC RAW'!$B:$B,RESOURCES!$C112))),"-")</f>
        <v>0.85</v>
      </c>
      <c r="AD112" s="50" t="str">
        <f>IFERROR(AVERAGEIFS('CE RAW'!$G:$G,'CE RAW'!$E:$E,RESOURCES!$C112),"-")</f>
        <v>-</v>
      </c>
      <c r="AE112" s="50" t="str">
        <f>IFERROR(VLOOKUP($C112,'FCR RAW'!$A:$I,7,FALSE),"-")</f>
        <v>-</v>
      </c>
      <c r="AF112" s="50" t="str">
        <f>IFERROR(IF(VLOOKUP($C112,'BONUS RAW'!$D:$I,6,FALSE)=100%,100%,"-"),"-")</f>
        <v>-</v>
      </c>
      <c r="AG112" s="52">
        <f t="shared" si="12"/>
        <v>0.87456106459330152</v>
      </c>
      <c r="AH112" s="56">
        <f t="shared" si="9"/>
        <v>111</v>
      </c>
      <c r="AI112" s="57">
        <f t="shared" si="13"/>
        <v>0.87456106459330152</v>
      </c>
      <c r="AJ112" s="57">
        <f t="shared" si="14"/>
        <v>0.83083301136363641</v>
      </c>
      <c r="AK112" s="325" t="str">
        <f>IFERROR(VLOOKUP($C112,'ATTRITION RAW'!$E:$J,6,FALSE),"-")</f>
        <v>-</v>
      </c>
      <c r="AL112" s="176" t="str">
        <f t="shared" si="15"/>
        <v>-</v>
      </c>
      <c r="AM112" s="454">
        <f>IFERROR(VLOOKUP($C112,'CHURN RAW'!$A:$G,7,FALSE),"-")</f>
        <v>7.1400000000000005E-2</v>
      </c>
      <c r="AN112" s="456" t="str">
        <f t="shared" si="10"/>
        <v>QUALITY - DESIGNERS</v>
      </c>
    </row>
    <row r="113" spans="2:40">
      <c r="B113" s="637">
        <f t="shared" si="16"/>
        <v>110</v>
      </c>
      <c r="C113" s="93">
        <v>10071423</v>
      </c>
      <c r="D113" s="93" t="s">
        <v>213</v>
      </c>
      <c r="E113" s="88" t="s">
        <v>83</v>
      </c>
      <c r="F113" s="88" t="s">
        <v>214</v>
      </c>
      <c r="G113" s="88" t="s">
        <v>170</v>
      </c>
      <c r="H113" s="88" t="s">
        <v>85</v>
      </c>
      <c r="I113" s="88" t="s">
        <v>86</v>
      </c>
      <c r="J113" s="638"/>
      <c r="K113" s="638">
        <f t="shared" si="17"/>
        <v>43739</v>
      </c>
      <c r="L113" s="639" t="str">
        <f t="shared" si="11"/>
        <v>Expert</v>
      </c>
      <c r="M113" s="53">
        <f>IFERROR(VLOOKUP($E113,KPI!$B:$T,MATCH(RESOURCES!M$3,KPI!$B$1:$T$1,0),FALSE),"-")</f>
        <v>0.25</v>
      </c>
      <c r="N113" s="53">
        <f>IFERROR(VLOOKUP($E113,KPI!$B:$T,MATCH(RESOURCES!N$3,KPI!$B$1:$T$1,0),FALSE),"-")</f>
        <v>0.25</v>
      </c>
      <c r="O113" s="53">
        <f>IFERROR(VLOOKUP($E113,KPI!$B:$T,MATCH(RESOURCES!O$3,KPI!$B$1:$T$1,0),FALSE),"-")</f>
        <v>0.1</v>
      </c>
      <c r="P113" s="53" t="str">
        <f>IFERROR(VLOOKUP($E113,KPI!$B:$T,MATCH(RESOURCES!P$3,KPI!$B$1:$T$1,0),FALSE),"-")</f>
        <v>-</v>
      </c>
      <c r="Q113" s="53" t="str">
        <f>IFERROR(VLOOKUP($E113,KPI!$B:$T,MATCH(RESOURCES!Q$3,KPI!$B$1:$T$1,0),FALSE),"-")</f>
        <v>-</v>
      </c>
      <c r="R113" s="53">
        <f>IFERROR(VLOOKUP($E113,KPI!$B:$T,MATCH(RESOURCES!R$3,KPI!$B$1:$T$1,0),FALSE),"-")</f>
        <v>0.15</v>
      </c>
      <c r="S113" s="53">
        <f>IFERROR(VLOOKUP($E113,KPI!$B:$T,MATCH(RESOURCES!S$3,KPI!$B$1:$T$1,0),FALSE),"-")</f>
        <v>0.2</v>
      </c>
      <c r="T113" s="53" t="str">
        <f>IFERROR(VLOOKUP($E113,KPI!$B:$T,MATCH(RESOURCES!T$3,KPI!$B$1:$T$1,0),FALSE),"-")</f>
        <v>-</v>
      </c>
      <c r="U113" s="53" t="str">
        <f>IFERROR(VLOOKUP($E113,KPI!$B:$T,MATCH(RESOURCES!U$3,KPI!$B$1:$T$1,0),FALSE),"-")</f>
        <v>-</v>
      </c>
      <c r="V113" s="53">
        <f>IFERROR(VLOOKUP($E113,KPI!$B:$T,MATCH(RESOURCES!V$3,KPI!$B$1:$T$1,0),FALSE),"-")</f>
        <v>0.05</v>
      </c>
      <c r="W113" s="50">
        <f>IFERROR(VLOOKUP($C113,'PRODUCTIVITY RAW'!$B:$Q,16,FALSE),"-")</f>
        <v>0.80845588235294152</v>
      </c>
      <c r="X113" s="50">
        <f>IFERROR(VLOOKUP($C113,'CHURN RAW'!$A:$H,8,FALSE),"-")</f>
        <v>1</v>
      </c>
      <c r="Y113" s="50">
        <f>IFERROR(IF(AVERAGEIFS('QA RAW'!$G:$G,'QA RAW'!$E:$E,RESOURCES!$C113)=0,"-",AVERAGEIFS('QA RAW'!$G:$G,'QA RAW'!$E:$E,RESOURCES!$C113)),"-")</f>
        <v>1</v>
      </c>
      <c r="Z113" s="50" t="str">
        <f>IFERROR(VLOOKUP($C113,'PR CALIBRATION RAW'!$K:$S,MATCH(RESOURCES!Z$3,'PR CALIBRATION RAW'!$K$1:$S$1,0),FALSE),"-")</f>
        <v>-</v>
      </c>
      <c r="AA113" s="50" t="str">
        <f>IFERROR(VLOOKUP($C113,'DISPUTES RAW (VQA)'!$N:$U,8,FALSE),"-")</f>
        <v>-</v>
      </c>
      <c r="AB113" s="50">
        <f>IFERROR(VLOOKUP($C113,'ATTENDANCE RAW'!$E:$R,13,FALSE),"-")</f>
        <v>1</v>
      </c>
      <c r="AC113" s="50">
        <f>IFERROR(IF($E113="Voice QA",IF(AVERAGEIFS('KC RAW'!$J:$J,'KC RAW'!$B:$B,RESOURCES!$C113)=0,"-",AVERAGEIFS('KC RAW'!$J:$J,'KC RAW'!$B:$B,RESOURCES!$C113)),IF(AVERAGEIFS('KC RAW'!$H:$H,'KC RAW'!$B:$B,RESOURCES!$C113)=0,"-",AVERAGEIFS('KC RAW'!$H:$H,'KC RAW'!$B:$B,RESOURCES!$C113))),"-")</f>
        <v>0.8</v>
      </c>
      <c r="AD113" s="50" t="str">
        <f>IFERROR(AVERAGEIFS('CE RAW'!$G:$G,'CE RAW'!$E:$E,RESOURCES!$C113),"-")</f>
        <v>-</v>
      </c>
      <c r="AE113" s="50" t="str">
        <f>IFERROR(VLOOKUP($C113,'FCR RAW'!$A:$I,7,FALSE),"-")</f>
        <v>-</v>
      </c>
      <c r="AF113" s="50">
        <f>IFERROR(IF(VLOOKUP($C113,'BONUS RAW'!$D:$I,6,FALSE)=100%,100%,"-"),"-")</f>
        <v>1</v>
      </c>
      <c r="AG113" s="52">
        <f t="shared" si="12"/>
        <v>0.91211397058823551</v>
      </c>
      <c r="AH113" s="56">
        <f t="shared" si="9"/>
        <v>68</v>
      </c>
      <c r="AI113" s="57">
        <f t="shared" si="13"/>
        <v>0.90748839009287952</v>
      </c>
      <c r="AJ113" s="57">
        <f t="shared" si="14"/>
        <v>0.91211397058823551</v>
      </c>
      <c r="AK113" s="325" t="str">
        <f>IFERROR(VLOOKUP($C113,'ATTRITION RAW'!$E:$J,6,FALSE),"-")</f>
        <v>-</v>
      </c>
      <c r="AL113" s="176" t="str">
        <f t="shared" si="15"/>
        <v>-</v>
      </c>
      <c r="AM113" s="454">
        <f>IFERROR(VLOOKUP($C113,'CHURN RAW'!$A:$G,7,FALSE),"-")</f>
        <v>0</v>
      </c>
      <c r="AN113" s="456" t="str">
        <f t="shared" si="10"/>
        <v>QUALITY - DESIGNERS</v>
      </c>
    </row>
    <row r="114" spans="2:40">
      <c r="B114" s="637">
        <f t="shared" si="16"/>
        <v>111</v>
      </c>
      <c r="C114" s="93">
        <v>10071301</v>
      </c>
      <c r="D114" s="93" t="s">
        <v>215</v>
      </c>
      <c r="E114" s="88" t="s">
        <v>83</v>
      </c>
      <c r="F114" s="88" t="s">
        <v>214</v>
      </c>
      <c r="G114" s="88" t="s">
        <v>170</v>
      </c>
      <c r="H114" s="88" t="s">
        <v>85</v>
      </c>
      <c r="I114" s="88" t="s">
        <v>86</v>
      </c>
      <c r="J114" s="638"/>
      <c r="K114" s="638">
        <f t="shared" si="17"/>
        <v>43739</v>
      </c>
      <c r="L114" s="639" t="str">
        <f t="shared" si="11"/>
        <v>Expert</v>
      </c>
      <c r="M114" s="53">
        <f>IFERROR(VLOOKUP($E114,KPI!$B:$T,MATCH(RESOURCES!M$3,KPI!$B$1:$T$1,0),FALSE),"-")</f>
        <v>0.25</v>
      </c>
      <c r="N114" s="53">
        <f>IFERROR(VLOOKUP($E114,KPI!$B:$T,MATCH(RESOURCES!N$3,KPI!$B$1:$T$1,0),FALSE),"-")</f>
        <v>0.25</v>
      </c>
      <c r="O114" s="53">
        <f>IFERROR(VLOOKUP($E114,KPI!$B:$T,MATCH(RESOURCES!O$3,KPI!$B$1:$T$1,0),FALSE),"-")</f>
        <v>0.1</v>
      </c>
      <c r="P114" s="53" t="str">
        <f>IFERROR(VLOOKUP($E114,KPI!$B:$T,MATCH(RESOURCES!P$3,KPI!$B$1:$T$1,0),FALSE),"-")</f>
        <v>-</v>
      </c>
      <c r="Q114" s="53" t="str">
        <f>IFERROR(VLOOKUP($E114,KPI!$B:$T,MATCH(RESOURCES!Q$3,KPI!$B$1:$T$1,0),FALSE),"-")</f>
        <v>-</v>
      </c>
      <c r="R114" s="53">
        <f>IFERROR(VLOOKUP($E114,KPI!$B:$T,MATCH(RESOURCES!R$3,KPI!$B$1:$T$1,0),FALSE),"-")</f>
        <v>0.15</v>
      </c>
      <c r="S114" s="53">
        <f>IFERROR(VLOOKUP($E114,KPI!$B:$T,MATCH(RESOURCES!S$3,KPI!$B$1:$T$1,0),FALSE),"-")</f>
        <v>0.2</v>
      </c>
      <c r="T114" s="53" t="str">
        <f>IFERROR(VLOOKUP($E114,KPI!$B:$T,MATCH(RESOURCES!T$3,KPI!$B$1:$T$1,0),FALSE),"-")</f>
        <v>-</v>
      </c>
      <c r="U114" s="53" t="str">
        <f>IFERROR(VLOOKUP($E114,KPI!$B:$T,MATCH(RESOURCES!U$3,KPI!$B$1:$T$1,0),FALSE),"-")</f>
        <v>-</v>
      </c>
      <c r="V114" s="53">
        <f>IFERROR(VLOOKUP($E114,KPI!$B:$T,MATCH(RESOURCES!V$3,KPI!$B$1:$T$1,0),FALSE),"-")</f>
        <v>0.05</v>
      </c>
      <c r="W114" s="50">
        <f>IFERROR(VLOOKUP($C114,'PRODUCTIVITY RAW'!$B:$Q,16,FALSE),"-")</f>
        <v>0.8812500000000002</v>
      </c>
      <c r="X114" s="50">
        <f>IFERROR(VLOOKUP($C114,'CHURN RAW'!$A:$H,8,FALSE),"-")</f>
        <v>0.9</v>
      </c>
      <c r="Y114" s="50">
        <f>IFERROR(IF(AVERAGEIFS('QA RAW'!$G:$G,'QA RAW'!$E:$E,RESOURCES!$C114)=0,"-",AVERAGEIFS('QA RAW'!$G:$G,'QA RAW'!$E:$E,RESOURCES!$C114)),"-")</f>
        <v>0.99739999999999995</v>
      </c>
      <c r="Z114" s="50" t="str">
        <f>IFERROR(VLOOKUP($C114,'PR CALIBRATION RAW'!$K:$S,MATCH(RESOURCES!Z$3,'PR CALIBRATION RAW'!$K$1:$S$1,0),FALSE),"-")</f>
        <v>-</v>
      </c>
      <c r="AA114" s="50" t="str">
        <f>IFERROR(VLOOKUP($C114,'DISPUTES RAW (VQA)'!$N:$U,8,FALSE),"-")</f>
        <v>-</v>
      </c>
      <c r="AB114" s="50">
        <f>IFERROR(VLOOKUP($C114,'ATTENDANCE RAW'!$E:$R,13,FALSE),"-")</f>
        <v>1</v>
      </c>
      <c r="AC114" s="50">
        <f>IFERROR(IF($E114="Voice QA",IF(AVERAGEIFS('KC RAW'!$J:$J,'KC RAW'!$B:$B,RESOURCES!$C114)=0,"-",AVERAGEIFS('KC RAW'!$J:$J,'KC RAW'!$B:$B,RESOURCES!$C114)),IF(AVERAGEIFS('KC RAW'!$H:$H,'KC RAW'!$B:$B,RESOURCES!$C114)=0,"-",AVERAGEIFS('KC RAW'!$H:$H,'KC RAW'!$B:$B,RESOURCES!$C114))),"-")</f>
        <v>0.7</v>
      </c>
      <c r="AD114" s="50" t="str">
        <f>IFERROR(AVERAGEIFS('CE RAW'!$G:$G,'CE RAW'!$E:$E,RESOURCES!$C114),"-")</f>
        <v>-</v>
      </c>
      <c r="AE114" s="50" t="str">
        <f>IFERROR(VLOOKUP($C114,'FCR RAW'!$A:$I,7,FALSE),"-")</f>
        <v>-</v>
      </c>
      <c r="AF114" s="50" t="str">
        <f>IFERROR(IF(VLOOKUP($C114,'BONUS RAW'!$D:$I,6,FALSE)=100%,100%,"-"),"-")</f>
        <v>-</v>
      </c>
      <c r="AG114" s="52">
        <f t="shared" si="12"/>
        <v>0.87900263157894754</v>
      </c>
      <c r="AH114" s="56">
        <f t="shared" si="9"/>
        <v>109</v>
      </c>
      <c r="AI114" s="57">
        <f t="shared" si="13"/>
        <v>0.87900263157894754</v>
      </c>
      <c r="AJ114" s="57">
        <f t="shared" si="14"/>
        <v>0.83505250000000009</v>
      </c>
      <c r="AK114" s="325" t="str">
        <f>IFERROR(VLOOKUP($C114,'ATTRITION RAW'!$E:$J,6,FALSE),"-")</f>
        <v>-</v>
      </c>
      <c r="AL114" s="176" t="str">
        <f t="shared" si="15"/>
        <v>-</v>
      </c>
      <c r="AM114" s="454">
        <f>IFERROR(VLOOKUP($C114,'CHURN RAW'!$A:$G,7,FALSE),"-")</f>
        <v>6.6699999999999995E-2</v>
      </c>
      <c r="AN114" s="456" t="str">
        <f t="shared" si="10"/>
        <v>QUALITY - DESIGNERS</v>
      </c>
    </row>
    <row r="115" spans="2:40">
      <c r="B115" s="637">
        <f t="shared" si="16"/>
        <v>112</v>
      </c>
      <c r="C115" s="93">
        <v>10072245</v>
      </c>
      <c r="D115" s="93" t="s">
        <v>216</v>
      </c>
      <c r="E115" s="88" t="s">
        <v>83</v>
      </c>
      <c r="F115" s="88" t="s">
        <v>214</v>
      </c>
      <c r="G115" s="88" t="s">
        <v>170</v>
      </c>
      <c r="H115" s="88" t="s">
        <v>85</v>
      </c>
      <c r="I115" s="88" t="s">
        <v>86</v>
      </c>
      <c r="J115" s="638">
        <v>43731</v>
      </c>
      <c r="K115" s="638">
        <f t="shared" si="17"/>
        <v>43739</v>
      </c>
      <c r="L115" s="639" t="str">
        <f t="shared" si="11"/>
        <v>Beginner</v>
      </c>
      <c r="M115" s="53">
        <f>IFERROR(VLOOKUP($E115,KPI!$B:$T,MATCH(RESOURCES!M$3,KPI!$B$1:$T$1,0),FALSE),"-")</f>
        <v>0.25</v>
      </c>
      <c r="N115" s="53">
        <f>IFERROR(VLOOKUP($E115,KPI!$B:$T,MATCH(RESOURCES!N$3,KPI!$B$1:$T$1,0),FALSE),"-")</f>
        <v>0.25</v>
      </c>
      <c r="O115" s="53">
        <f>IFERROR(VLOOKUP($E115,KPI!$B:$T,MATCH(RESOURCES!O$3,KPI!$B$1:$T$1,0),FALSE),"-")</f>
        <v>0.1</v>
      </c>
      <c r="P115" s="53" t="str">
        <f>IFERROR(VLOOKUP($E115,KPI!$B:$T,MATCH(RESOURCES!P$3,KPI!$B$1:$T$1,0),FALSE),"-")</f>
        <v>-</v>
      </c>
      <c r="Q115" s="53" t="str">
        <f>IFERROR(VLOOKUP($E115,KPI!$B:$T,MATCH(RESOURCES!Q$3,KPI!$B$1:$T$1,0),FALSE),"-")</f>
        <v>-</v>
      </c>
      <c r="R115" s="53">
        <f>IFERROR(VLOOKUP($E115,KPI!$B:$T,MATCH(RESOURCES!R$3,KPI!$B$1:$T$1,0),FALSE),"-")</f>
        <v>0.15</v>
      </c>
      <c r="S115" s="53">
        <f>IFERROR(VLOOKUP($E115,KPI!$B:$T,MATCH(RESOURCES!S$3,KPI!$B$1:$T$1,0),FALSE),"-")</f>
        <v>0.2</v>
      </c>
      <c r="T115" s="53" t="str">
        <f>IFERROR(VLOOKUP($E115,KPI!$B:$T,MATCH(RESOURCES!T$3,KPI!$B$1:$T$1,0),FALSE),"-")</f>
        <v>-</v>
      </c>
      <c r="U115" s="53" t="str">
        <f>IFERROR(VLOOKUP($E115,KPI!$B:$T,MATCH(RESOURCES!U$3,KPI!$B$1:$T$1,0),FALSE),"-")</f>
        <v>-</v>
      </c>
      <c r="V115" s="53">
        <f>IFERROR(VLOOKUP($E115,KPI!$B:$T,MATCH(RESOURCES!V$3,KPI!$B$1:$T$1,0),FALSE),"-")</f>
        <v>0.05</v>
      </c>
      <c r="W115" s="50">
        <f>IFERROR(VLOOKUP($C115,'PRODUCTIVITY RAW'!$B:$Q,16,FALSE),"-")</f>
        <v>0.84275127373784209</v>
      </c>
      <c r="X115" s="50">
        <f>IFERROR(VLOOKUP($C115,'CHURN RAW'!$A:$H,8,FALSE),"-")</f>
        <v>0.8</v>
      </c>
      <c r="Y115" s="50">
        <f>IFERROR(IF(AVERAGEIFS('QA RAW'!$G:$G,'QA RAW'!$E:$E,RESOURCES!$C115)=0,"-",AVERAGEIFS('QA RAW'!$G:$G,'QA RAW'!$E:$E,RESOURCES!$C115)),"-")</f>
        <v>0.99609999999999999</v>
      </c>
      <c r="Z115" s="50" t="str">
        <f>IFERROR(VLOOKUP($C115,'PR CALIBRATION RAW'!$K:$S,MATCH(RESOURCES!Z$3,'PR CALIBRATION RAW'!$K$1:$S$1,0),FALSE),"-")</f>
        <v>-</v>
      </c>
      <c r="AA115" s="50" t="str">
        <f>IFERROR(VLOOKUP($C115,'DISPUTES RAW (VQA)'!$N:$U,8,FALSE),"-")</f>
        <v>-</v>
      </c>
      <c r="AB115" s="50">
        <f>IFERROR(VLOOKUP($C115,'ATTENDANCE RAW'!$E:$R,13,FALSE),"-")</f>
        <v>1</v>
      </c>
      <c r="AC115" s="50">
        <f>IFERROR(IF($E115="Voice QA",IF(AVERAGEIFS('KC RAW'!$J:$J,'KC RAW'!$B:$B,RESOURCES!$C115)=0,"-",AVERAGEIFS('KC RAW'!$J:$J,'KC RAW'!$B:$B,RESOURCES!$C115)),IF(AVERAGEIFS('KC RAW'!$H:$H,'KC RAW'!$B:$B,RESOURCES!$C115)=0,"-",AVERAGEIFS('KC RAW'!$H:$H,'KC RAW'!$B:$B,RESOURCES!$C115))),"-")</f>
        <v>0.95</v>
      </c>
      <c r="AD115" s="50" t="str">
        <f>IFERROR(AVERAGEIFS('CE RAW'!$G:$G,'CE RAW'!$E:$E,RESOURCES!$C115),"-")</f>
        <v>-</v>
      </c>
      <c r="AE115" s="50" t="str">
        <f>IFERROR(VLOOKUP($C115,'FCR RAW'!$A:$I,7,FALSE),"-")</f>
        <v>-</v>
      </c>
      <c r="AF115" s="50">
        <f>IFERROR(IF(VLOOKUP($C115,'BONUS RAW'!$D:$I,6,FALSE)=100%,100%,"-"),"-")</f>
        <v>1</v>
      </c>
      <c r="AG115" s="52">
        <f t="shared" si="12"/>
        <v>0.90029781843446055</v>
      </c>
      <c r="AH115" s="56">
        <f t="shared" si="9"/>
        <v>86</v>
      </c>
      <c r="AI115" s="57">
        <f t="shared" si="13"/>
        <v>0.89505033519416899</v>
      </c>
      <c r="AJ115" s="57">
        <f t="shared" si="14"/>
        <v>0.90029781843446055</v>
      </c>
      <c r="AK115" s="325" t="str">
        <f>IFERROR(VLOOKUP($C115,'ATTRITION RAW'!$E:$J,6,FALSE),"-")</f>
        <v>-</v>
      </c>
      <c r="AL115" s="176" t="str">
        <f t="shared" si="15"/>
        <v>-</v>
      </c>
      <c r="AM115" s="454">
        <f>IFERROR(VLOOKUP($C115,'CHURN RAW'!$A:$G,7,FALSE),"-")</f>
        <v>0.1923</v>
      </c>
      <c r="AN115" s="456" t="str">
        <f t="shared" si="10"/>
        <v>QUALITY - DESIGNERS</v>
      </c>
    </row>
    <row r="116" spans="2:40">
      <c r="B116" s="637">
        <f t="shared" si="16"/>
        <v>113</v>
      </c>
      <c r="C116" s="93">
        <v>10072160</v>
      </c>
      <c r="D116" s="93" t="s">
        <v>217</v>
      </c>
      <c r="E116" s="88" t="s">
        <v>83</v>
      </c>
      <c r="F116" s="88" t="s">
        <v>214</v>
      </c>
      <c r="G116" s="88" t="s">
        <v>170</v>
      </c>
      <c r="H116" s="88" t="s">
        <v>85</v>
      </c>
      <c r="I116" s="88" t="s">
        <v>86</v>
      </c>
      <c r="J116" s="638"/>
      <c r="K116" s="638">
        <f t="shared" si="17"/>
        <v>43739</v>
      </c>
      <c r="L116" s="639" t="str">
        <f t="shared" si="11"/>
        <v>Expert</v>
      </c>
      <c r="M116" s="53">
        <f>IFERROR(VLOOKUP($E116,KPI!$B:$T,MATCH(RESOURCES!M$3,KPI!$B$1:$T$1,0),FALSE),"-")</f>
        <v>0.25</v>
      </c>
      <c r="N116" s="53">
        <f>IFERROR(VLOOKUP($E116,KPI!$B:$T,MATCH(RESOURCES!N$3,KPI!$B$1:$T$1,0),FALSE),"-")</f>
        <v>0.25</v>
      </c>
      <c r="O116" s="53">
        <f>IFERROR(VLOOKUP($E116,KPI!$B:$T,MATCH(RESOURCES!O$3,KPI!$B$1:$T$1,0),FALSE),"-")</f>
        <v>0.1</v>
      </c>
      <c r="P116" s="53" t="str">
        <f>IFERROR(VLOOKUP($E116,KPI!$B:$T,MATCH(RESOURCES!P$3,KPI!$B$1:$T$1,0),FALSE),"-")</f>
        <v>-</v>
      </c>
      <c r="Q116" s="53" t="str">
        <f>IFERROR(VLOOKUP($E116,KPI!$B:$T,MATCH(RESOURCES!Q$3,KPI!$B$1:$T$1,0),FALSE),"-")</f>
        <v>-</v>
      </c>
      <c r="R116" s="53">
        <f>IFERROR(VLOOKUP($E116,KPI!$B:$T,MATCH(RESOURCES!R$3,KPI!$B$1:$T$1,0),FALSE),"-")</f>
        <v>0.15</v>
      </c>
      <c r="S116" s="53">
        <f>IFERROR(VLOOKUP($E116,KPI!$B:$T,MATCH(RESOURCES!S$3,KPI!$B$1:$T$1,0),FALSE),"-")</f>
        <v>0.2</v>
      </c>
      <c r="T116" s="53" t="str">
        <f>IFERROR(VLOOKUP($E116,KPI!$B:$T,MATCH(RESOURCES!T$3,KPI!$B$1:$T$1,0),FALSE),"-")</f>
        <v>-</v>
      </c>
      <c r="U116" s="53" t="str">
        <f>IFERROR(VLOOKUP($E116,KPI!$B:$T,MATCH(RESOURCES!U$3,KPI!$B$1:$T$1,0),FALSE),"-")</f>
        <v>-</v>
      </c>
      <c r="V116" s="53">
        <f>IFERROR(VLOOKUP($E116,KPI!$B:$T,MATCH(RESOURCES!V$3,KPI!$B$1:$T$1,0),FALSE),"-")</f>
        <v>0.05</v>
      </c>
      <c r="W116" s="50">
        <f>IFERROR(VLOOKUP($C116,'PRODUCTIVITY RAW'!$B:$Q,16,FALSE),"-")</f>
        <v>1</v>
      </c>
      <c r="X116" s="50">
        <f>IFERROR(VLOOKUP($C116,'CHURN RAW'!$A:$H,8,FALSE),"-")</f>
        <v>0.8</v>
      </c>
      <c r="Y116" s="50">
        <f>IFERROR(IF(AVERAGEIFS('QA RAW'!$G:$G,'QA RAW'!$E:$E,RESOURCES!$C116)=0,"-",AVERAGEIFS('QA RAW'!$G:$G,'QA RAW'!$E:$E,RESOURCES!$C116)),"-")</f>
        <v>0.99650000000000005</v>
      </c>
      <c r="Z116" s="50" t="str">
        <f>IFERROR(VLOOKUP($C116,'PR CALIBRATION RAW'!$K:$S,MATCH(RESOURCES!Z$3,'PR CALIBRATION RAW'!$K$1:$S$1,0),FALSE),"-")</f>
        <v>-</v>
      </c>
      <c r="AA116" s="50" t="str">
        <f>IFERROR(VLOOKUP($C116,'DISPUTES RAW (VQA)'!$N:$U,8,FALSE),"-")</f>
        <v>-</v>
      </c>
      <c r="AB116" s="50">
        <f>IFERROR(VLOOKUP($C116,'ATTENDANCE RAW'!$E:$R,13,FALSE),"-")</f>
        <v>1</v>
      </c>
      <c r="AC116" s="50">
        <f>IFERROR(IF($E116="Voice QA",IF(AVERAGEIFS('KC RAW'!$J:$J,'KC RAW'!$B:$B,RESOURCES!$C116)=0,"-",AVERAGEIFS('KC RAW'!$J:$J,'KC RAW'!$B:$B,RESOURCES!$C116)),IF(AVERAGEIFS('KC RAW'!$H:$H,'KC RAW'!$B:$B,RESOURCES!$C116)=0,"-",AVERAGEIFS('KC RAW'!$H:$H,'KC RAW'!$B:$B,RESOURCES!$C116))),"-")</f>
        <v>0.75</v>
      </c>
      <c r="AD116" s="50" t="str">
        <f>IFERROR(AVERAGEIFS('CE RAW'!$G:$G,'CE RAW'!$E:$E,RESOURCES!$C116),"-")</f>
        <v>-</v>
      </c>
      <c r="AE116" s="50" t="str">
        <f>IFERROR(VLOOKUP($C116,'FCR RAW'!$A:$I,7,FALSE),"-")</f>
        <v>-</v>
      </c>
      <c r="AF116" s="50" t="str">
        <f>IFERROR(IF(VLOOKUP($C116,'BONUS RAW'!$D:$I,6,FALSE)=100%,100%,"-"),"-")</f>
        <v>-</v>
      </c>
      <c r="AG116" s="52">
        <f t="shared" si="12"/>
        <v>0.89436842105263159</v>
      </c>
      <c r="AH116" s="56">
        <f t="shared" si="9"/>
        <v>92</v>
      </c>
      <c r="AI116" s="57">
        <f t="shared" si="13"/>
        <v>0.89436842105263159</v>
      </c>
      <c r="AJ116" s="57">
        <f t="shared" si="14"/>
        <v>0.84965000000000002</v>
      </c>
      <c r="AK116" s="325" t="str">
        <f>IFERROR(VLOOKUP($C116,'ATTRITION RAW'!$E:$J,6,FALSE),"-")</f>
        <v>-</v>
      </c>
      <c r="AL116" s="176" t="str">
        <f t="shared" si="15"/>
        <v>-</v>
      </c>
      <c r="AM116" s="454">
        <f>IFERROR(VLOOKUP($C116,'CHURN RAW'!$A:$G,7,FALSE),"-")</f>
        <v>0.22220000000000001</v>
      </c>
      <c r="AN116" s="456" t="str">
        <f t="shared" si="10"/>
        <v>QUALITY - DESIGNERS</v>
      </c>
    </row>
    <row r="117" spans="2:40">
      <c r="B117" s="637">
        <f t="shared" si="16"/>
        <v>114</v>
      </c>
      <c r="C117" s="93">
        <v>10071252</v>
      </c>
      <c r="D117" s="93" t="s">
        <v>218</v>
      </c>
      <c r="E117" s="88" t="s">
        <v>83</v>
      </c>
      <c r="F117" s="88" t="s">
        <v>214</v>
      </c>
      <c r="G117" s="88" t="s">
        <v>170</v>
      </c>
      <c r="H117" s="88" t="s">
        <v>85</v>
      </c>
      <c r="I117" s="88" t="s">
        <v>86</v>
      </c>
      <c r="J117" s="638"/>
      <c r="K117" s="638">
        <f t="shared" si="17"/>
        <v>43739</v>
      </c>
      <c r="L117" s="639" t="str">
        <f t="shared" si="11"/>
        <v>Expert</v>
      </c>
      <c r="M117" s="53">
        <f>IFERROR(VLOOKUP($E117,KPI!$B:$T,MATCH(RESOURCES!M$3,KPI!$B$1:$T$1,0),FALSE),"-")</f>
        <v>0.25</v>
      </c>
      <c r="N117" s="53">
        <f>IFERROR(VLOOKUP($E117,KPI!$B:$T,MATCH(RESOURCES!N$3,KPI!$B$1:$T$1,0),FALSE),"-")</f>
        <v>0.25</v>
      </c>
      <c r="O117" s="53">
        <f>IFERROR(VLOOKUP($E117,KPI!$B:$T,MATCH(RESOURCES!O$3,KPI!$B$1:$T$1,0),FALSE),"-")</f>
        <v>0.1</v>
      </c>
      <c r="P117" s="53" t="str">
        <f>IFERROR(VLOOKUP($E117,KPI!$B:$T,MATCH(RESOURCES!P$3,KPI!$B$1:$T$1,0),FALSE),"-")</f>
        <v>-</v>
      </c>
      <c r="Q117" s="53" t="str">
        <f>IFERROR(VLOOKUP($E117,KPI!$B:$T,MATCH(RESOURCES!Q$3,KPI!$B$1:$T$1,0),FALSE),"-")</f>
        <v>-</v>
      </c>
      <c r="R117" s="53">
        <f>IFERROR(VLOOKUP($E117,KPI!$B:$T,MATCH(RESOURCES!R$3,KPI!$B$1:$T$1,0),FALSE),"-")</f>
        <v>0.15</v>
      </c>
      <c r="S117" s="53">
        <f>IFERROR(VLOOKUP($E117,KPI!$B:$T,MATCH(RESOURCES!S$3,KPI!$B$1:$T$1,0),FALSE),"-")</f>
        <v>0.2</v>
      </c>
      <c r="T117" s="53" t="str">
        <f>IFERROR(VLOOKUP($E117,KPI!$B:$T,MATCH(RESOURCES!T$3,KPI!$B$1:$T$1,0),FALSE),"-")</f>
        <v>-</v>
      </c>
      <c r="U117" s="53" t="str">
        <f>IFERROR(VLOOKUP($E117,KPI!$B:$T,MATCH(RESOURCES!U$3,KPI!$B$1:$T$1,0),FALSE),"-")</f>
        <v>-</v>
      </c>
      <c r="V117" s="53">
        <f>IFERROR(VLOOKUP($E117,KPI!$B:$T,MATCH(RESOURCES!V$3,KPI!$B$1:$T$1,0),FALSE),"-")</f>
        <v>0.05</v>
      </c>
      <c r="W117" s="50">
        <f>IFERROR(VLOOKUP($C117,'PRODUCTIVITY RAW'!$B:$Q,16,FALSE),"-")</f>
        <v>0.9975961538461543</v>
      </c>
      <c r="X117" s="50">
        <f>IFERROR(VLOOKUP($C117,'CHURN RAW'!$A:$H,8,FALSE),"-")</f>
        <v>0.7</v>
      </c>
      <c r="Y117" s="50">
        <f>IFERROR(IF(AVERAGEIFS('QA RAW'!$G:$G,'QA RAW'!$E:$E,RESOURCES!$C117)=0,"-",AVERAGEIFS('QA RAW'!$G:$G,'QA RAW'!$E:$E,RESOURCES!$C117)),"-")</f>
        <v>0.99560000000000004</v>
      </c>
      <c r="Z117" s="50" t="str">
        <f>IFERROR(VLOOKUP($C117,'PR CALIBRATION RAW'!$K:$S,MATCH(RESOURCES!Z$3,'PR CALIBRATION RAW'!$K$1:$S$1,0),FALSE),"-")</f>
        <v>-</v>
      </c>
      <c r="AA117" s="50" t="str">
        <f>IFERROR(VLOOKUP($C117,'DISPUTES RAW (VQA)'!$N:$U,8,FALSE),"-")</f>
        <v>-</v>
      </c>
      <c r="AB117" s="50">
        <f>IFERROR(VLOOKUP($C117,'ATTENDANCE RAW'!$E:$R,13,FALSE),"-")</f>
        <v>1</v>
      </c>
      <c r="AC117" s="50">
        <f>IFERROR(IF($E117="Voice QA",IF(AVERAGEIFS('KC RAW'!$J:$J,'KC RAW'!$B:$B,RESOURCES!$C117)=0,"-",AVERAGEIFS('KC RAW'!$J:$J,'KC RAW'!$B:$B,RESOURCES!$C117)),IF(AVERAGEIFS('KC RAW'!$H:$H,'KC RAW'!$B:$B,RESOURCES!$C117)=0,"-",AVERAGEIFS('KC RAW'!$H:$H,'KC RAW'!$B:$B,RESOURCES!$C117))),"-")</f>
        <v>0.75</v>
      </c>
      <c r="AD117" s="50" t="str">
        <f>IFERROR(AVERAGEIFS('CE RAW'!$G:$G,'CE RAW'!$E:$E,RESOURCES!$C117),"-")</f>
        <v>-</v>
      </c>
      <c r="AE117" s="50" t="str">
        <f>IFERROR(VLOOKUP($C117,'FCR RAW'!$A:$I,7,FALSE),"-")</f>
        <v>-</v>
      </c>
      <c r="AF117" s="50" t="str">
        <f>IFERROR(IF(VLOOKUP($C117,'BONUS RAW'!$D:$I,6,FALSE)=100%,100%,"-"),"-")</f>
        <v>-</v>
      </c>
      <c r="AG117" s="52">
        <f t="shared" si="12"/>
        <v>0.86732530364372495</v>
      </c>
      <c r="AH117" s="56">
        <f t="shared" si="9"/>
        <v>118</v>
      </c>
      <c r="AI117" s="57">
        <f t="shared" si="13"/>
        <v>0.86732530364372495</v>
      </c>
      <c r="AJ117" s="57">
        <f t="shared" si="14"/>
        <v>0.82395903846153862</v>
      </c>
      <c r="AK117" s="325" t="str">
        <f>IFERROR(VLOOKUP($C117,'ATTRITION RAW'!$E:$J,6,FALSE),"-")</f>
        <v>-</v>
      </c>
      <c r="AL117" s="176" t="str">
        <f t="shared" si="15"/>
        <v>-</v>
      </c>
      <c r="AM117" s="454">
        <f>IFERROR(VLOOKUP($C117,'CHURN RAW'!$A:$G,7,FALSE),"-")</f>
        <v>0.25</v>
      </c>
      <c r="AN117" s="456" t="str">
        <f t="shared" si="10"/>
        <v>QUALITY - DESIGNERS</v>
      </c>
    </row>
    <row r="118" spans="2:40">
      <c r="B118" s="637">
        <f t="shared" si="16"/>
        <v>115</v>
      </c>
      <c r="C118" s="93">
        <v>10072457</v>
      </c>
      <c r="D118" s="93" t="s">
        <v>219</v>
      </c>
      <c r="E118" s="88" t="s">
        <v>83</v>
      </c>
      <c r="F118" s="88" t="s">
        <v>214</v>
      </c>
      <c r="G118" s="88" t="s">
        <v>170</v>
      </c>
      <c r="H118" s="88" t="s">
        <v>85</v>
      </c>
      <c r="I118" s="88" t="s">
        <v>86</v>
      </c>
      <c r="J118" s="638"/>
      <c r="K118" s="638">
        <f t="shared" si="17"/>
        <v>43739</v>
      </c>
      <c r="L118" s="639" t="str">
        <f t="shared" si="11"/>
        <v>Expert</v>
      </c>
      <c r="M118" s="53">
        <f>IFERROR(VLOOKUP($E118,KPI!$B:$T,MATCH(RESOURCES!M$3,KPI!$B$1:$T$1,0),FALSE),"-")</f>
        <v>0.25</v>
      </c>
      <c r="N118" s="53">
        <f>IFERROR(VLOOKUP($E118,KPI!$B:$T,MATCH(RESOURCES!N$3,KPI!$B$1:$T$1,0),FALSE),"-")</f>
        <v>0.25</v>
      </c>
      <c r="O118" s="53">
        <f>IFERROR(VLOOKUP($E118,KPI!$B:$T,MATCH(RESOURCES!O$3,KPI!$B$1:$T$1,0),FALSE),"-")</f>
        <v>0.1</v>
      </c>
      <c r="P118" s="53" t="str">
        <f>IFERROR(VLOOKUP($E118,KPI!$B:$T,MATCH(RESOURCES!P$3,KPI!$B$1:$T$1,0),FALSE),"-")</f>
        <v>-</v>
      </c>
      <c r="Q118" s="53" t="str">
        <f>IFERROR(VLOOKUP($E118,KPI!$B:$T,MATCH(RESOURCES!Q$3,KPI!$B$1:$T$1,0),FALSE),"-")</f>
        <v>-</v>
      </c>
      <c r="R118" s="53">
        <f>IFERROR(VLOOKUP($E118,KPI!$B:$T,MATCH(RESOURCES!R$3,KPI!$B$1:$T$1,0),FALSE),"-")</f>
        <v>0.15</v>
      </c>
      <c r="S118" s="53">
        <f>IFERROR(VLOOKUP($E118,KPI!$B:$T,MATCH(RESOURCES!S$3,KPI!$B$1:$T$1,0),FALSE),"-")</f>
        <v>0.2</v>
      </c>
      <c r="T118" s="53" t="str">
        <f>IFERROR(VLOOKUP($E118,KPI!$B:$T,MATCH(RESOURCES!T$3,KPI!$B$1:$T$1,0),FALSE),"-")</f>
        <v>-</v>
      </c>
      <c r="U118" s="53" t="str">
        <f>IFERROR(VLOOKUP($E118,KPI!$B:$T,MATCH(RESOURCES!U$3,KPI!$B$1:$T$1,0),FALSE),"-")</f>
        <v>-</v>
      </c>
      <c r="V118" s="53">
        <f>IFERROR(VLOOKUP($E118,KPI!$B:$T,MATCH(RESOURCES!V$3,KPI!$B$1:$T$1,0),FALSE),"-")</f>
        <v>0.05</v>
      </c>
      <c r="W118" s="50">
        <f>IFERROR(VLOOKUP($C118,'PRODUCTIVITY RAW'!$B:$Q,16,FALSE),"-")</f>
        <v>0.859375</v>
      </c>
      <c r="X118" s="50">
        <f>IFERROR(VLOOKUP($C118,'CHURN RAW'!$A:$H,8,FALSE),"-")</f>
        <v>1</v>
      </c>
      <c r="Y118" s="50">
        <f>IFERROR(IF(AVERAGEIFS('QA RAW'!$G:$G,'QA RAW'!$E:$E,RESOURCES!$C118)=0,"-",AVERAGEIFS('QA RAW'!$G:$G,'QA RAW'!$E:$E,RESOURCES!$C118)),"-")</f>
        <v>1</v>
      </c>
      <c r="Z118" s="50" t="str">
        <f>IFERROR(VLOOKUP($C118,'PR CALIBRATION RAW'!$K:$S,MATCH(RESOURCES!Z$3,'PR CALIBRATION RAW'!$K$1:$S$1,0),FALSE),"-")</f>
        <v>-</v>
      </c>
      <c r="AA118" s="50" t="str">
        <f>IFERROR(VLOOKUP($C118,'DISPUTES RAW (VQA)'!$N:$U,8,FALSE),"-")</f>
        <v>-</v>
      </c>
      <c r="AB118" s="50">
        <f>IFERROR(VLOOKUP($C118,'ATTENDANCE RAW'!$E:$R,13,FALSE),"-")</f>
        <v>1</v>
      </c>
      <c r="AC118" s="50">
        <f>IFERROR(IF($E118="Voice QA",IF(AVERAGEIFS('KC RAW'!$J:$J,'KC RAW'!$B:$B,RESOURCES!$C118)=0,"-",AVERAGEIFS('KC RAW'!$J:$J,'KC RAW'!$B:$B,RESOURCES!$C118)),IF(AVERAGEIFS('KC RAW'!$H:$H,'KC RAW'!$B:$B,RESOURCES!$C118)=0,"-",AVERAGEIFS('KC RAW'!$H:$H,'KC RAW'!$B:$B,RESOURCES!$C118))),"-")</f>
        <v>0.75</v>
      </c>
      <c r="AD118" s="50" t="str">
        <f>IFERROR(AVERAGEIFS('CE RAW'!$G:$G,'CE RAW'!$E:$E,RESOURCES!$C118),"-")</f>
        <v>-</v>
      </c>
      <c r="AE118" s="50" t="str">
        <f>IFERROR(VLOOKUP($C118,'FCR RAW'!$A:$I,7,FALSE),"-")</f>
        <v>-</v>
      </c>
      <c r="AF118" s="50" t="str">
        <f>IFERROR(IF(VLOOKUP($C118,'BONUS RAW'!$D:$I,6,FALSE)=100%,100%,"-"),"-")</f>
        <v>-</v>
      </c>
      <c r="AG118" s="52">
        <f t="shared" si="12"/>
        <v>0.91036184210526327</v>
      </c>
      <c r="AH118" s="56">
        <f t="shared" si="9"/>
        <v>70</v>
      </c>
      <c r="AI118" s="57">
        <f t="shared" si="13"/>
        <v>0.91036184210526327</v>
      </c>
      <c r="AJ118" s="57">
        <f t="shared" si="14"/>
        <v>0.86484375000000002</v>
      </c>
      <c r="AK118" s="325" t="str">
        <f>IFERROR(VLOOKUP($C118,'ATTRITION RAW'!$E:$J,6,FALSE),"-")</f>
        <v>-</v>
      </c>
      <c r="AL118" s="176" t="str">
        <f t="shared" si="15"/>
        <v>-</v>
      </c>
      <c r="AM118" s="454">
        <f>IFERROR(VLOOKUP($C118,'CHURN RAW'!$A:$G,7,FALSE),"-")</f>
        <v>0</v>
      </c>
      <c r="AN118" s="456" t="str">
        <f t="shared" si="10"/>
        <v>QUALITY - DESIGNERS</v>
      </c>
    </row>
    <row r="119" spans="2:40">
      <c r="B119" s="637">
        <f t="shared" si="16"/>
        <v>116</v>
      </c>
      <c r="C119" s="93">
        <v>10070728</v>
      </c>
      <c r="D119" s="93" t="s">
        <v>220</v>
      </c>
      <c r="E119" s="88" t="s">
        <v>83</v>
      </c>
      <c r="F119" s="88" t="s">
        <v>214</v>
      </c>
      <c r="G119" s="88" t="s">
        <v>170</v>
      </c>
      <c r="H119" s="88" t="s">
        <v>85</v>
      </c>
      <c r="I119" s="88" t="s">
        <v>86</v>
      </c>
      <c r="J119" s="638"/>
      <c r="K119" s="638">
        <f t="shared" si="17"/>
        <v>43739</v>
      </c>
      <c r="L119" s="639" t="str">
        <f t="shared" si="11"/>
        <v>Expert</v>
      </c>
      <c r="M119" s="53">
        <f>IFERROR(VLOOKUP($E119,KPI!$B:$T,MATCH(RESOURCES!M$3,KPI!$B$1:$T$1,0),FALSE),"-")</f>
        <v>0.25</v>
      </c>
      <c r="N119" s="53">
        <f>IFERROR(VLOOKUP($E119,KPI!$B:$T,MATCH(RESOURCES!N$3,KPI!$B$1:$T$1,0),FALSE),"-")</f>
        <v>0.25</v>
      </c>
      <c r="O119" s="53">
        <f>IFERROR(VLOOKUP($E119,KPI!$B:$T,MATCH(RESOURCES!O$3,KPI!$B$1:$T$1,0),FALSE),"-")</f>
        <v>0.1</v>
      </c>
      <c r="P119" s="53" t="str">
        <f>IFERROR(VLOOKUP($E119,KPI!$B:$T,MATCH(RESOURCES!P$3,KPI!$B$1:$T$1,0),FALSE),"-")</f>
        <v>-</v>
      </c>
      <c r="Q119" s="53" t="str">
        <f>IFERROR(VLOOKUP($E119,KPI!$B:$T,MATCH(RESOURCES!Q$3,KPI!$B$1:$T$1,0),FALSE),"-")</f>
        <v>-</v>
      </c>
      <c r="R119" s="53">
        <f>IFERROR(VLOOKUP($E119,KPI!$B:$T,MATCH(RESOURCES!R$3,KPI!$B$1:$T$1,0),FALSE),"-")</f>
        <v>0.15</v>
      </c>
      <c r="S119" s="53">
        <f>IFERROR(VLOOKUP($E119,KPI!$B:$T,MATCH(RESOURCES!S$3,KPI!$B$1:$T$1,0),FALSE),"-")</f>
        <v>0.2</v>
      </c>
      <c r="T119" s="53" t="str">
        <f>IFERROR(VLOOKUP($E119,KPI!$B:$T,MATCH(RESOURCES!T$3,KPI!$B$1:$T$1,0),FALSE),"-")</f>
        <v>-</v>
      </c>
      <c r="U119" s="53" t="str">
        <f>IFERROR(VLOOKUP($E119,KPI!$B:$T,MATCH(RESOURCES!U$3,KPI!$B$1:$T$1,0),FALSE),"-")</f>
        <v>-</v>
      </c>
      <c r="V119" s="53">
        <f>IFERROR(VLOOKUP($E119,KPI!$B:$T,MATCH(RESOURCES!V$3,KPI!$B$1:$T$1,0),FALSE),"-")</f>
        <v>0.05</v>
      </c>
      <c r="W119" s="50">
        <f>IFERROR(VLOOKUP($C119,'PRODUCTIVITY RAW'!$B:$Q,16,FALSE),"-")</f>
        <v>1</v>
      </c>
      <c r="X119" s="50">
        <f>IFERROR(VLOOKUP($C119,'CHURN RAW'!$A:$H,8,FALSE),"-")</f>
        <v>0.9</v>
      </c>
      <c r="Y119" s="50">
        <f>IFERROR(IF(AVERAGEIFS('QA RAW'!$G:$G,'QA RAW'!$E:$E,RESOURCES!$C119)=0,"-",AVERAGEIFS('QA RAW'!$G:$G,'QA RAW'!$E:$E,RESOURCES!$C119)),"-")</f>
        <v>0.99560000000000004</v>
      </c>
      <c r="Z119" s="50" t="str">
        <f>IFERROR(VLOOKUP($C119,'PR CALIBRATION RAW'!$K:$S,MATCH(RESOURCES!Z$3,'PR CALIBRATION RAW'!$K$1:$S$1,0),FALSE),"-")</f>
        <v>-</v>
      </c>
      <c r="AA119" s="50" t="str">
        <f>IFERROR(VLOOKUP($C119,'DISPUTES RAW (VQA)'!$N:$U,8,FALSE),"-")</f>
        <v>-</v>
      </c>
      <c r="AB119" s="50">
        <f>IFERROR(VLOOKUP($C119,'ATTENDANCE RAW'!$E:$R,13,FALSE),"-")</f>
        <v>1</v>
      </c>
      <c r="AC119" s="50">
        <f>IFERROR(IF($E119="Voice QA",IF(AVERAGEIFS('KC RAW'!$J:$J,'KC RAW'!$B:$B,RESOURCES!$C119)=0,"-",AVERAGEIFS('KC RAW'!$J:$J,'KC RAW'!$B:$B,RESOURCES!$C119)),IF(AVERAGEIFS('KC RAW'!$H:$H,'KC RAW'!$B:$B,RESOURCES!$C119)=0,"-",AVERAGEIFS('KC RAW'!$H:$H,'KC RAW'!$B:$B,RESOURCES!$C119))),"-")</f>
        <v>0.64999999999999991</v>
      </c>
      <c r="AD119" s="50" t="str">
        <f>IFERROR(AVERAGEIFS('CE RAW'!$G:$G,'CE RAW'!$E:$E,RESOURCES!$C119),"-")</f>
        <v>-</v>
      </c>
      <c r="AE119" s="50" t="str">
        <f>IFERROR(VLOOKUP($C119,'FCR RAW'!$A:$I,7,FALSE),"-")</f>
        <v>-</v>
      </c>
      <c r="AF119" s="50">
        <f>IFERROR(IF(VLOOKUP($C119,'BONUS RAW'!$D:$I,6,FALSE)=100%,100%,"-"),"-")</f>
        <v>1</v>
      </c>
      <c r="AG119" s="52">
        <f t="shared" si="12"/>
        <v>0.90456000000000003</v>
      </c>
      <c r="AH119" s="56">
        <f t="shared" si="9"/>
        <v>80</v>
      </c>
      <c r="AI119" s="57">
        <f t="shared" si="13"/>
        <v>0.89953684210526319</v>
      </c>
      <c r="AJ119" s="57">
        <f t="shared" si="14"/>
        <v>0.90456000000000003</v>
      </c>
      <c r="AK119" s="325" t="str">
        <f>IFERROR(VLOOKUP($C119,'ATTRITION RAW'!$E:$J,6,FALSE),"-")</f>
        <v>-</v>
      </c>
      <c r="AL119" s="176" t="str">
        <f t="shared" si="15"/>
        <v>-</v>
      </c>
      <c r="AM119" s="454">
        <f>IFERROR(VLOOKUP($C119,'CHURN RAW'!$A:$G,7,FALSE),"-")</f>
        <v>0.14810000000000001</v>
      </c>
      <c r="AN119" s="456" t="str">
        <f t="shared" si="10"/>
        <v>QUALITY - DESIGNERS</v>
      </c>
    </row>
    <row r="120" spans="2:40">
      <c r="B120" s="637">
        <f t="shared" si="16"/>
        <v>117</v>
      </c>
      <c r="C120" s="93">
        <v>10071310</v>
      </c>
      <c r="D120" s="93" t="s">
        <v>221</v>
      </c>
      <c r="E120" s="88" t="s">
        <v>83</v>
      </c>
      <c r="F120" s="88" t="s">
        <v>214</v>
      </c>
      <c r="G120" s="88" t="s">
        <v>170</v>
      </c>
      <c r="H120" s="88" t="s">
        <v>85</v>
      </c>
      <c r="I120" s="88" t="s">
        <v>86</v>
      </c>
      <c r="J120" s="638"/>
      <c r="K120" s="638">
        <f t="shared" si="17"/>
        <v>43739</v>
      </c>
      <c r="L120" s="639" t="str">
        <f t="shared" si="11"/>
        <v>Expert</v>
      </c>
      <c r="M120" s="53">
        <f>IFERROR(VLOOKUP($E120,KPI!$B:$T,MATCH(RESOURCES!M$3,KPI!$B$1:$T$1,0),FALSE),"-")</f>
        <v>0.25</v>
      </c>
      <c r="N120" s="53">
        <f>IFERROR(VLOOKUP($E120,KPI!$B:$T,MATCH(RESOURCES!N$3,KPI!$B$1:$T$1,0),FALSE),"-")</f>
        <v>0.25</v>
      </c>
      <c r="O120" s="53">
        <f>IFERROR(VLOOKUP($E120,KPI!$B:$T,MATCH(RESOURCES!O$3,KPI!$B$1:$T$1,0),FALSE),"-")</f>
        <v>0.1</v>
      </c>
      <c r="P120" s="53" t="str">
        <f>IFERROR(VLOOKUP($E120,KPI!$B:$T,MATCH(RESOURCES!P$3,KPI!$B$1:$T$1,0),FALSE),"-")</f>
        <v>-</v>
      </c>
      <c r="Q120" s="53" t="str">
        <f>IFERROR(VLOOKUP($E120,KPI!$B:$T,MATCH(RESOURCES!Q$3,KPI!$B$1:$T$1,0),FALSE),"-")</f>
        <v>-</v>
      </c>
      <c r="R120" s="53">
        <f>IFERROR(VLOOKUP($E120,KPI!$B:$T,MATCH(RESOURCES!R$3,KPI!$B$1:$T$1,0),FALSE),"-")</f>
        <v>0.15</v>
      </c>
      <c r="S120" s="53">
        <f>IFERROR(VLOOKUP($E120,KPI!$B:$T,MATCH(RESOURCES!S$3,KPI!$B$1:$T$1,0),FALSE),"-")</f>
        <v>0.2</v>
      </c>
      <c r="T120" s="53" t="str">
        <f>IFERROR(VLOOKUP($E120,KPI!$B:$T,MATCH(RESOURCES!T$3,KPI!$B$1:$T$1,0),FALSE),"-")</f>
        <v>-</v>
      </c>
      <c r="U120" s="53" t="str">
        <f>IFERROR(VLOOKUP($E120,KPI!$B:$T,MATCH(RESOURCES!U$3,KPI!$B$1:$T$1,0),FALSE),"-")</f>
        <v>-</v>
      </c>
      <c r="V120" s="53">
        <f>IFERROR(VLOOKUP($E120,KPI!$B:$T,MATCH(RESOURCES!V$3,KPI!$B$1:$T$1,0),FALSE),"-")</f>
        <v>0.05</v>
      </c>
      <c r="W120" s="50">
        <f>IFERROR(VLOOKUP($C120,'PRODUCTIVITY RAW'!$B:$Q,16,FALSE),"-")</f>
        <v>0.97226562500000069</v>
      </c>
      <c r="X120" s="50">
        <f>IFERROR(VLOOKUP($C120,'CHURN RAW'!$A:$H,8,FALSE),"-")</f>
        <v>0.8</v>
      </c>
      <c r="Y120" s="50">
        <f>IFERROR(IF(AVERAGEIFS('QA RAW'!$G:$G,'QA RAW'!$E:$E,RESOURCES!$C120)=0,"-",AVERAGEIFS('QA RAW'!$G:$G,'QA RAW'!$E:$E,RESOURCES!$C120)),"-")</f>
        <v>0.99590000000000001</v>
      </c>
      <c r="Z120" s="50" t="str">
        <f>IFERROR(VLOOKUP($C120,'PR CALIBRATION RAW'!$K:$S,MATCH(RESOURCES!Z$3,'PR CALIBRATION RAW'!$K$1:$S$1,0),FALSE),"-")</f>
        <v>-</v>
      </c>
      <c r="AA120" s="50" t="str">
        <f>IFERROR(VLOOKUP($C120,'DISPUTES RAW (VQA)'!$N:$U,8,FALSE),"-")</f>
        <v>-</v>
      </c>
      <c r="AB120" s="50">
        <f>IFERROR(VLOOKUP($C120,'ATTENDANCE RAW'!$E:$R,13,FALSE),"-")</f>
        <v>0.95454545454545459</v>
      </c>
      <c r="AC120" s="50">
        <f>IFERROR(IF($E120="Voice QA",IF(AVERAGEIFS('KC RAW'!$J:$J,'KC RAW'!$B:$B,RESOURCES!$C120)=0,"-",AVERAGEIFS('KC RAW'!$J:$J,'KC RAW'!$B:$B,RESOURCES!$C120)),IF(AVERAGEIFS('KC RAW'!$H:$H,'KC RAW'!$B:$B,RESOURCES!$C120)=0,"-",AVERAGEIFS('KC RAW'!$H:$H,'KC RAW'!$B:$B,RESOURCES!$C120))),"-")</f>
        <v>0.85</v>
      </c>
      <c r="AD120" s="50" t="str">
        <f>IFERROR(AVERAGEIFS('CE RAW'!$G:$G,'CE RAW'!$E:$E,RESOURCES!$C120),"-")</f>
        <v>-</v>
      </c>
      <c r="AE120" s="50" t="str">
        <f>IFERROR(VLOOKUP($C120,'FCR RAW'!$A:$I,7,FALSE),"-")</f>
        <v>-</v>
      </c>
      <c r="AF120" s="50">
        <f>IFERROR(IF(VLOOKUP($C120,'BONUS RAW'!$D:$I,6,FALSE)=100%,100%,"-"),"-")</f>
        <v>1</v>
      </c>
      <c r="AG120" s="52">
        <f t="shared" si="12"/>
        <v>0.90583822443181838</v>
      </c>
      <c r="AH120" s="56">
        <f t="shared" si="9"/>
        <v>76</v>
      </c>
      <c r="AI120" s="57">
        <f t="shared" si="13"/>
        <v>0.90088234150717728</v>
      </c>
      <c r="AJ120" s="57">
        <f t="shared" si="14"/>
        <v>0.90583822443181838</v>
      </c>
      <c r="AK120" s="325" t="str">
        <f>IFERROR(VLOOKUP($C120,'ATTRITION RAW'!$E:$J,6,FALSE),"-")</f>
        <v>-</v>
      </c>
      <c r="AL120" s="176" t="str">
        <f t="shared" si="15"/>
        <v>-</v>
      </c>
      <c r="AM120" s="454">
        <f>IFERROR(VLOOKUP($C120,'CHURN RAW'!$A:$G,7,FALSE),"-")</f>
        <v>0.2414</v>
      </c>
      <c r="AN120" s="456" t="str">
        <f t="shared" si="10"/>
        <v>QUALITY - DESIGNERS</v>
      </c>
    </row>
    <row r="121" spans="2:40">
      <c r="B121" s="637">
        <f t="shared" si="16"/>
        <v>118</v>
      </c>
      <c r="C121" s="93">
        <v>10072515</v>
      </c>
      <c r="D121" s="93" t="s">
        <v>222</v>
      </c>
      <c r="E121" s="88" t="s">
        <v>83</v>
      </c>
      <c r="F121" s="88" t="s">
        <v>214</v>
      </c>
      <c r="G121" s="88" t="s">
        <v>170</v>
      </c>
      <c r="H121" s="88" t="s">
        <v>85</v>
      </c>
      <c r="I121" s="88" t="s">
        <v>86</v>
      </c>
      <c r="J121" s="638"/>
      <c r="K121" s="638">
        <f t="shared" si="17"/>
        <v>43739</v>
      </c>
      <c r="L121" s="639" t="str">
        <f t="shared" si="11"/>
        <v>Expert</v>
      </c>
      <c r="M121" s="53">
        <f>IFERROR(VLOOKUP($E121,KPI!$B:$T,MATCH(RESOURCES!M$3,KPI!$B$1:$T$1,0),FALSE),"-")</f>
        <v>0.25</v>
      </c>
      <c r="N121" s="53">
        <f>IFERROR(VLOOKUP($E121,KPI!$B:$T,MATCH(RESOURCES!N$3,KPI!$B$1:$T$1,0),FALSE),"-")</f>
        <v>0.25</v>
      </c>
      <c r="O121" s="53">
        <f>IFERROR(VLOOKUP($E121,KPI!$B:$T,MATCH(RESOURCES!O$3,KPI!$B$1:$T$1,0),FALSE),"-")</f>
        <v>0.1</v>
      </c>
      <c r="P121" s="53" t="str">
        <f>IFERROR(VLOOKUP($E121,KPI!$B:$T,MATCH(RESOURCES!P$3,KPI!$B$1:$T$1,0),FALSE),"-")</f>
        <v>-</v>
      </c>
      <c r="Q121" s="53" t="str">
        <f>IFERROR(VLOOKUP($E121,KPI!$B:$T,MATCH(RESOURCES!Q$3,KPI!$B$1:$T$1,0),FALSE),"-")</f>
        <v>-</v>
      </c>
      <c r="R121" s="53">
        <f>IFERROR(VLOOKUP($E121,KPI!$B:$T,MATCH(RESOURCES!R$3,KPI!$B$1:$T$1,0),FALSE),"-")</f>
        <v>0.15</v>
      </c>
      <c r="S121" s="53">
        <f>IFERROR(VLOOKUP($E121,KPI!$B:$T,MATCH(RESOURCES!S$3,KPI!$B$1:$T$1,0),FALSE),"-")</f>
        <v>0.2</v>
      </c>
      <c r="T121" s="53" t="str">
        <f>IFERROR(VLOOKUP($E121,KPI!$B:$T,MATCH(RESOURCES!T$3,KPI!$B$1:$T$1,0),FALSE),"-")</f>
        <v>-</v>
      </c>
      <c r="U121" s="53" t="str">
        <f>IFERROR(VLOOKUP($E121,KPI!$B:$T,MATCH(RESOURCES!U$3,KPI!$B$1:$T$1,0),FALSE),"-")</f>
        <v>-</v>
      </c>
      <c r="V121" s="53">
        <f>IFERROR(VLOOKUP($E121,KPI!$B:$T,MATCH(RESOURCES!V$3,KPI!$B$1:$T$1,0),FALSE),"-")</f>
        <v>0.05</v>
      </c>
      <c r="W121" s="50">
        <f>IFERROR(VLOOKUP($C121,'PRODUCTIVITY RAW'!$B:$Q,16,FALSE),"-")</f>
        <v>1</v>
      </c>
      <c r="X121" s="50">
        <f>IFERROR(VLOOKUP($C121,'CHURN RAW'!$A:$H,8,FALSE),"-")</f>
        <v>0.9</v>
      </c>
      <c r="Y121" s="50">
        <f>IFERROR(IF(AVERAGEIFS('QA RAW'!$G:$G,'QA RAW'!$E:$E,RESOURCES!$C121)=0,"-",AVERAGEIFS('QA RAW'!$G:$G,'QA RAW'!$E:$E,RESOURCES!$C121)),"-")</f>
        <v>0.99919999999999998</v>
      </c>
      <c r="Z121" s="50" t="str">
        <f>IFERROR(VLOOKUP($C121,'PR CALIBRATION RAW'!$K:$S,MATCH(RESOURCES!Z$3,'PR CALIBRATION RAW'!$K$1:$S$1,0),FALSE),"-")</f>
        <v>-</v>
      </c>
      <c r="AA121" s="50" t="str">
        <f>IFERROR(VLOOKUP($C121,'DISPUTES RAW (VQA)'!$N:$U,8,FALSE),"-")</f>
        <v>-</v>
      </c>
      <c r="AB121" s="50">
        <f>IFERROR(VLOOKUP($C121,'ATTENDANCE RAW'!$E:$R,13,FALSE),"-")</f>
        <v>0.90909090909090906</v>
      </c>
      <c r="AC121" s="50">
        <f>IFERROR(IF($E121="Voice QA",IF(AVERAGEIFS('KC RAW'!$J:$J,'KC RAW'!$B:$B,RESOURCES!$C121)=0,"-",AVERAGEIFS('KC RAW'!$J:$J,'KC RAW'!$B:$B,RESOURCES!$C121)),IF(AVERAGEIFS('KC RAW'!$H:$H,'KC RAW'!$B:$B,RESOURCES!$C121)=0,"-",AVERAGEIFS('KC RAW'!$H:$H,'KC RAW'!$B:$B,RESOURCES!$C121))),"-")</f>
        <v>0.6</v>
      </c>
      <c r="AD121" s="50" t="str">
        <f>IFERROR(AVERAGEIFS('CE RAW'!$G:$G,'CE RAW'!$E:$E,RESOURCES!$C121),"-")</f>
        <v>-</v>
      </c>
      <c r="AE121" s="50" t="str">
        <f>IFERROR(VLOOKUP($C121,'FCR RAW'!$A:$I,7,FALSE),"-")</f>
        <v>-</v>
      </c>
      <c r="AF121" s="50">
        <f>IFERROR(IF(VLOOKUP($C121,'BONUS RAW'!$D:$I,6,FALSE)=100%,100%,"-"),"-")</f>
        <v>1</v>
      </c>
      <c r="AG121" s="52">
        <f t="shared" si="12"/>
        <v>0.88128363636363638</v>
      </c>
      <c r="AH121" s="56">
        <f t="shared" si="9"/>
        <v>108</v>
      </c>
      <c r="AI121" s="57">
        <f t="shared" si="13"/>
        <v>0.87503540669856461</v>
      </c>
      <c r="AJ121" s="57">
        <f t="shared" si="14"/>
        <v>0.88128363636363638</v>
      </c>
      <c r="AK121" s="325" t="str">
        <f>IFERROR(VLOOKUP($C121,'ATTRITION RAW'!$E:$J,6,FALSE),"-")</f>
        <v>-</v>
      </c>
      <c r="AL121" s="176" t="str">
        <f t="shared" si="15"/>
        <v>-</v>
      </c>
      <c r="AM121" s="454">
        <f>IFERROR(VLOOKUP($C121,'CHURN RAW'!$A:$G,7,FALSE),"-")</f>
        <v>5.5599999999999997E-2</v>
      </c>
      <c r="AN121" s="456" t="str">
        <f t="shared" si="10"/>
        <v>QUALITY - DESIGNERS</v>
      </c>
    </row>
    <row r="122" spans="2:40">
      <c r="B122" s="637">
        <f t="shared" si="16"/>
        <v>119</v>
      </c>
      <c r="C122" s="93">
        <v>10072211</v>
      </c>
      <c r="D122" s="93" t="s">
        <v>223</v>
      </c>
      <c r="E122" s="88" t="s">
        <v>83</v>
      </c>
      <c r="F122" s="88" t="s">
        <v>214</v>
      </c>
      <c r="G122" s="88" t="s">
        <v>170</v>
      </c>
      <c r="H122" s="88" t="s">
        <v>85</v>
      </c>
      <c r="I122" s="88" t="s">
        <v>86</v>
      </c>
      <c r="J122" s="638"/>
      <c r="K122" s="638">
        <f t="shared" si="17"/>
        <v>43739</v>
      </c>
      <c r="L122" s="639" t="str">
        <f t="shared" si="11"/>
        <v>Expert</v>
      </c>
      <c r="M122" s="53">
        <f>IFERROR(VLOOKUP($E122,KPI!$B:$T,MATCH(RESOURCES!M$3,KPI!$B$1:$T$1,0),FALSE),"-")</f>
        <v>0.25</v>
      </c>
      <c r="N122" s="53">
        <f>IFERROR(VLOOKUP($E122,KPI!$B:$T,MATCH(RESOURCES!N$3,KPI!$B$1:$T$1,0),FALSE),"-")</f>
        <v>0.25</v>
      </c>
      <c r="O122" s="53">
        <f>IFERROR(VLOOKUP($E122,KPI!$B:$T,MATCH(RESOURCES!O$3,KPI!$B$1:$T$1,0),FALSE),"-")</f>
        <v>0.1</v>
      </c>
      <c r="P122" s="53" t="str">
        <f>IFERROR(VLOOKUP($E122,KPI!$B:$T,MATCH(RESOURCES!P$3,KPI!$B$1:$T$1,0),FALSE),"-")</f>
        <v>-</v>
      </c>
      <c r="Q122" s="53" t="str">
        <f>IFERROR(VLOOKUP($E122,KPI!$B:$T,MATCH(RESOURCES!Q$3,KPI!$B$1:$T$1,0),FALSE),"-")</f>
        <v>-</v>
      </c>
      <c r="R122" s="53">
        <f>IFERROR(VLOOKUP($E122,KPI!$B:$T,MATCH(RESOURCES!R$3,KPI!$B$1:$T$1,0),FALSE),"-")</f>
        <v>0.15</v>
      </c>
      <c r="S122" s="53">
        <f>IFERROR(VLOOKUP($E122,KPI!$B:$T,MATCH(RESOURCES!S$3,KPI!$B$1:$T$1,0),FALSE),"-")</f>
        <v>0.2</v>
      </c>
      <c r="T122" s="53" t="str">
        <f>IFERROR(VLOOKUP($E122,KPI!$B:$T,MATCH(RESOURCES!T$3,KPI!$B$1:$T$1,0),FALSE),"-")</f>
        <v>-</v>
      </c>
      <c r="U122" s="53" t="str">
        <f>IFERROR(VLOOKUP($E122,KPI!$B:$T,MATCH(RESOURCES!U$3,KPI!$B$1:$T$1,0),FALSE),"-")</f>
        <v>-</v>
      </c>
      <c r="V122" s="53">
        <f>IFERROR(VLOOKUP($E122,KPI!$B:$T,MATCH(RESOURCES!V$3,KPI!$B$1:$T$1,0),FALSE),"-")</f>
        <v>0.05</v>
      </c>
      <c r="W122" s="50">
        <f>IFERROR(VLOOKUP($C122,'PRODUCTIVITY RAW'!$B:$Q,16,FALSE),"-")</f>
        <v>0.99273797841020617</v>
      </c>
      <c r="X122" s="50">
        <f>IFERROR(VLOOKUP($C122,'CHURN RAW'!$A:$H,8,FALSE),"-")</f>
        <v>0.8</v>
      </c>
      <c r="Y122" s="50">
        <f>IFERROR(IF(AVERAGEIFS('QA RAW'!$G:$G,'QA RAW'!$E:$E,RESOURCES!$C122)=0,"-",AVERAGEIFS('QA RAW'!$G:$G,'QA RAW'!$E:$E,RESOURCES!$C122)),"-")</f>
        <v>0.99729999999999996</v>
      </c>
      <c r="Z122" s="50" t="str">
        <f>IFERROR(VLOOKUP($C122,'PR CALIBRATION RAW'!$K:$S,MATCH(RESOURCES!Z$3,'PR CALIBRATION RAW'!$K$1:$S$1,0),FALSE),"-")</f>
        <v>-</v>
      </c>
      <c r="AA122" s="50" t="str">
        <f>IFERROR(VLOOKUP($C122,'DISPUTES RAW (VQA)'!$N:$U,8,FALSE),"-")</f>
        <v>-</v>
      </c>
      <c r="AB122" s="50">
        <f>IFERROR(VLOOKUP($C122,'ATTENDANCE RAW'!$E:$R,13,FALSE),"-")</f>
        <v>1</v>
      </c>
      <c r="AC122" s="50">
        <f>IFERROR(IF($E122="Voice QA",IF(AVERAGEIFS('KC RAW'!$J:$J,'KC RAW'!$B:$B,RESOURCES!$C122)=0,"-",AVERAGEIFS('KC RAW'!$J:$J,'KC RAW'!$B:$B,RESOURCES!$C122)),IF(AVERAGEIFS('KC RAW'!$H:$H,'KC RAW'!$B:$B,RESOURCES!$C122)=0,"-",AVERAGEIFS('KC RAW'!$H:$H,'KC RAW'!$B:$B,RESOURCES!$C122))),"-")</f>
        <v>0.7</v>
      </c>
      <c r="AD122" s="50" t="str">
        <f>IFERROR(AVERAGEIFS('CE RAW'!$G:$G,'CE RAW'!$E:$E,RESOURCES!$C122),"-")</f>
        <v>-</v>
      </c>
      <c r="AE122" s="50" t="str">
        <f>IFERROR(VLOOKUP($C122,'FCR RAW'!$A:$I,7,FALSE),"-")</f>
        <v>-</v>
      </c>
      <c r="AF122" s="50">
        <f>IFERROR(IF(VLOOKUP($C122,'BONUS RAW'!$D:$I,6,FALSE)=100%,100%,"-"),"-")</f>
        <v>1</v>
      </c>
      <c r="AG122" s="52">
        <f t="shared" si="12"/>
        <v>0.88791449460255167</v>
      </c>
      <c r="AH122" s="56">
        <f t="shared" si="9"/>
        <v>100</v>
      </c>
      <c r="AI122" s="57">
        <f t="shared" si="13"/>
        <v>0.88201525747637022</v>
      </c>
      <c r="AJ122" s="57">
        <f t="shared" si="14"/>
        <v>0.88791449460255167</v>
      </c>
      <c r="AK122" s="325" t="str">
        <f>IFERROR(VLOOKUP($C122,'ATTRITION RAW'!$E:$J,6,FALSE),"-")</f>
        <v>-</v>
      </c>
      <c r="AL122" s="176" t="str">
        <f t="shared" si="15"/>
        <v>-</v>
      </c>
      <c r="AM122" s="454">
        <f>IFERROR(VLOOKUP($C122,'CHURN RAW'!$A:$G,7,FALSE),"-")</f>
        <v>0.17860000000000001</v>
      </c>
      <c r="AN122" s="456" t="str">
        <f t="shared" si="10"/>
        <v>QUALITY - DESIGNERS</v>
      </c>
    </row>
    <row r="123" spans="2:40">
      <c r="B123" s="637">
        <f t="shared" si="16"/>
        <v>120</v>
      </c>
      <c r="C123" s="93">
        <v>10072460</v>
      </c>
      <c r="D123" s="93" t="s">
        <v>224</v>
      </c>
      <c r="E123" s="88" t="s">
        <v>83</v>
      </c>
      <c r="F123" s="88" t="s">
        <v>214</v>
      </c>
      <c r="G123" s="88" t="s">
        <v>170</v>
      </c>
      <c r="H123" s="88" t="s">
        <v>85</v>
      </c>
      <c r="I123" s="88" t="s">
        <v>86</v>
      </c>
      <c r="J123" s="638"/>
      <c r="K123" s="638">
        <f t="shared" si="17"/>
        <v>43739</v>
      </c>
      <c r="L123" s="639" t="str">
        <f t="shared" si="11"/>
        <v>Expert</v>
      </c>
      <c r="M123" s="53">
        <f>IFERROR(VLOOKUP($E123,KPI!$B:$T,MATCH(RESOURCES!M$3,KPI!$B$1:$T$1,0),FALSE),"-")</f>
        <v>0.25</v>
      </c>
      <c r="N123" s="53">
        <f>IFERROR(VLOOKUP($E123,KPI!$B:$T,MATCH(RESOURCES!N$3,KPI!$B$1:$T$1,0),FALSE),"-")</f>
        <v>0.25</v>
      </c>
      <c r="O123" s="53">
        <f>IFERROR(VLOOKUP($E123,KPI!$B:$T,MATCH(RESOURCES!O$3,KPI!$B$1:$T$1,0),FALSE),"-")</f>
        <v>0.1</v>
      </c>
      <c r="P123" s="53" t="str">
        <f>IFERROR(VLOOKUP($E123,KPI!$B:$T,MATCH(RESOURCES!P$3,KPI!$B$1:$T$1,0),FALSE),"-")</f>
        <v>-</v>
      </c>
      <c r="Q123" s="53" t="str">
        <f>IFERROR(VLOOKUP($E123,KPI!$B:$T,MATCH(RESOURCES!Q$3,KPI!$B$1:$T$1,0),FALSE),"-")</f>
        <v>-</v>
      </c>
      <c r="R123" s="53">
        <f>IFERROR(VLOOKUP($E123,KPI!$B:$T,MATCH(RESOURCES!R$3,KPI!$B$1:$T$1,0),FALSE),"-")</f>
        <v>0.15</v>
      </c>
      <c r="S123" s="53">
        <f>IFERROR(VLOOKUP($E123,KPI!$B:$T,MATCH(RESOURCES!S$3,KPI!$B$1:$T$1,0),FALSE),"-")</f>
        <v>0.2</v>
      </c>
      <c r="T123" s="53" t="str">
        <f>IFERROR(VLOOKUP($E123,KPI!$B:$T,MATCH(RESOURCES!T$3,KPI!$B$1:$T$1,0),FALSE),"-")</f>
        <v>-</v>
      </c>
      <c r="U123" s="53" t="str">
        <f>IFERROR(VLOOKUP($E123,KPI!$B:$T,MATCH(RESOURCES!U$3,KPI!$B$1:$T$1,0),FALSE),"-")</f>
        <v>-</v>
      </c>
      <c r="V123" s="53">
        <f>IFERROR(VLOOKUP($E123,KPI!$B:$T,MATCH(RESOURCES!V$3,KPI!$B$1:$T$1,0),FALSE),"-")</f>
        <v>0.05</v>
      </c>
      <c r="W123" s="50">
        <f>IFERROR(VLOOKUP($C123,'PRODUCTIVITY RAW'!$B:$Q,16,FALSE),"-")</f>
        <v>0.99769494850416873</v>
      </c>
      <c r="X123" s="50">
        <f>IFERROR(VLOOKUP($C123,'CHURN RAW'!$A:$H,8,FALSE),"-")</f>
        <v>0.9</v>
      </c>
      <c r="Y123" s="50">
        <f>IFERROR(IF(AVERAGEIFS('QA RAW'!$G:$G,'QA RAW'!$E:$E,RESOURCES!$C123)=0,"-",AVERAGEIFS('QA RAW'!$G:$G,'QA RAW'!$E:$E,RESOURCES!$C123)),"-")</f>
        <v>0.99939999999999996</v>
      </c>
      <c r="Z123" s="50" t="str">
        <f>IFERROR(VLOOKUP($C123,'PR CALIBRATION RAW'!$K:$S,MATCH(RESOURCES!Z$3,'PR CALIBRATION RAW'!$K$1:$S$1,0),FALSE),"-")</f>
        <v>-</v>
      </c>
      <c r="AA123" s="50" t="str">
        <f>IFERROR(VLOOKUP($C123,'DISPUTES RAW (VQA)'!$N:$U,8,FALSE),"-")</f>
        <v>-</v>
      </c>
      <c r="AB123" s="50">
        <f>IFERROR(VLOOKUP($C123,'ATTENDANCE RAW'!$E:$R,13,FALSE),"-")</f>
        <v>0.90909090909090906</v>
      </c>
      <c r="AC123" s="50">
        <f>IFERROR(IF($E123="Voice QA",IF(AVERAGEIFS('KC RAW'!$J:$J,'KC RAW'!$B:$B,RESOURCES!$C123)=0,"-",AVERAGEIFS('KC RAW'!$J:$J,'KC RAW'!$B:$B,RESOURCES!$C123)),IF(AVERAGEIFS('KC RAW'!$H:$H,'KC RAW'!$B:$B,RESOURCES!$C123)=0,"-",AVERAGEIFS('KC RAW'!$H:$H,'KC RAW'!$B:$B,RESOURCES!$C123))),"-")</f>
        <v>0.8</v>
      </c>
      <c r="AD123" s="50" t="str">
        <f>IFERROR(AVERAGEIFS('CE RAW'!$G:$G,'CE RAW'!$E:$E,RESOURCES!$C123),"-")</f>
        <v>-</v>
      </c>
      <c r="AE123" s="50" t="str">
        <f>IFERROR(VLOOKUP($C123,'FCR RAW'!$A:$I,7,FALSE),"-")</f>
        <v>-</v>
      </c>
      <c r="AF123" s="50">
        <f>IFERROR(IF(VLOOKUP($C123,'BONUS RAW'!$D:$I,6,FALSE)=100%,100%,"-"),"-")</f>
        <v>1</v>
      </c>
      <c r="AG123" s="52">
        <f t="shared" si="12"/>
        <v>0.92072737348967859</v>
      </c>
      <c r="AH123" s="56">
        <f t="shared" si="9"/>
        <v>60</v>
      </c>
      <c r="AI123" s="57">
        <f t="shared" si="13"/>
        <v>0.91655512998913535</v>
      </c>
      <c r="AJ123" s="57">
        <f t="shared" si="14"/>
        <v>0.92072737348967859</v>
      </c>
      <c r="AK123" s="325" t="str">
        <f>IFERROR(VLOOKUP($C123,'ATTRITION RAW'!$E:$J,6,FALSE),"-")</f>
        <v>-</v>
      </c>
      <c r="AL123" s="176" t="str">
        <f t="shared" si="15"/>
        <v>-</v>
      </c>
      <c r="AM123" s="454">
        <f>IFERROR(VLOOKUP($C123,'CHURN RAW'!$A:$G,7,FALSE),"-")</f>
        <v>0.125</v>
      </c>
      <c r="AN123" s="456" t="str">
        <f t="shared" si="10"/>
        <v>QUALITY - DESIGNERS</v>
      </c>
    </row>
    <row r="124" spans="2:40">
      <c r="B124" s="637">
        <f t="shared" si="16"/>
        <v>121</v>
      </c>
      <c r="C124" s="93">
        <v>10071903</v>
      </c>
      <c r="D124" s="93" t="s">
        <v>225</v>
      </c>
      <c r="E124" s="88" t="s">
        <v>83</v>
      </c>
      <c r="F124" s="88" t="s">
        <v>214</v>
      </c>
      <c r="G124" s="88" t="s">
        <v>170</v>
      </c>
      <c r="H124" s="88" t="s">
        <v>85</v>
      </c>
      <c r="I124" s="88" t="s">
        <v>86</v>
      </c>
      <c r="J124" s="638"/>
      <c r="K124" s="638">
        <f t="shared" si="17"/>
        <v>43739</v>
      </c>
      <c r="L124" s="639" t="str">
        <f t="shared" si="11"/>
        <v>Expert</v>
      </c>
      <c r="M124" s="53">
        <f>IFERROR(VLOOKUP($E124,KPI!$B:$T,MATCH(RESOURCES!M$3,KPI!$B$1:$T$1,0),FALSE),"-")</f>
        <v>0.25</v>
      </c>
      <c r="N124" s="53">
        <f>IFERROR(VLOOKUP($E124,KPI!$B:$T,MATCH(RESOURCES!N$3,KPI!$B$1:$T$1,0),FALSE),"-")</f>
        <v>0.25</v>
      </c>
      <c r="O124" s="53">
        <f>IFERROR(VLOOKUP($E124,KPI!$B:$T,MATCH(RESOURCES!O$3,KPI!$B$1:$T$1,0),FALSE),"-")</f>
        <v>0.1</v>
      </c>
      <c r="P124" s="53" t="str">
        <f>IFERROR(VLOOKUP($E124,KPI!$B:$T,MATCH(RESOURCES!P$3,KPI!$B$1:$T$1,0),FALSE),"-")</f>
        <v>-</v>
      </c>
      <c r="Q124" s="53" t="str">
        <f>IFERROR(VLOOKUP($E124,KPI!$B:$T,MATCH(RESOURCES!Q$3,KPI!$B$1:$T$1,0),FALSE),"-")</f>
        <v>-</v>
      </c>
      <c r="R124" s="53">
        <f>IFERROR(VLOOKUP($E124,KPI!$B:$T,MATCH(RESOURCES!R$3,KPI!$B$1:$T$1,0),FALSE),"-")</f>
        <v>0.15</v>
      </c>
      <c r="S124" s="53">
        <f>IFERROR(VLOOKUP($E124,KPI!$B:$T,MATCH(RESOURCES!S$3,KPI!$B$1:$T$1,0),FALSE),"-")</f>
        <v>0.2</v>
      </c>
      <c r="T124" s="53" t="str">
        <f>IFERROR(VLOOKUP($E124,KPI!$B:$T,MATCH(RESOURCES!T$3,KPI!$B$1:$T$1,0),FALSE),"-")</f>
        <v>-</v>
      </c>
      <c r="U124" s="53" t="str">
        <f>IFERROR(VLOOKUP($E124,KPI!$B:$T,MATCH(RESOURCES!U$3,KPI!$B$1:$T$1,0),FALSE),"-")</f>
        <v>-</v>
      </c>
      <c r="V124" s="53">
        <f>IFERROR(VLOOKUP($E124,KPI!$B:$T,MATCH(RESOURCES!V$3,KPI!$B$1:$T$1,0),FALSE),"-")</f>
        <v>0.05</v>
      </c>
      <c r="W124" s="50">
        <f>IFERROR(VLOOKUP($C124,'PRODUCTIVITY RAW'!$B:$Q,16,FALSE),"-")</f>
        <v>1</v>
      </c>
      <c r="X124" s="50">
        <f>IFERROR(VLOOKUP($C124,'CHURN RAW'!$A:$H,8,FALSE),"-")</f>
        <v>1</v>
      </c>
      <c r="Y124" s="50">
        <f>IFERROR(IF(AVERAGEIFS('QA RAW'!$G:$G,'QA RAW'!$E:$E,RESOURCES!$C124)=0,"-",AVERAGEIFS('QA RAW'!$G:$G,'QA RAW'!$E:$E,RESOURCES!$C124)),"-")</f>
        <v>1</v>
      </c>
      <c r="Z124" s="50" t="str">
        <f>IFERROR(VLOOKUP($C124,'PR CALIBRATION RAW'!$K:$S,MATCH(RESOURCES!Z$3,'PR CALIBRATION RAW'!$K$1:$S$1,0),FALSE),"-")</f>
        <v>-</v>
      </c>
      <c r="AA124" s="50" t="str">
        <f>IFERROR(VLOOKUP($C124,'DISPUTES RAW (VQA)'!$N:$U,8,FALSE),"-")</f>
        <v>-</v>
      </c>
      <c r="AB124" s="50">
        <f>IFERROR(VLOOKUP($C124,'ATTENDANCE RAW'!$E:$R,13,FALSE),"-")</f>
        <v>1</v>
      </c>
      <c r="AC124" s="50">
        <f>IFERROR(IF($E124="Voice QA",IF(AVERAGEIFS('KC RAW'!$J:$J,'KC RAW'!$B:$B,RESOURCES!$C124)=0,"-",AVERAGEIFS('KC RAW'!$J:$J,'KC RAW'!$B:$B,RESOURCES!$C124)),IF(AVERAGEIFS('KC RAW'!$H:$H,'KC RAW'!$B:$B,RESOURCES!$C124)=0,"-",AVERAGEIFS('KC RAW'!$H:$H,'KC RAW'!$B:$B,RESOURCES!$C124))),"-")</f>
        <v>0.75</v>
      </c>
      <c r="AD124" s="50" t="str">
        <f>IFERROR(AVERAGEIFS('CE RAW'!$G:$G,'CE RAW'!$E:$E,RESOURCES!$C124),"-")</f>
        <v>-</v>
      </c>
      <c r="AE124" s="50" t="str">
        <f>IFERROR(VLOOKUP($C124,'FCR RAW'!$A:$I,7,FALSE),"-")</f>
        <v>-</v>
      </c>
      <c r="AF124" s="50">
        <f>IFERROR(IF(VLOOKUP($C124,'BONUS RAW'!$D:$I,6,FALSE)=100%,100%,"-"),"-")</f>
        <v>1</v>
      </c>
      <c r="AG124" s="52">
        <f t="shared" si="12"/>
        <v>0.95000000000000007</v>
      </c>
      <c r="AH124" s="56">
        <f t="shared" si="9"/>
        <v>35</v>
      </c>
      <c r="AI124" s="57">
        <f t="shared" si="13"/>
        <v>0.94736842105263164</v>
      </c>
      <c r="AJ124" s="57">
        <f t="shared" si="14"/>
        <v>0.95000000000000007</v>
      </c>
      <c r="AK124" s="325" t="str">
        <f>IFERROR(VLOOKUP($C124,'ATTRITION RAW'!$E:$J,6,FALSE),"-")</f>
        <v>-</v>
      </c>
      <c r="AL124" s="176" t="str">
        <f t="shared" si="15"/>
        <v>-</v>
      </c>
      <c r="AM124" s="454">
        <f>IFERROR(VLOOKUP($C124,'CHURN RAW'!$A:$G,7,FALSE),"-")</f>
        <v>0</v>
      </c>
      <c r="AN124" s="456" t="str">
        <f t="shared" si="10"/>
        <v>QUALITY - DESIGNERS</v>
      </c>
    </row>
    <row r="125" spans="2:40">
      <c r="B125" s="637">
        <f t="shared" si="16"/>
        <v>122</v>
      </c>
      <c r="C125" s="93">
        <v>10071908</v>
      </c>
      <c r="D125" s="93" t="s">
        <v>226</v>
      </c>
      <c r="E125" s="88" t="s">
        <v>123</v>
      </c>
      <c r="F125" s="88" t="s">
        <v>227</v>
      </c>
      <c r="G125" s="88" t="s">
        <v>106</v>
      </c>
      <c r="H125" s="88" t="s">
        <v>85</v>
      </c>
      <c r="I125" s="88" t="s">
        <v>86</v>
      </c>
      <c r="J125" s="638"/>
      <c r="K125" s="638">
        <f t="shared" si="17"/>
        <v>43739</v>
      </c>
      <c r="L125" s="639" t="str">
        <f t="shared" si="11"/>
        <v>Expert</v>
      </c>
      <c r="M125" s="53">
        <f>IFERROR(VLOOKUP($E125,KPI!$B:$T,MATCH(RESOURCES!M$3,KPI!$B$1:$T$1,0),FALSE),"-")</f>
        <v>0.1</v>
      </c>
      <c r="N125" s="53">
        <f>IFERROR(VLOOKUP($E125,KPI!$B:$T,MATCH(RESOURCES!N$3,KPI!$B$1:$T$1,0),FALSE),"-")</f>
        <v>0.15</v>
      </c>
      <c r="O125" s="53">
        <f>IFERROR(VLOOKUP($E125,KPI!$B:$T,MATCH(RESOURCES!O$3,KPI!$B$1:$T$1,0),FALSE),"-")</f>
        <v>0.1</v>
      </c>
      <c r="P125" s="53" t="str">
        <f>IFERROR(VLOOKUP($E125,KPI!$B:$T,MATCH(RESOURCES!P$3,KPI!$B$1:$T$1,0),FALSE),"-")</f>
        <v>-</v>
      </c>
      <c r="Q125" s="53" t="str">
        <f>IFERROR(VLOOKUP($E125,KPI!$B:$T,MATCH(RESOURCES!Q$3,KPI!$B$1:$T$1,0),FALSE),"-")</f>
        <v>-</v>
      </c>
      <c r="R125" s="53">
        <f>IFERROR(VLOOKUP($E125,KPI!$B:$T,MATCH(RESOURCES!R$3,KPI!$B$1:$T$1,0),FALSE),"-")</f>
        <v>0.15</v>
      </c>
      <c r="S125" s="53">
        <f>IFERROR(VLOOKUP($E125,KPI!$B:$T,MATCH(RESOURCES!S$3,KPI!$B$1:$T$1,0),FALSE),"-")</f>
        <v>0.1</v>
      </c>
      <c r="T125" s="53">
        <f>IFERROR(VLOOKUP($E125,KPI!$B:$T,MATCH(RESOURCES!T$3,KPI!$B$1:$T$1,0),FALSE),"-")</f>
        <v>0.2</v>
      </c>
      <c r="U125" s="53">
        <f>IFERROR(VLOOKUP($E125,KPI!$B:$T,MATCH(RESOURCES!U$3,KPI!$B$1:$T$1,0),FALSE),"-")</f>
        <v>0.15</v>
      </c>
      <c r="V125" s="53">
        <f>IFERROR(VLOOKUP($E125,KPI!$B:$T,MATCH(RESOURCES!V$3,KPI!$B$1:$T$1,0),FALSE),"-")</f>
        <v>0.05</v>
      </c>
      <c r="W125" s="50">
        <f>IFERROR(VLOOKUP($C125,'PRODUCTIVITY RAW'!$B:$Q,16,FALSE),"-")</f>
        <v>1</v>
      </c>
      <c r="X125" s="50">
        <f>IFERROR(VLOOKUP($C125,'CHURN RAW'!$A:$H,8,FALSE),"-")</f>
        <v>1</v>
      </c>
      <c r="Y125" s="50">
        <f>IFERROR(IF(AVERAGEIFS('QA RAW'!$G:$G,'QA RAW'!$E:$E,RESOURCES!$C125)=0,"-",AVERAGEIFS('QA RAW'!$G:$G,'QA RAW'!$E:$E,RESOURCES!$C125)),"-")</f>
        <v>1</v>
      </c>
      <c r="Z125" s="50" t="str">
        <f>IFERROR(VLOOKUP($C125,'PR CALIBRATION RAW'!$K:$S,MATCH(RESOURCES!Z$3,'PR CALIBRATION RAW'!$K$1:$S$1,0),FALSE),"-")</f>
        <v>-</v>
      </c>
      <c r="AA125" s="50" t="str">
        <f>IFERROR(VLOOKUP($C125,'DISPUTES RAW (VQA)'!$N:$U,8,FALSE),"-")</f>
        <v>-</v>
      </c>
      <c r="AB125" s="50">
        <f>IFERROR(VLOOKUP($C125,'ATTENDANCE RAW'!$E:$R,13,FALSE),"-")</f>
        <v>1</v>
      </c>
      <c r="AC125" s="50">
        <f>IFERROR(IF($E125="Voice QA",IF(AVERAGEIFS('KC RAW'!$J:$J,'KC RAW'!$B:$B,RESOURCES!$C125)=0,"-",AVERAGEIFS('KC RAW'!$J:$J,'KC RAW'!$B:$B,RESOURCES!$C125)),IF(AVERAGEIFS('KC RAW'!$H:$H,'KC RAW'!$B:$B,RESOURCES!$C125)=0,"-",AVERAGEIFS('KC RAW'!$H:$H,'KC RAW'!$B:$B,RESOURCES!$C125))),"-")</f>
        <v>0.95</v>
      </c>
      <c r="AD125" s="50">
        <f>IFERROR(AVERAGEIFS('CE RAW'!$G:$G,'CE RAW'!$E:$E,RESOURCES!$C125),"-")</f>
        <v>0.98619999999999997</v>
      </c>
      <c r="AE125" s="50">
        <f>IFERROR(VLOOKUP($C125,'FCR RAW'!$A:$I,7,FALSE),"-")</f>
        <v>1</v>
      </c>
      <c r="AF125" s="50">
        <f>IFERROR(IF(VLOOKUP($C125,'BONUS RAW'!$D:$I,6,FALSE)=100%,100%,"-"),"-")</f>
        <v>1</v>
      </c>
      <c r="AG125" s="52">
        <f t="shared" si="12"/>
        <v>0.99224000000000001</v>
      </c>
      <c r="AH125" s="56">
        <f t="shared" si="9"/>
        <v>7</v>
      </c>
      <c r="AI125" s="57">
        <f t="shared" si="13"/>
        <v>0.99183157894736829</v>
      </c>
      <c r="AJ125" s="57">
        <f t="shared" si="14"/>
        <v>0.99224000000000001</v>
      </c>
      <c r="AK125" s="325" t="str">
        <f>IFERROR(VLOOKUP($C125,'ATTRITION RAW'!$E:$J,6,FALSE),"-")</f>
        <v>-</v>
      </c>
      <c r="AL125" s="176" t="str">
        <f t="shared" si="15"/>
        <v>-</v>
      </c>
      <c r="AM125" s="454">
        <f>IFERROR(VLOOKUP($C125,'CHURN RAW'!$A:$G,7,FALSE),"-")</f>
        <v>0</v>
      </c>
      <c r="AN125" s="456" t="str">
        <f t="shared" si="10"/>
        <v>QUALITY - DESIGNERS</v>
      </c>
    </row>
    <row r="126" spans="2:40">
      <c r="B126" s="637">
        <f t="shared" si="16"/>
        <v>123</v>
      </c>
      <c r="C126" s="93">
        <v>10071600</v>
      </c>
      <c r="D126" s="93" t="s">
        <v>228</v>
      </c>
      <c r="E126" s="88" t="s">
        <v>123</v>
      </c>
      <c r="F126" s="88" t="s">
        <v>227</v>
      </c>
      <c r="G126" s="88" t="s">
        <v>106</v>
      </c>
      <c r="H126" s="88" t="s">
        <v>85</v>
      </c>
      <c r="I126" s="88" t="s">
        <v>86</v>
      </c>
      <c r="J126" s="638"/>
      <c r="K126" s="638">
        <f t="shared" si="17"/>
        <v>43739</v>
      </c>
      <c r="L126" s="639" t="str">
        <f t="shared" si="11"/>
        <v>Expert</v>
      </c>
      <c r="M126" s="53">
        <f>IFERROR(VLOOKUP($E126,KPI!$B:$T,MATCH(RESOURCES!M$3,KPI!$B$1:$T$1,0),FALSE),"-")</f>
        <v>0.1</v>
      </c>
      <c r="N126" s="53">
        <f>IFERROR(VLOOKUP($E126,KPI!$B:$T,MATCH(RESOURCES!N$3,KPI!$B$1:$T$1,0),FALSE),"-")</f>
        <v>0.15</v>
      </c>
      <c r="O126" s="53">
        <f>IFERROR(VLOOKUP($E126,KPI!$B:$T,MATCH(RESOURCES!O$3,KPI!$B$1:$T$1,0),FALSE),"-")</f>
        <v>0.1</v>
      </c>
      <c r="P126" s="53" t="str">
        <f>IFERROR(VLOOKUP($E126,KPI!$B:$T,MATCH(RESOURCES!P$3,KPI!$B$1:$T$1,0),FALSE),"-")</f>
        <v>-</v>
      </c>
      <c r="Q126" s="53" t="str">
        <f>IFERROR(VLOOKUP($E126,KPI!$B:$T,MATCH(RESOURCES!Q$3,KPI!$B$1:$T$1,0),FALSE),"-")</f>
        <v>-</v>
      </c>
      <c r="R126" s="53">
        <f>IFERROR(VLOOKUP($E126,KPI!$B:$T,MATCH(RESOURCES!R$3,KPI!$B$1:$T$1,0),FALSE),"-")</f>
        <v>0.15</v>
      </c>
      <c r="S126" s="53">
        <f>IFERROR(VLOOKUP($E126,KPI!$B:$T,MATCH(RESOURCES!S$3,KPI!$B$1:$T$1,0),FALSE),"-")</f>
        <v>0.1</v>
      </c>
      <c r="T126" s="53">
        <f>IFERROR(VLOOKUP($E126,KPI!$B:$T,MATCH(RESOURCES!T$3,KPI!$B$1:$T$1,0),FALSE),"-")</f>
        <v>0.2</v>
      </c>
      <c r="U126" s="53">
        <f>IFERROR(VLOOKUP($E126,KPI!$B:$T,MATCH(RESOURCES!U$3,KPI!$B$1:$T$1,0),FALSE),"-")</f>
        <v>0.15</v>
      </c>
      <c r="V126" s="53">
        <f>IFERROR(VLOOKUP($E126,KPI!$B:$T,MATCH(RESOURCES!V$3,KPI!$B$1:$T$1,0),FALSE),"-")</f>
        <v>0.05</v>
      </c>
      <c r="W126" s="50">
        <f>IFERROR(VLOOKUP($C126,'PRODUCTIVITY RAW'!$B:$Q,16,FALSE),"-")</f>
        <v>1</v>
      </c>
      <c r="X126" s="50">
        <f>IFERROR(VLOOKUP($C126,'CHURN RAW'!$A:$H,8,FALSE),"-")</f>
        <v>1</v>
      </c>
      <c r="Y126" s="50">
        <f>IFERROR(IF(AVERAGEIFS('QA RAW'!$G:$G,'QA RAW'!$E:$E,RESOURCES!$C126)=0,"-",AVERAGEIFS('QA RAW'!$G:$G,'QA RAW'!$E:$E,RESOURCES!$C126)),"-")</f>
        <v>1</v>
      </c>
      <c r="Z126" s="50" t="str">
        <f>IFERROR(VLOOKUP($C126,'PR CALIBRATION RAW'!$K:$S,MATCH(RESOURCES!Z$3,'PR CALIBRATION RAW'!$K$1:$S$1,0),FALSE),"-")</f>
        <v>-</v>
      </c>
      <c r="AA126" s="50" t="str">
        <f>IFERROR(VLOOKUP($C126,'DISPUTES RAW (VQA)'!$N:$U,8,FALSE),"-")</f>
        <v>-</v>
      </c>
      <c r="AB126" s="50">
        <f>IFERROR(VLOOKUP($C126,'ATTENDANCE RAW'!$E:$R,13,FALSE),"-")</f>
        <v>1</v>
      </c>
      <c r="AC126" s="50">
        <f>IFERROR(IF($E126="Voice QA",IF(AVERAGEIFS('KC RAW'!$J:$J,'KC RAW'!$B:$B,RESOURCES!$C126)=0,"-",AVERAGEIFS('KC RAW'!$J:$J,'KC RAW'!$B:$B,RESOURCES!$C126)),IF(AVERAGEIFS('KC RAW'!$H:$H,'KC RAW'!$B:$B,RESOURCES!$C126)=0,"-",AVERAGEIFS('KC RAW'!$H:$H,'KC RAW'!$B:$B,RESOURCES!$C126))),"-")</f>
        <v>1</v>
      </c>
      <c r="AD126" s="50">
        <f>IFERROR(AVERAGEIFS('CE RAW'!$G:$G,'CE RAW'!$E:$E,RESOURCES!$C126),"-")</f>
        <v>1</v>
      </c>
      <c r="AE126" s="50">
        <f>IFERROR(VLOOKUP($C126,'FCR RAW'!$A:$I,7,FALSE),"-")</f>
        <v>1</v>
      </c>
      <c r="AF126" s="50">
        <f>IFERROR(IF(VLOOKUP($C126,'BONUS RAW'!$D:$I,6,FALSE)=100%,100%,"-"),"-")</f>
        <v>1</v>
      </c>
      <c r="AG126" s="52">
        <f t="shared" si="12"/>
        <v>1</v>
      </c>
      <c r="AH126" s="56">
        <f t="shared" si="9"/>
        <v>1</v>
      </c>
      <c r="AI126" s="57">
        <f t="shared" si="13"/>
        <v>1</v>
      </c>
      <c r="AJ126" s="57">
        <f t="shared" si="14"/>
        <v>1</v>
      </c>
      <c r="AK126" s="325" t="str">
        <f>IFERROR(VLOOKUP($C126,'ATTRITION RAW'!$E:$J,6,FALSE),"-")</f>
        <v>-</v>
      </c>
      <c r="AL126" s="176" t="str">
        <f t="shared" si="15"/>
        <v>-</v>
      </c>
      <c r="AM126" s="454">
        <f>IFERROR(VLOOKUP($C126,'CHURN RAW'!$A:$G,7,FALSE),"-")</f>
        <v>0</v>
      </c>
      <c r="AN126" s="456" t="str">
        <f t="shared" si="10"/>
        <v>QUALITY - DESIGNERS</v>
      </c>
    </row>
    <row r="127" spans="2:40">
      <c r="B127" s="637">
        <f t="shared" si="16"/>
        <v>124</v>
      </c>
      <c r="C127" s="93">
        <v>10072220</v>
      </c>
      <c r="D127" s="93" t="s">
        <v>229</v>
      </c>
      <c r="E127" s="88" t="s">
        <v>123</v>
      </c>
      <c r="F127" s="88" t="s">
        <v>227</v>
      </c>
      <c r="G127" s="88" t="s">
        <v>106</v>
      </c>
      <c r="H127" s="88" t="s">
        <v>85</v>
      </c>
      <c r="I127" s="88" t="s">
        <v>86</v>
      </c>
      <c r="J127" s="638"/>
      <c r="K127" s="638">
        <f t="shared" si="17"/>
        <v>43739</v>
      </c>
      <c r="L127" s="639" t="str">
        <f t="shared" si="11"/>
        <v>Expert</v>
      </c>
      <c r="M127" s="53">
        <f>IFERROR(VLOOKUP($E127,KPI!$B:$T,MATCH(RESOURCES!M$3,KPI!$B$1:$T$1,0),FALSE),"-")</f>
        <v>0.1</v>
      </c>
      <c r="N127" s="53">
        <f>IFERROR(VLOOKUP($E127,KPI!$B:$T,MATCH(RESOURCES!N$3,KPI!$B$1:$T$1,0),FALSE),"-")</f>
        <v>0.15</v>
      </c>
      <c r="O127" s="53">
        <f>IFERROR(VLOOKUP($E127,KPI!$B:$T,MATCH(RESOURCES!O$3,KPI!$B$1:$T$1,0),FALSE),"-")</f>
        <v>0.1</v>
      </c>
      <c r="P127" s="53" t="str">
        <f>IFERROR(VLOOKUP($E127,KPI!$B:$T,MATCH(RESOURCES!P$3,KPI!$B$1:$T$1,0),FALSE),"-")</f>
        <v>-</v>
      </c>
      <c r="Q127" s="53" t="str">
        <f>IFERROR(VLOOKUP($E127,KPI!$B:$T,MATCH(RESOURCES!Q$3,KPI!$B$1:$T$1,0),FALSE),"-")</f>
        <v>-</v>
      </c>
      <c r="R127" s="53">
        <f>IFERROR(VLOOKUP($E127,KPI!$B:$T,MATCH(RESOURCES!R$3,KPI!$B$1:$T$1,0),FALSE),"-")</f>
        <v>0.15</v>
      </c>
      <c r="S127" s="53">
        <f>IFERROR(VLOOKUP($E127,KPI!$B:$T,MATCH(RESOURCES!S$3,KPI!$B$1:$T$1,0),FALSE),"-")</f>
        <v>0.1</v>
      </c>
      <c r="T127" s="53">
        <f>IFERROR(VLOOKUP($E127,KPI!$B:$T,MATCH(RESOURCES!T$3,KPI!$B$1:$T$1,0),FALSE),"-")</f>
        <v>0.2</v>
      </c>
      <c r="U127" s="53">
        <f>IFERROR(VLOOKUP($E127,KPI!$B:$T,MATCH(RESOURCES!U$3,KPI!$B$1:$T$1,0),FALSE),"-")</f>
        <v>0.15</v>
      </c>
      <c r="V127" s="53">
        <f>IFERROR(VLOOKUP($E127,KPI!$B:$T,MATCH(RESOURCES!V$3,KPI!$B$1:$T$1,0),FALSE),"-")</f>
        <v>0.05</v>
      </c>
      <c r="W127" s="50">
        <f>IFERROR(VLOOKUP($C127,'PRODUCTIVITY RAW'!$B:$Q,16,FALSE),"-")</f>
        <v>1</v>
      </c>
      <c r="X127" s="50">
        <f>IFERROR(VLOOKUP($C127,'CHURN RAW'!$A:$H,8,FALSE),"-")</f>
        <v>1</v>
      </c>
      <c r="Y127" s="50">
        <f>IFERROR(IF(AVERAGEIFS('QA RAW'!$G:$G,'QA RAW'!$E:$E,RESOURCES!$C127)=0,"-",AVERAGEIFS('QA RAW'!$G:$G,'QA RAW'!$E:$E,RESOURCES!$C127)),"-")</f>
        <v>1</v>
      </c>
      <c r="Z127" s="50" t="str">
        <f>IFERROR(VLOOKUP($C127,'PR CALIBRATION RAW'!$K:$S,MATCH(RESOURCES!Z$3,'PR CALIBRATION RAW'!$K$1:$S$1,0),FALSE),"-")</f>
        <v>-</v>
      </c>
      <c r="AA127" s="50" t="str">
        <f>IFERROR(VLOOKUP($C127,'DISPUTES RAW (VQA)'!$N:$U,8,FALSE),"-")</f>
        <v>-</v>
      </c>
      <c r="AB127" s="50">
        <f>IFERROR(VLOOKUP($C127,'ATTENDANCE RAW'!$E:$R,13,FALSE),"-")</f>
        <v>1</v>
      </c>
      <c r="AC127" s="50">
        <f>IFERROR(IF($E127="Voice QA",IF(AVERAGEIFS('KC RAW'!$J:$J,'KC RAW'!$B:$B,RESOURCES!$C127)=0,"-",AVERAGEIFS('KC RAW'!$J:$J,'KC RAW'!$B:$B,RESOURCES!$C127)),IF(AVERAGEIFS('KC RAW'!$H:$H,'KC RAW'!$B:$B,RESOURCES!$C127)=0,"-",AVERAGEIFS('KC RAW'!$H:$H,'KC RAW'!$B:$B,RESOURCES!$C127))),"-")</f>
        <v>1</v>
      </c>
      <c r="AD127" s="50">
        <f>IFERROR(AVERAGEIFS('CE RAW'!$G:$G,'CE RAW'!$E:$E,RESOURCES!$C127),"-")</f>
        <v>1</v>
      </c>
      <c r="AE127" s="50">
        <f>IFERROR(VLOOKUP($C127,'FCR RAW'!$A:$I,7,FALSE),"-")</f>
        <v>1</v>
      </c>
      <c r="AF127" s="50" t="str">
        <f>IFERROR(IF(VLOOKUP($C127,'BONUS RAW'!$D:$I,6,FALSE)=100%,100%,"-"),"-")</f>
        <v>-</v>
      </c>
      <c r="AG127" s="52">
        <f t="shared" si="12"/>
        <v>1</v>
      </c>
      <c r="AH127" s="56">
        <f t="shared" si="9"/>
        <v>1</v>
      </c>
      <c r="AI127" s="57">
        <f t="shared" si="13"/>
        <v>1</v>
      </c>
      <c r="AJ127" s="57">
        <f t="shared" si="14"/>
        <v>0.95000000000000007</v>
      </c>
      <c r="AK127" s="325" t="str">
        <f>IFERROR(VLOOKUP($C127,'ATTRITION RAW'!$E:$J,6,FALSE),"-")</f>
        <v>-</v>
      </c>
      <c r="AL127" s="176" t="str">
        <f t="shared" si="15"/>
        <v>-</v>
      </c>
      <c r="AM127" s="454">
        <f>IFERROR(VLOOKUP($C127,'CHURN RAW'!$A:$G,7,FALSE),"-")</f>
        <v>0</v>
      </c>
      <c r="AN127" s="456" t="str">
        <f t="shared" si="10"/>
        <v>QUALITY - DESIGNERS</v>
      </c>
    </row>
    <row r="128" spans="2:40">
      <c r="B128" s="637">
        <f t="shared" si="16"/>
        <v>125</v>
      </c>
      <c r="C128" s="93">
        <v>10072512</v>
      </c>
      <c r="D128" s="93" t="s">
        <v>230</v>
      </c>
      <c r="E128" s="88" t="s">
        <v>123</v>
      </c>
      <c r="F128" s="88" t="s">
        <v>227</v>
      </c>
      <c r="G128" s="88" t="s">
        <v>106</v>
      </c>
      <c r="H128" s="88" t="s">
        <v>85</v>
      </c>
      <c r="I128" s="88" t="s">
        <v>86</v>
      </c>
      <c r="J128" s="638"/>
      <c r="K128" s="638">
        <f t="shared" si="17"/>
        <v>43739</v>
      </c>
      <c r="L128" s="639" t="str">
        <f t="shared" si="11"/>
        <v>Expert</v>
      </c>
      <c r="M128" s="53">
        <f>IFERROR(VLOOKUP($E128,KPI!$B:$T,MATCH(RESOURCES!M$3,KPI!$B$1:$T$1,0),FALSE),"-")</f>
        <v>0.1</v>
      </c>
      <c r="N128" s="627"/>
      <c r="O128" s="627"/>
      <c r="P128" s="53" t="str">
        <f>IFERROR(VLOOKUP($E128,KPI!$B:$T,MATCH(RESOURCES!P$3,KPI!$B$1:$T$1,0),FALSE),"-")</f>
        <v>-</v>
      </c>
      <c r="Q128" s="53" t="str">
        <f>IFERROR(VLOOKUP($E128,KPI!$B:$T,MATCH(RESOURCES!Q$3,KPI!$B$1:$T$1,0),FALSE),"-")</f>
        <v>-</v>
      </c>
      <c r="R128" s="53">
        <f>IFERROR(VLOOKUP($E128,KPI!$B:$T,MATCH(RESOURCES!R$3,KPI!$B$1:$T$1,0),FALSE),"-")</f>
        <v>0.15</v>
      </c>
      <c r="S128" s="627"/>
      <c r="T128" s="627"/>
      <c r="U128" s="53">
        <f>IFERROR(VLOOKUP($E128,KPI!$B:$T,MATCH(RESOURCES!U$3,KPI!$B$1:$T$1,0),FALSE),"-")</f>
        <v>0.15</v>
      </c>
      <c r="V128" s="53">
        <f>IFERROR(VLOOKUP($E128,KPI!$B:$T,MATCH(RESOURCES!V$3,KPI!$B$1:$T$1,0),FALSE),"-")</f>
        <v>0.05</v>
      </c>
      <c r="W128" s="50" t="str">
        <f>IFERROR(VLOOKUP($C128,'PRODUCTIVITY RAW'!$B:$Q,16,FALSE),"-")</f>
        <v>-</v>
      </c>
      <c r="X128" s="50" t="str">
        <f>IFERROR(VLOOKUP($C128,'CHURN RAW'!$A:$H,8,FALSE),"-")</f>
        <v>NO SCORE</v>
      </c>
      <c r="Y128" s="50" t="str">
        <f>IFERROR(IF(AVERAGEIFS('QA RAW'!$G:$G,'QA RAW'!$E:$E,RESOURCES!$C128)=0,"-",AVERAGEIFS('QA RAW'!$G:$G,'QA RAW'!$E:$E,RESOURCES!$C128)),"-")</f>
        <v>-</v>
      </c>
      <c r="Z128" s="50" t="str">
        <f>IFERROR(VLOOKUP($C128,'PR CALIBRATION RAW'!$K:$S,MATCH(RESOURCES!Z$3,'PR CALIBRATION RAW'!$K$1:$S$1,0),FALSE),"-")</f>
        <v>-</v>
      </c>
      <c r="AA128" s="50" t="str">
        <f>IFERROR(VLOOKUP($C128,'DISPUTES RAW (VQA)'!$N:$U,8,FALSE),"-")</f>
        <v>-</v>
      </c>
      <c r="AB128" s="50">
        <f>IFERROR(VLOOKUP($C128,'ATTENDANCE RAW'!$E:$R,13,FALSE),"-")</f>
        <v>0.2857142857142857</v>
      </c>
      <c r="AC128" s="50" t="str">
        <f>IFERROR(IF($E128="Voice QA",IF(AVERAGEIFS('KC RAW'!$J:$J,'KC RAW'!$B:$B,RESOURCES!$C128)=0,"-",AVERAGEIFS('KC RAW'!$J:$J,'KC RAW'!$B:$B,RESOURCES!$C128)),IF(AVERAGEIFS('KC RAW'!$H:$H,'KC RAW'!$B:$B,RESOURCES!$C128)=0,"-",AVERAGEIFS('KC RAW'!$H:$H,'KC RAW'!$B:$B,RESOURCES!$C128))),"-")</f>
        <v>-</v>
      </c>
      <c r="AD128" s="50" t="str">
        <f>IFERROR(AVERAGEIFS('CE RAW'!$G:$G,'CE RAW'!$E:$E,RESOURCES!$C128),"-")</f>
        <v>-</v>
      </c>
      <c r="AE128" s="50" t="str">
        <f>IFERROR(VLOOKUP($C128,'FCR RAW'!$A:$I,7,FALSE),"-")</f>
        <v>-</v>
      </c>
      <c r="AF128" s="50" t="str">
        <f>IFERROR(IF(VLOOKUP($C128,'BONUS RAW'!$D:$I,6,FALSE)=100%,100%,"-"),"-")</f>
        <v>-</v>
      </c>
      <c r="AG128" s="52">
        <f t="shared" si="12"/>
        <v>0.10714285714285712</v>
      </c>
      <c r="AH128" s="56">
        <f t="shared" si="9"/>
        <v>146</v>
      </c>
      <c r="AI128" s="57">
        <f t="shared" si="13"/>
        <v>0.10714285714285712</v>
      </c>
      <c r="AJ128" s="57">
        <f t="shared" si="14"/>
        <v>9.5238095238095219E-2</v>
      </c>
      <c r="AK128" s="325">
        <f>IFERROR(VLOOKUP($C128,'ATTRITION RAW'!$E:$J,6,FALSE),"-")</f>
        <v>43818</v>
      </c>
      <c r="AL128" s="176" t="str">
        <f t="shared" si="15"/>
        <v>resign</v>
      </c>
      <c r="AM128" s="454" t="str">
        <f>IFERROR(VLOOKUP($C128,'CHURN RAW'!$A:$G,7,FALSE),"-")</f>
        <v>-</v>
      </c>
      <c r="AN128" s="456" t="str">
        <f t="shared" si="10"/>
        <v>QUALITY - DESIGNERS</v>
      </c>
    </row>
    <row r="129" spans="2:40">
      <c r="B129" s="637">
        <f t="shared" si="16"/>
        <v>126</v>
      </c>
      <c r="C129" s="93">
        <v>10072224</v>
      </c>
      <c r="D129" s="93" t="s">
        <v>231</v>
      </c>
      <c r="E129" s="88" t="s">
        <v>123</v>
      </c>
      <c r="F129" s="88" t="s">
        <v>227</v>
      </c>
      <c r="G129" s="88" t="s">
        <v>106</v>
      </c>
      <c r="H129" s="88" t="s">
        <v>85</v>
      </c>
      <c r="I129" s="88" t="s">
        <v>86</v>
      </c>
      <c r="J129" s="638"/>
      <c r="K129" s="638">
        <f t="shared" si="17"/>
        <v>43739</v>
      </c>
      <c r="L129" s="639" t="str">
        <f t="shared" si="11"/>
        <v>Expert</v>
      </c>
      <c r="M129" s="53">
        <f>IFERROR(VLOOKUP($E129,KPI!$B:$T,MATCH(RESOURCES!M$3,KPI!$B$1:$T$1,0),FALSE),"-")</f>
        <v>0.1</v>
      </c>
      <c r="N129" s="53">
        <f>IFERROR(VLOOKUP($E129,KPI!$B:$T,MATCH(RESOURCES!N$3,KPI!$B$1:$T$1,0),FALSE),"-")</f>
        <v>0.15</v>
      </c>
      <c r="O129" s="53">
        <f>IFERROR(VLOOKUP($E129,KPI!$B:$T,MATCH(RESOURCES!O$3,KPI!$B$1:$T$1,0),FALSE),"-")</f>
        <v>0.1</v>
      </c>
      <c r="P129" s="53" t="str">
        <f>IFERROR(VLOOKUP($E129,KPI!$B:$T,MATCH(RESOURCES!P$3,KPI!$B$1:$T$1,0),FALSE),"-")</f>
        <v>-</v>
      </c>
      <c r="Q129" s="53" t="str">
        <f>IFERROR(VLOOKUP($E129,KPI!$B:$T,MATCH(RESOURCES!Q$3,KPI!$B$1:$T$1,0),FALSE),"-")</f>
        <v>-</v>
      </c>
      <c r="R129" s="53">
        <f>IFERROR(VLOOKUP($E129,KPI!$B:$T,MATCH(RESOURCES!R$3,KPI!$B$1:$T$1,0),FALSE),"-")</f>
        <v>0.15</v>
      </c>
      <c r="S129" s="53">
        <f>IFERROR(VLOOKUP($E129,KPI!$B:$T,MATCH(RESOURCES!S$3,KPI!$B$1:$T$1,0),FALSE),"-")</f>
        <v>0.1</v>
      </c>
      <c r="T129" s="53">
        <f>IFERROR(VLOOKUP($E129,KPI!$B:$T,MATCH(RESOURCES!T$3,KPI!$B$1:$T$1,0),FALSE),"-")</f>
        <v>0.2</v>
      </c>
      <c r="U129" s="53">
        <f>IFERROR(VLOOKUP($E129,KPI!$B:$T,MATCH(RESOURCES!U$3,KPI!$B$1:$T$1,0),FALSE),"-")</f>
        <v>0.15</v>
      </c>
      <c r="V129" s="53">
        <f>IFERROR(VLOOKUP($E129,KPI!$B:$T,MATCH(RESOURCES!V$3,KPI!$B$1:$T$1,0),FALSE),"-")</f>
        <v>0.05</v>
      </c>
      <c r="W129" s="50">
        <f>IFERROR(VLOOKUP($C129,'PRODUCTIVITY RAW'!$B:$Q,16,FALSE),"-")</f>
        <v>1</v>
      </c>
      <c r="X129" s="50">
        <f>IFERROR(VLOOKUP($C129,'CHURN RAW'!$A:$H,8,FALSE),"-")</f>
        <v>1</v>
      </c>
      <c r="Y129" s="50">
        <f>IFERROR(IF(AVERAGEIFS('QA RAW'!$G:$G,'QA RAW'!$E:$E,RESOURCES!$C129)=0,"-",AVERAGEIFS('QA RAW'!$G:$G,'QA RAW'!$E:$E,RESOURCES!$C129)),"-")</f>
        <v>1</v>
      </c>
      <c r="Z129" s="50" t="str">
        <f>IFERROR(VLOOKUP($C129,'PR CALIBRATION RAW'!$K:$S,MATCH(RESOURCES!Z$3,'PR CALIBRATION RAW'!$K$1:$S$1,0),FALSE),"-")</f>
        <v>-</v>
      </c>
      <c r="AA129" s="50" t="str">
        <f>IFERROR(VLOOKUP($C129,'DISPUTES RAW (VQA)'!$N:$U,8,FALSE),"-")</f>
        <v>-</v>
      </c>
      <c r="AB129" s="50">
        <f>IFERROR(VLOOKUP($C129,'ATTENDANCE RAW'!$E:$R,13,FALSE),"-")</f>
        <v>0.95238095238095233</v>
      </c>
      <c r="AC129" s="50">
        <f>IFERROR(IF($E129="Voice QA",IF(AVERAGEIFS('KC RAW'!$J:$J,'KC RAW'!$B:$B,RESOURCES!$C129)=0,"-",AVERAGEIFS('KC RAW'!$J:$J,'KC RAW'!$B:$B,RESOURCES!$C129)),IF(AVERAGEIFS('KC RAW'!$H:$H,'KC RAW'!$B:$B,RESOURCES!$C129)=0,"-",AVERAGEIFS('KC RAW'!$H:$H,'KC RAW'!$B:$B,RESOURCES!$C129))),"-")</f>
        <v>0.9</v>
      </c>
      <c r="AD129" s="50">
        <f>IFERROR(AVERAGEIFS('CE RAW'!$G:$G,'CE RAW'!$E:$E,RESOURCES!$C129),"-")</f>
        <v>0.96060000000000001</v>
      </c>
      <c r="AE129" s="50">
        <f>IFERROR(VLOOKUP($C129,'FCR RAW'!$A:$I,7,FALSE),"-")</f>
        <v>1</v>
      </c>
      <c r="AF129" s="50">
        <f>IFERROR(IF(VLOOKUP($C129,'BONUS RAW'!$D:$I,6,FALSE)=100%,100%,"-"),"-")</f>
        <v>1</v>
      </c>
      <c r="AG129" s="52">
        <f t="shared" si="12"/>
        <v>0.97497714285714288</v>
      </c>
      <c r="AH129" s="56">
        <f t="shared" si="9"/>
        <v>18</v>
      </c>
      <c r="AI129" s="57">
        <f t="shared" si="13"/>
        <v>0.97366015037593978</v>
      </c>
      <c r="AJ129" s="57">
        <f t="shared" si="14"/>
        <v>0.97497714285714288</v>
      </c>
      <c r="AK129" s="325" t="str">
        <f>IFERROR(VLOOKUP($C129,'ATTRITION RAW'!$E:$J,6,FALSE),"-")</f>
        <v>-</v>
      </c>
      <c r="AL129" s="176" t="str">
        <f t="shared" si="15"/>
        <v>-</v>
      </c>
      <c r="AM129" s="454">
        <f>IFERROR(VLOOKUP($C129,'CHURN RAW'!$A:$G,7,FALSE),"-")</f>
        <v>0</v>
      </c>
      <c r="AN129" s="456" t="str">
        <f t="shared" si="10"/>
        <v>QUALITY - DESIGNERS</v>
      </c>
    </row>
    <row r="130" spans="2:40">
      <c r="B130" s="637">
        <f t="shared" si="16"/>
        <v>127</v>
      </c>
      <c r="C130" s="93">
        <v>10071356</v>
      </c>
      <c r="D130" s="93" t="s">
        <v>232</v>
      </c>
      <c r="E130" s="88" t="s">
        <v>123</v>
      </c>
      <c r="F130" s="88" t="s">
        <v>227</v>
      </c>
      <c r="G130" s="88" t="s">
        <v>106</v>
      </c>
      <c r="H130" s="88" t="s">
        <v>85</v>
      </c>
      <c r="I130" s="88" t="s">
        <v>86</v>
      </c>
      <c r="J130" s="638"/>
      <c r="K130" s="638">
        <f t="shared" si="17"/>
        <v>43739</v>
      </c>
      <c r="L130" s="639" t="str">
        <f t="shared" si="11"/>
        <v>Expert</v>
      </c>
      <c r="M130" s="53">
        <f>IFERROR(VLOOKUP($E130,KPI!$B:$T,MATCH(RESOURCES!M$3,KPI!$B$1:$T$1,0),FALSE),"-")</f>
        <v>0.1</v>
      </c>
      <c r="N130" s="53">
        <f>IFERROR(VLOOKUP($E130,KPI!$B:$T,MATCH(RESOURCES!N$3,KPI!$B$1:$T$1,0),FALSE),"-")</f>
        <v>0.15</v>
      </c>
      <c r="O130" s="53">
        <f>IFERROR(VLOOKUP($E130,KPI!$B:$T,MATCH(RESOURCES!O$3,KPI!$B$1:$T$1,0),FALSE),"-")</f>
        <v>0.1</v>
      </c>
      <c r="P130" s="53" t="str">
        <f>IFERROR(VLOOKUP($E130,KPI!$B:$T,MATCH(RESOURCES!P$3,KPI!$B$1:$T$1,0),FALSE),"-")</f>
        <v>-</v>
      </c>
      <c r="Q130" s="53" t="str">
        <f>IFERROR(VLOOKUP($E130,KPI!$B:$T,MATCH(RESOURCES!Q$3,KPI!$B$1:$T$1,0),FALSE),"-")</f>
        <v>-</v>
      </c>
      <c r="R130" s="53">
        <f>IFERROR(VLOOKUP($E130,KPI!$B:$T,MATCH(RESOURCES!R$3,KPI!$B$1:$T$1,0),FALSE),"-")</f>
        <v>0.15</v>
      </c>
      <c r="S130" s="53">
        <f>IFERROR(VLOOKUP($E130,KPI!$B:$T,MATCH(RESOURCES!S$3,KPI!$B$1:$T$1,0),FALSE),"-")</f>
        <v>0.1</v>
      </c>
      <c r="T130" s="53">
        <f>IFERROR(VLOOKUP($E130,KPI!$B:$T,MATCH(RESOURCES!T$3,KPI!$B$1:$T$1,0),FALSE),"-")</f>
        <v>0.2</v>
      </c>
      <c r="U130" s="53">
        <f>IFERROR(VLOOKUP($E130,KPI!$B:$T,MATCH(RESOURCES!U$3,KPI!$B$1:$T$1,0),FALSE),"-")</f>
        <v>0.15</v>
      </c>
      <c r="V130" s="53">
        <f>IFERROR(VLOOKUP($E130,KPI!$B:$T,MATCH(RESOURCES!V$3,KPI!$B$1:$T$1,0),FALSE),"-")</f>
        <v>0.05</v>
      </c>
      <c r="W130" s="50">
        <f>IFERROR(VLOOKUP($C130,'PRODUCTIVITY RAW'!$B:$Q,16,FALSE),"-")</f>
        <v>1</v>
      </c>
      <c r="X130" s="50">
        <f>IFERROR(VLOOKUP($C130,'CHURN RAW'!$A:$H,8,FALSE),"-")</f>
        <v>1</v>
      </c>
      <c r="Y130" s="50">
        <f>IFERROR(IF(AVERAGEIFS('QA RAW'!$G:$G,'QA RAW'!$E:$E,RESOURCES!$C130)=0,"-",AVERAGEIFS('QA RAW'!$G:$G,'QA RAW'!$E:$E,RESOURCES!$C130)),"-")</f>
        <v>1</v>
      </c>
      <c r="Z130" s="50" t="str">
        <f>IFERROR(VLOOKUP($C130,'PR CALIBRATION RAW'!$K:$S,MATCH(RESOURCES!Z$3,'PR CALIBRATION RAW'!$K$1:$S$1,0),FALSE),"-")</f>
        <v>-</v>
      </c>
      <c r="AA130" s="50" t="str">
        <f>IFERROR(VLOOKUP($C130,'DISPUTES RAW (VQA)'!$N:$U,8,FALSE),"-")</f>
        <v>-</v>
      </c>
      <c r="AB130" s="50">
        <f>IFERROR(VLOOKUP($C130,'ATTENDANCE RAW'!$E:$R,13,FALSE),"-")</f>
        <v>1</v>
      </c>
      <c r="AC130" s="50">
        <f>IFERROR(IF($E130="Voice QA",IF(AVERAGEIFS('KC RAW'!$J:$J,'KC RAW'!$B:$B,RESOURCES!$C130)=0,"-",AVERAGEIFS('KC RAW'!$J:$J,'KC RAW'!$B:$B,RESOURCES!$C130)),IF(AVERAGEIFS('KC RAW'!$H:$H,'KC RAW'!$B:$B,RESOURCES!$C130)=0,"-",AVERAGEIFS('KC RAW'!$H:$H,'KC RAW'!$B:$B,RESOURCES!$C130))),"-")</f>
        <v>0.95</v>
      </c>
      <c r="AD130" s="50">
        <f>IFERROR(AVERAGEIFS('CE RAW'!$G:$G,'CE RAW'!$E:$E,RESOURCES!$C130),"-")</f>
        <v>0.99199999999999999</v>
      </c>
      <c r="AE130" s="50">
        <f>IFERROR(VLOOKUP($C130,'FCR RAW'!$A:$I,7,FALSE),"-")</f>
        <v>1</v>
      </c>
      <c r="AF130" s="50">
        <f>IFERROR(IF(VLOOKUP($C130,'BONUS RAW'!$D:$I,6,FALSE)=100%,100%,"-"),"-")</f>
        <v>1</v>
      </c>
      <c r="AG130" s="52">
        <f t="shared" si="12"/>
        <v>0.99340000000000006</v>
      </c>
      <c r="AH130" s="56">
        <f t="shared" si="9"/>
        <v>6</v>
      </c>
      <c r="AI130" s="57">
        <f t="shared" si="13"/>
        <v>0.9930526315789473</v>
      </c>
      <c r="AJ130" s="57">
        <f t="shared" si="14"/>
        <v>0.99340000000000006</v>
      </c>
      <c r="AK130" s="325" t="str">
        <f>IFERROR(VLOOKUP($C130,'ATTRITION RAW'!$E:$J,6,FALSE),"-")</f>
        <v>-</v>
      </c>
      <c r="AL130" s="176" t="str">
        <f t="shared" si="15"/>
        <v>-</v>
      </c>
      <c r="AM130" s="454">
        <f>IFERROR(VLOOKUP($C130,'CHURN RAW'!$A:$G,7,FALSE),"-")</f>
        <v>0</v>
      </c>
      <c r="AN130" s="456" t="str">
        <f t="shared" si="10"/>
        <v>QUALITY - DESIGNERS</v>
      </c>
    </row>
    <row r="131" spans="2:40">
      <c r="B131" s="637">
        <f t="shared" si="16"/>
        <v>128</v>
      </c>
      <c r="C131" s="93">
        <v>10072032</v>
      </c>
      <c r="D131" s="93" t="s">
        <v>233</v>
      </c>
      <c r="E131" s="88" t="s">
        <v>123</v>
      </c>
      <c r="F131" s="88" t="s">
        <v>227</v>
      </c>
      <c r="G131" s="88" t="s">
        <v>106</v>
      </c>
      <c r="H131" s="88" t="s">
        <v>85</v>
      </c>
      <c r="I131" s="88" t="s">
        <v>86</v>
      </c>
      <c r="J131" s="638"/>
      <c r="K131" s="638">
        <f t="shared" si="17"/>
        <v>43739</v>
      </c>
      <c r="L131" s="639" t="str">
        <f t="shared" si="11"/>
        <v>Expert</v>
      </c>
      <c r="M131" s="53">
        <f>IFERROR(VLOOKUP($E131,KPI!$B:$T,MATCH(RESOURCES!M$3,KPI!$B$1:$T$1,0),FALSE),"-")</f>
        <v>0.1</v>
      </c>
      <c r="N131" s="53">
        <f>IFERROR(VLOOKUP($E131,KPI!$B:$T,MATCH(RESOURCES!N$3,KPI!$B$1:$T$1,0),FALSE),"-")</f>
        <v>0.15</v>
      </c>
      <c r="O131" s="53">
        <f>IFERROR(VLOOKUP($E131,KPI!$B:$T,MATCH(RESOURCES!O$3,KPI!$B$1:$T$1,0),FALSE),"-")</f>
        <v>0.1</v>
      </c>
      <c r="P131" s="53" t="str">
        <f>IFERROR(VLOOKUP($E131,KPI!$B:$T,MATCH(RESOURCES!P$3,KPI!$B$1:$T$1,0),FALSE),"-")</f>
        <v>-</v>
      </c>
      <c r="Q131" s="53" t="str">
        <f>IFERROR(VLOOKUP($E131,KPI!$B:$T,MATCH(RESOURCES!Q$3,KPI!$B$1:$T$1,0),FALSE),"-")</f>
        <v>-</v>
      </c>
      <c r="R131" s="53">
        <f>IFERROR(VLOOKUP($E131,KPI!$B:$T,MATCH(RESOURCES!R$3,KPI!$B$1:$T$1,0),FALSE),"-")</f>
        <v>0.15</v>
      </c>
      <c r="S131" s="53">
        <f>IFERROR(VLOOKUP($E131,KPI!$B:$T,MATCH(RESOURCES!S$3,KPI!$B$1:$T$1,0),FALSE),"-")</f>
        <v>0.1</v>
      </c>
      <c r="T131" s="53">
        <f>IFERROR(VLOOKUP($E131,KPI!$B:$T,MATCH(RESOURCES!T$3,KPI!$B$1:$T$1,0),FALSE),"-")</f>
        <v>0.2</v>
      </c>
      <c r="U131" s="53">
        <f>IFERROR(VLOOKUP($E131,KPI!$B:$T,MATCH(RESOURCES!U$3,KPI!$B$1:$T$1,0),FALSE),"-")</f>
        <v>0.15</v>
      </c>
      <c r="V131" s="53">
        <f>IFERROR(VLOOKUP($E131,KPI!$B:$T,MATCH(RESOURCES!V$3,KPI!$B$1:$T$1,0),FALSE),"-")</f>
        <v>0.05</v>
      </c>
      <c r="W131" s="50">
        <f>IFERROR(VLOOKUP($C131,'PRODUCTIVITY RAW'!$B:$Q,16,FALSE),"-")</f>
        <v>1</v>
      </c>
      <c r="X131" s="50">
        <f>IFERROR(VLOOKUP($C131,'CHURN RAW'!$A:$H,8,FALSE),"-")</f>
        <v>1</v>
      </c>
      <c r="Y131" s="50">
        <f>IFERROR(IF(AVERAGEIFS('QA RAW'!$G:$G,'QA RAW'!$E:$E,RESOURCES!$C131)=0,"-",AVERAGEIFS('QA RAW'!$G:$G,'QA RAW'!$E:$E,RESOURCES!$C131)),"-")</f>
        <v>1</v>
      </c>
      <c r="Z131" s="50" t="str">
        <f>IFERROR(VLOOKUP($C131,'PR CALIBRATION RAW'!$K:$S,MATCH(RESOURCES!Z$3,'PR CALIBRATION RAW'!$K$1:$S$1,0),FALSE),"-")</f>
        <v>-</v>
      </c>
      <c r="AA131" s="50" t="str">
        <f>IFERROR(VLOOKUP($C131,'DISPUTES RAW (VQA)'!$N:$U,8,FALSE),"-")</f>
        <v>-</v>
      </c>
      <c r="AB131" s="50">
        <f>IFERROR(VLOOKUP($C131,'ATTENDANCE RAW'!$E:$R,13,FALSE),"-")</f>
        <v>1</v>
      </c>
      <c r="AC131" s="50">
        <f>IFERROR(IF($E131="Voice QA",IF(AVERAGEIFS('KC RAW'!$J:$J,'KC RAW'!$B:$B,RESOURCES!$C131)=0,"-",AVERAGEIFS('KC RAW'!$J:$J,'KC RAW'!$B:$B,RESOURCES!$C131)),IF(AVERAGEIFS('KC RAW'!$H:$H,'KC RAW'!$B:$B,RESOURCES!$C131)=0,"-",AVERAGEIFS('KC RAW'!$H:$H,'KC RAW'!$B:$B,RESOURCES!$C131))),"-")</f>
        <v>0.65</v>
      </c>
      <c r="AD131" s="50">
        <f>IFERROR(AVERAGEIFS('CE RAW'!$G:$G,'CE RAW'!$E:$E,RESOURCES!$C131),"-")</f>
        <v>0.97689999999999999</v>
      </c>
      <c r="AE131" s="50">
        <f>IFERROR(VLOOKUP($C131,'FCR RAW'!$A:$I,7,FALSE),"-")</f>
        <v>0.98</v>
      </c>
      <c r="AF131" s="50" t="str">
        <f>IFERROR(IF(VLOOKUP($C131,'BONUS RAW'!$D:$I,6,FALSE)=100%,100%,"-"),"-")</f>
        <v>-</v>
      </c>
      <c r="AG131" s="52">
        <f t="shared" si="12"/>
        <v>0.95513684210526306</v>
      </c>
      <c r="AH131" s="56">
        <f t="shared" si="9"/>
        <v>30</v>
      </c>
      <c r="AI131" s="57">
        <f t="shared" si="13"/>
        <v>0.95513684210526306</v>
      </c>
      <c r="AJ131" s="57">
        <f t="shared" si="14"/>
        <v>0.90737999999999996</v>
      </c>
      <c r="AK131" s="325" t="str">
        <f>IFERROR(VLOOKUP($C131,'ATTRITION RAW'!$E:$J,6,FALSE),"-")</f>
        <v>-</v>
      </c>
      <c r="AL131" s="176" t="str">
        <f t="shared" si="15"/>
        <v>-</v>
      </c>
      <c r="AM131" s="454">
        <f>IFERROR(VLOOKUP($C131,'CHURN RAW'!$A:$G,7,FALSE),"-")</f>
        <v>0</v>
      </c>
      <c r="AN131" s="456" t="str">
        <f t="shared" si="10"/>
        <v>QUALITY - DESIGNERS</v>
      </c>
    </row>
    <row r="132" spans="2:40">
      <c r="B132" s="637">
        <f t="shared" si="16"/>
        <v>129</v>
      </c>
      <c r="C132" s="93">
        <v>10071411</v>
      </c>
      <c r="D132" s="93" t="s">
        <v>234</v>
      </c>
      <c r="E132" s="88" t="s">
        <v>123</v>
      </c>
      <c r="F132" s="88" t="s">
        <v>227</v>
      </c>
      <c r="G132" s="88" t="s">
        <v>106</v>
      </c>
      <c r="H132" s="88" t="s">
        <v>85</v>
      </c>
      <c r="I132" s="88" t="s">
        <v>86</v>
      </c>
      <c r="J132" s="638"/>
      <c r="K132" s="638">
        <f t="shared" si="17"/>
        <v>43739</v>
      </c>
      <c r="L132" s="639" t="str">
        <f t="shared" si="11"/>
        <v>Expert</v>
      </c>
      <c r="M132" s="53">
        <f>IFERROR(VLOOKUP($E132,KPI!$B:$T,MATCH(RESOURCES!M$3,KPI!$B$1:$T$1,0),FALSE),"-")</f>
        <v>0.1</v>
      </c>
      <c r="N132" s="53">
        <f>IFERROR(VLOOKUP($E132,KPI!$B:$T,MATCH(RESOURCES!N$3,KPI!$B$1:$T$1,0),FALSE),"-")</f>
        <v>0.15</v>
      </c>
      <c r="O132" s="53">
        <f>IFERROR(VLOOKUP($E132,KPI!$B:$T,MATCH(RESOURCES!O$3,KPI!$B$1:$T$1,0),FALSE),"-")</f>
        <v>0.1</v>
      </c>
      <c r="P132" s="53" t="str">
        <f>IFERROR(VLOOKUP($E132,KPI!$B:$T,MATCH(RESOURCES!P$3,KPI!$B$1:$T$1,0),FALSE),"-")</f>
        <v>-</v>
      </c>
      <c r="Q132" s="53" t="str">
        <f>IFERROR(VLOOKUP($E132,KPI!$B:$T,MATCH(RESOURCES!Q$3,KPI!$B$1:$T$1,0),FALSE),"-")</f>
        <v>-</v>
      </c>
      <c r="R132" s="53">
        <f>IFERROR(VLOOKUP($E132,KPI!$B:$T,MATCH(RESOURCES!R$3,KPI!$B$1:$T$1,0),FALSE),"-")</f>
        <v>0.15</v>
      </c>
      <c r="S132" s="53">
        <f>IFERROR(VLOOKUP($E132,KPI!$B:$T,MATCH(RESOURCES!S$3,KPI!$B$1:$T$1,0),FALSE),"-")</f>
        <v>0.1</v>
      </c>
      <c r="T132" s="53">
        <f>IFERROR(VLOOKUP($E132,KPI!$B:$T,MATCH(RESOURCES!T$3,KPI!$B$1:$T$1,0),FALSE),"-")</f>
        <v>0.2</v>
      </c>
      <c r="U132" s="53">
        <f>IFERROR(VLOOKUP($E132,KPI!$B:$T,MATCH(RESOURCES!U$3,KPI!$B$1:$T$1,0),FALSE),"-")</f>
        <v>0.15</v>
      </c>
      <c r="V132" s="53">
        <f>IFERROR(VLOOKUP($E132,KPI!$B:$T,MATCH(RESOURCES!V$3,KPI!$B$1:$T$1,0),FALSE),"-")</f>
        <v>0.05</v>
      </c>
      <c r="W132" s="50">
        <f>IFERROR(VLOOKUP($C132,'PRODUCTIVITY RAW'!$B:$Q,16,FALSE),"-")</f>
        <v>0.98320436158987057</v>
      </c>
      <c r="X132" s="50">
        <f>IFERROR(VLOOKUP($C132,'CHURN RAW'!$A:$H,8,FALSE),"-")</f>
        <v>1</v>
      </c>
      <c r="Y132" s="50">
        <f>IFERROR(IF(AVERAGEIFS('QA RAW'!$G:$G,'QA RAW'!$E:$E,RESOURCES!$C132)=0,"-",AVERAGEIFS('QA RAW'!$G:$G,'QA RAW'!$E:$E,RESOURCES!$C132)),"-")</f>
        <v>1</v>
      </c>
      <c r="Z132" s="50" t="str">
        <f>IFERROR(VLOOKUP($C132,'PR CALIBRATION RAW'!$K:$S,MATCH(RESOURCES!Z$3,'PR CALIBRATION RAW'!$K$1:$S$1,0),FALSE),"-")</f>
        <v>-</v>
      </c>
      <c r="AA132" s="50" t="str">
        <f>IFERROR(VLOOKUP($C132,'DISPUTES RAW (VQA)'!$N:$U,8,FALSE),"-")</f>
        <v>-</v>
      </c>
      <c r="AB132" s="50">
        <f>IFERROR(VLOOKUP($C132,'ATTENDANCE RAW'!$E:$R,13,FALSE),"-")</f>
        <v>0.95454545454545459</v>
      </c>
      <c r="AC132" s="50">
        <f>IFERROR(IF($E132="Voice QA",IF(AVERAGEIFS('KC RAW'!$J:$J,'KC RAW'!$B:$B,RESOURCES!$C132)=0,"-",AVERAGEIFS('KC RAW'!$J:$J,'KC RAW'!$B:$B,RESOURCES!$C132)),IF(AVERAGEIFS('KC RAW'!$H:$H,'KC RAW'!$B:$B,RESOURCES!$C132)=0,"-",AVERAGEIFS('KC RAW'!$H:$H,'KC RAW'!$B:$B,RESOURCES!$C132))),"-")</f>
        <v>0.85</v>
      </c>
      <c r="AD132" s="50">
        <f>IFERROR(AVERAGEIFS('CE RAW'!$G:$G,'CE RAW'!$E:$E,RESOURCES!$C132),"-")</f>
        <v>0.99209999999999998</v>
      </c>
      <c r="AE132" s="50">
        <f>IFERROR(VLOOKUP($C132,'FCR RAW'!$A:$I,7,FALSE),"-")</f>
        <v>0.98412698412698407</v>
      </c>
      <c r="AF132" s="50">
        <f>IFERROR(IF(VLOOKUP($C132,'BONUS RAW'!$D:$I,6,FALSE)=100%,100%,"-"),"-")</f>
        <v>1</v>
      </c>
      <c r="AG132" s="52">
        <f t="shared" si="12"/>
        <v>0.972541301959853</v>
      </c>
      <c r="AH132" s="56">
        <f t="shared" ref="AH132:AH151" si="18">IFERROR(_xlfn.RANK.EQ($AG132,$AG$4:$AG$491),"-")</f>
        <v>19</v>
      </c>
      <c r="AI132" s="57">
        <f t="shared" si="13"/>
        <v>0.97109610732616092</v>
      </c>
      <c r="AJ132" s="57">
        <f t="shared" si="14"/>
        <v>0.972541301959853</v>
      </c>
      <c r="AK132" s="325" t="str">
        <f>IFERROR(VLOOKUP($C132,'ATTRITION RAW'!$E:$J,6,FALSE),"-")</f>
        <v>-</v>
      </c>
      <c r="AL132" s="176" t="str">
        <f t="shared" si="15"/>
        <v>-</v>
      </c>
      <c r="AM132" s="454">
        <f>IFERROR(VLOOKUP($C132,'CHURN RAW'!$A:$G,7,FALSE),"-")</f>
        <v>0</v>
      </c>
      <c r="AN132" s="456" t="str">
        <f t="shared" ref="AN132:AN151" si="19">IFERROR(VLOOKUP($E132,$AQ:$AR,2,FALSE),$AR$3)</f>
        <v>QUALITY - DESIGNERS</v>
      </c>
    </row>
    <row r="133" spans="2:40">
      <c r="B133" s="637">
        <f t="shared" si="16"/>
        <v>130</v>
      </c>
      <c r="C133" s="93">
        <v>10071946</v>
      </c>
      <c r="D133" s="93" t="s">
        <v>235</v>
      </c>
      <c r="E133" s="88" t="s">
        <v>123</v>
      </c>
      <c r="F133" s="88" t="s">
        <v>227</v>
      </c>
      <c r="G133" s="88" t="s">
        <v>106</v>
      </c>
      <c r="H133" s="88" t="s">
        <v>85</v>
      </c>
      <c r="I133" s="88" t="s">
        <v>86</v>
      </c>
      <c r="J133" s="638"/>
      <c r="K133" s="638">
        <f t="shared" si="17"/>
        <v>43739</v>
      </c>
      <c r="L133" s="639" t="str">
        <f t="shared" ref="L133:L151" si="20">IF(((K133-J133)/(365))*12&lt;=2.99,"Beginner",IF(((K133-J133)/(365))*12&lt;=5.99,"Intermediate","Expert"))</f>
        <v>Expert</v>
      </c>
      <c r="M133" s="53">
        <f>IFERROR(VLOOKUP($E133,KPI!$B:$T,MATCH(RESOURCES!M$3,KPI!$B$1:$T$1,0),FALSE),"-")</f>
        <v>0.1</v>
      </c>
      <c r="N133" s="627"/>
      <c r="O133" s="627"/>
      <c r="P133" s="53" t="str">
        <f>IFERROR(VLOOKUP($E133,KPI!$B:$T,MATCH(RESOURCES!P$3,KPI!$B$1:$T$1,0),FALSE),"-")</f>
        <v>-</v>
      </c>
      <c r="Q133" s="53" t="str">
        <f>IFERROR(VLOOKUP($E133,KPI!$B:$T,MATCH(RESOURCES!Q$3,KPI!$B$1:$T$1,0),FALSE),"-")</f>
        <v>-</v>
      </c>
      <c r="R133" s="53">
        <f>IFERROR(VLOOKUP($E133,KPI!$B:$T,MATCH(RESOURCES!R$3,KPI!$B$1:$T$1,0),FALSE),"-")</f>
        <v>0.15</v>
      </c>
      <c r="S133" s="53">
        <f>IFERROR(VLOOKUP($E133,KPI!$B:$T,MATCH(RESOURCES!S$3,KPI!$B$1:$T$1,0),FALSE),"-")</f>
        <v>0.1</v>
      </c>
      <c r="T133" s="53">
        <f>IFERROR(VLOOKUP($E133,KPI!$B:$T,MATCH(RESOURCES!T$3,KPI!$B$1:$T$1,0),FALSE),"-")</f>
        <v>0.2</v>
      </c>
      <c r="U133" s="53">
        <f>IFERROR(VLOOKUP($E133,KPI!$B:$T,MATCH(RESOURCES!U$3,KPI!$B$1:$T$1,0),FALSE),"-")</f>
        <v>0.15</v>
      </c>
      <c r="V133" s="53">
        <f>IFERROR(VLOOKUP($E133,KPI!$B:$T,MATCH(RESOURCES!V$3,KPI!$B$1:$T$1,0),FALSE),"-")</f>
        <v>0.05</v>
      </c>
      <c r="W133" s="50">
        <f>IFERROR(VLOOKUP($C133,'PRODUCTIVITY RAW'!$B:$Q,16,FALSE),"-")</f>
        <v>0.79027777777777775</v>
      </c>
      <c r="X133" s="50" t="str">
        <f>IFERROR(VLOOKUP($C133,'CHURN RAW'!$A:$H,8,FALSE),"-")</f>
        <v>NO SCORE</v>
      </c>
      <c r="Y133" s="50" t="str">
        <f>IFERROR(IF(AVERAGEIFS('QA RAW'!$G:$G,'QA RAW'!$E:$E,RESOURCES!$C133)=0,"-",AVERAGEIFS('QA RAW'!$G:$G,'QA RAW'!$E:$E,RESOURCES!$C133)),"-")</f>
        <v>-</v>
      </c>
      <c r="Z133" s="50" t="str">
        <f>IFERROR(VLOOKUP($C133,'PR CALIBRATION RAW'!$K:$S,MATCH(RESOURCES!Z$3,'PR CALIBRATION RAW'!$K$1:$S$1,0),FALSE),"-")</f>
        <v>-</v>
      </c>
      <c r="AA133" s="50" t="str">
        <f>IFERROR(VLOOKUP($C133,'DISPUTES RAW (VQA)'!$N:$U,8,FALSE),"-")</f>
        <v>-</v>
      </c>
      <c r="AB133" s="50">
        <f>IFERROR(VLOOKUP($C133,'ATTENDANCE RAW'!$E:$R,13,FALSE),"-")</f>
        <v>0.90909090909090906</v>
      </c>
      <c r="AC133" s="50">
        <f>IFERROR(IF($E133="Voice QA",IF(AVERAGEIFS('KC RAW'!$J:$J,'KC RAW'!$B:$B,RESOURCES!$C133)=0,"-",AVERAGEIFS('KC RAW'!$J:$J,'KC RAW'!$B:$B,RESOURCES!$C133)),IF(AVERAGEIFS('KC RAW'!$H:$H,'KC RAW'!$B:$B,RESOURCES!$C133)=0,"-",AVERAGEIFS('KC RAW'!$H:$H,'KC RAW'!$B:$B,RESOURCES!$C133))),"-")</f>
        <v>0.85000000000000009</v>
      </c>
      <c r="AD133" s="50">
        <f>IFERROR(AVERAGEIFS('CE RAW'!$G:$G,'CE RAW'!$E:$E,RESOURCES!$C133),"-")</f>
        <v>0.94189999999999996</v>
      </c>
      <c r="AE133" s="50">
        <f>IFERROR(VLOOKUP($C133,'FCR RAW'!$A:$I,7,FALSE),"-")</f>
        <v>1</v>
      </c>
      <c r="AF133" s="50" t="str">
        <f>IFERROR(IF(VLOOKUP($C133,'BONUS RAW'!$D:$I,6,FALSE)=100%,100%,"-"),"-")</f>
        <v>-</v>
      </c>
      <c r="AG133" s="52">
        <f t="shared" ref="AG133:AG151" si="21">IFERROR(IF(AF133="-",SUMPRODUCT(M133:U133,W133:AE133)/SUM(M133:U133),SUMPRODUCT(M133:V133,W133:AF133)/SUM(M133:V133)),"-")</f>
        <v>0.91253059163059158</v>
      </c>
      <c r="AH133" s="56">
        <f t="shared" si="18"/>
        <v>67</v>
      </c>
      <c r="AI133" s="57">
        <f t="shared" ref="AI133:AI151" si="22">IFERROR(SUMPRODUCT(W133:AE133,M133:U133)/SUM(M133:U133),"-")</f>
        <v>0.91253059163059158</v>
      </c>
      <c r="AJ133" s="57">
        <f t="shared" ref="AJ133:AJ151" si="23">IFERROR(SUMPRODUCT(W133:AF133,M133:V133)/SUM(M133:V133),"-")</f>
        <v>0.85169521885521871</v>
      </c>
      <c r="AK133" s="325" t="str">
        <f>IFERROR(VLOOKUP($C133,'ATTRITION RAW'!$E:$J,6,FALSE),"-")</f>
        <v>-</v>
      </c>
      <c r="AL133" s="176" t="str">
        <f t="shared" ref="AL133:AL151" si="24">IF($AK133="-",$AK133,"resign")</f>
        <v>-</v>
      </c>
      <c r="AM133" s="454" t="str">
        <f>IFERROR(VLOOKUP($C133,'CHURN RAW'!$A:$G,7,FALSE),"-")</f>
        <v>-</v>
      </c>
      <c r="AN133" s="456" t="str">
        <f t="shared" si="19"/>
        <v>QUALITY - DESIGNERS</v>
      </c>
    </row>
    <row r="134" spans="2:40">
      <c r="B134" s="637">
        <f t="shared" ref="B134:B151" si="25">B133+1</f>
        <v>131</v>
      </c>
      <c r="C134" s="93">
        <v>10071729</v>
      </c>
      <c r="D134" s="93" t="s">
        <v>236</v>
      </c>
      <c r="E134" s="88" t="s">
        <v>123</v>
      </c>
      <c r="F134" s="88" t="s">
        <v>227</v>
      </c>
      <c r="G134" s="88" t="s">
        <v>106</v>
      </c>
      <c r="H134" s="88" t="s">
        <v>85</v>
      </c>
      <c r="I134" s="88" t="s">
        <v>86</v>
      </c>
      <c r="J134" s="638"/>
      <c r="K134" s="638">
        <f t="shared" ref="K134:K151" si="26">$K$4</f>
        <v>43739</v>
      </c>
      <c r="L134" s="639" t="str">
        <f t="shared" si="20"/>
        <v>Expert</v>
      </c>
      <c r="M134" s="53">
        <f>IFERROR(VLOOKUP($E134,KPI!$B:$T,MATCH(RESOURCES!M$3,KPI!$B$1:$T$1,0),FALSE),"-")</f>
        <v>0.1</v>
      </c>
      <c r="N134" s="53">
        <f>IFERROR(VLOOKUP($E134,KPI!$B:$T,MATCH(RESOURCES!N$3,KPI!$B$1:$T$1,0),FALSE),"-")</f>
        <v>0.15</v>
      </c>
      <c r="O134" s="53">
        <f>IFERROR(VLOOKUP($E134,KPI!$B:$T,MATCH(RESOURCES!O$3,KPI!$B$1:$T$1,0),FALSE),"-")</f>
        <v>0.1</v>
      </c>
      <c r="P134" s="53" t="str">
        <f>IFERROR(VLOOKUP($E134,KPI!$B:$T,MATCH(RESOURCES!P$3,KPI!$B$1:$T$1,0),FALSE),"-")</f>
        <v>-</v>
      </c>
      <c r="Q134" s="53" t="str">
        <f>IFERROR(VLOOKUP($E134,KPI!$B:$T,MATCH(RESOURCES!Q$3,KPI!$B$1:$T$1,0),FALSE),"-")</f>
        <v>-</v>
      </c>
      <c r="R134" s="53">
        <f>IFERROR(VLOOKUP($E134,KPI!$B:$T,MATCH(RESOURCES!R$3,KPI!$B$1:$T$1,0),FALSE),"-")</f>
        <v>0.15</v>
      </c>
      <c r="S134" s="53">
        <f>IFERROR(VLOOKUP($E134,KPI!$B:$T,MATCH(RESOURCES!S$3,KPI!$B$1:$T$1,0),FALSE),"-")</f>
        <v>0.1</v>
      </c>
      <c r="T134" s="53">
        <f>IFERROR(VLOOKUP($E134,KPI!$B:$T,MATCH(RESOURCES!T$3,KPI!$B$1:$T$1,0),FALSE),"-")</f>
        <v>0.2</v>
      </c>
      <c r="U134" s="53">
        <f>IFERROR(VLOOKUP($E134,KPI!$B:$T,MATCH(RESOURCES!U$3,KPI!$B$1:$T$1,0),FALSE),"-")</f>
        <v>0.15</v>
      </c>
      <c r="V134" s="53">
        <f>IFERROR(VLOOKUP($E134,KPI!$B:$T,MATCH(RESOURCES!V$3,KPI!$B$1:$T$1,0),FALSE),"-")</f>
        <v>0.05</v>
      </c>
      <c r="W134" s="50">
        <f>IFERROR(VLOOKUP($C134,'PRODUCTIVITY RAW'!$B:$Q,16,FALSE),"-")</f>
        <v>1</v>
      </c>
      <c r="X134" s="50">
        <f>IFERROR(VLOOKUP($C134,'CHURN RAW'!$A:$H,8,FALSE),"-")</f>
        <v>1</v>
      </c>
      <c r="Y134" s="50">
        <f>IFERROR(IF(AVERAGEIFS('QA RAW'!$G:$G,'QA RAW'!$E:$E,RESOURCES!$C134)=0,"-",AVERAGEIFS('QA RAW'!$G:$G,'QA RAW'!$E:$E,RESOURCES!$C134)),"-")</f>
        <v>1</v>
      </c>
      <c r="Z134" s="50" t="str">
        <f>IFERROR(VLOOKUP($C134,'PR CALIBRATION RAW'!$K:$S,MATCH(RESOURCES!Z$3,'PR CALIBRATION RAW'!$K$1:$S$1,0),FALSE),"-")</f>
        <v>-</v>
      </c>
      <c r="AA134" s="50" t="str">
        <f>IFERROR(VLOOKUP($C134,'DISPUTES RAW (VQA)'!$N:$U,8,FALSE),"-")</f>
        <v>-</v>
      </c>
      <c r="AB134" s="50">
        <f>IFERROR(VLOOKUP($C134,'ATTENDANCE RAW'!$E:$R,13,FALSE),"-")</f>
        <v>1</v>
      </c>
      <c r="AC134" s="50">
        <f>IFERROR(IF($E134="Voice QA",IF(AVERAGEIFS('KC RAW'!$J:$J,'KC RAW'!$B:$B,RESOURCES!$C134)=0,"-",AVERAGEIFS('KC RAW'!$J:$J,'KC RAW'!$B:$B,RESOURCES!$C134)),IF(AVERAGEIFS('KC RAW'!$H:$H,'KC RAW'!$B:$B,RESOURCES!$C134)=0,"-",AVERAGEIFS('KC RAW'!$H:$H,'KC RAW'!$B:$B,RESOURCES!$C134))),"-")</f>
        <v>1</v>
      </c>
      <c r="AD134" s="50">
        <f>IFERROR(AVERAGEIFS('CE RAW'!$G:$G,'CE RAW'!$E:$E,RESOURCES!$C134),"-")</f>
        <v>0.98519999999999996</v>
      </c>
      <c r="AE134" s="50">
        <f>IFERROR(VLOOKUP($C134,'FCR RAW'!$A:$I,7,FALSE),"-")</f>
        <v>0.98958333333333337</v>
      </c>
      <c r="AF134" s="50">
        <f>IFERROR(IF(VLOOKUP($C134,'BONUS RAW'!$D:$I,6,FALSE)=100%,100%,"-"),"-")</f>
        <v>1</v>
      </c>
      <c r="AG134" s="52">
        <f t="shared" si="21"/>
        <v>0.99547750000000002</v>
      </c>
      <c r="AH134" s="56">
        <f t="shared" si="18"/>
        <v>4</v>
      </c>
      <c r="AI134" s="57">
        <f t="shared" si="22"/>
        <v>0.9952394736842104</v>
      </c>
      <c r="AJ134" s="57">
        <f t="shared" si="23"/>
        <v>0.99547750000000002</v>
      </c>
      <c r="AK134" s="325" t="str">
        <f>IFERROR(VLOOKUP($C134,'ATTRITION RAW'!$E:$J,6,FALSE),"-")</f>
        <v>-</v>
      </c>
      <c r="AL134" s="176" t="str">
        <f t="shared" si="24"/>
        <v>-</v>
      </c>
      <c r="AM134" s="454">
        <f>IFERROR(VLOOKUP($C134,'CHURN RAW'!$A:$G,7,FALSE),"-")</f>
        <v>0</v>
      </c>
      <c r="AN134" s="456" t="str">
        <f t="shared" si="19"/>
        <v>QUALITY - DESIGNERS</v>
      </c>
    </row>
    <row r="135" spans="2:40">
      <c r="B135" s="637">
        <f t="shared" si="25"/>
        <v>132</v>
      </c>
      <c r="C135" s="93">
        <v>10071151</v>
      </c>
      <c r="D135" s="93" t="s">
        <v>237</v>
      </c>
      <c r="E135" s="88" t="s">
        <v>123</v>
      </c>
      <c r="F135" s="88" t="s">
        <v>227</v>
      </c>
      <c r="G135" s="88" t="s">
        <v>106</v>
      </c>
      <c r="H135" s="88" t="s">
        <v>85</v>
      </c>
      <c r="I135" s="88" t="s">
        <v>86</v>
      </c>
      <c r="J135" s="638"/>
      <c r="K135" s="638">
        <f t="shared" si="26"/>
        <v>43739</v>
      </c>
      <c r="L135" s="639" t="str">
        <f t="shared" si="20"/>
        <v>Expert</v>
      </c>
      <c r="M135" s="53">
        <f>IFERROR(VLOOKUP($E135,KPI!$B:$T,MATCH(RESOURCES!M$3,KPI!$B$1:$T$1,0),FALSE),"-")</f>
        <v>0.1</v>
      </c>
      <c r="N135" s="53">
        <f>IFERROR(VLOOKUP($E135,KPI!$B:$T,MATCH(RESOURCES!N$3,KPI!$B$1:$T$1,0),FALSE),"-")</f>
        <v>0.15</v>
      </c>
      <c r="O135" s="53">
        <f>IFERROR(VLOOKUP($E135,KPI!$B:$T,MATCH(RESOURCES!O$3,KPI!$B$1:$T$1,0),FALSE),"-")</f>
        <v>0.1</v>
      </c>
      <c r="P135" s="53" t="str">
        <f>IFERROR(VLOOKUP($E135,KPI!$B:$T,MATCH(RESOURCES!P$3,KPI!$B$1:$T$1,0),FALSE),"-")</f>
        <v>-</v>
      </c>
      <c r="Q135" s="53" t="str">
        <f>IFERROR(VLOOKUP($E135,KPI!$B:$T,MATCH(RESOURCES!Q$3,KPI!$B$1:$T$1,0),FALSE),"-")</f>
        <v>-</v>
      </c>
      <c r="R135" s="53">
        <f>IFERROR(VLOOKUP($E135,KPI!$B:$T,MATCH(RESOURCES!R$3,KPI!$B$1:$T$1,0),FALSE),"-")</f>
        <v>0.15</v>
      </c>
      <c r="S135" s="53">
        <f>IFERROR(VLOOKUP($E135,KPI!$B:$T,MATCH(RESOURCES!S$3,KPI!$B$1:$T$1,0),FALSE),"-")</f>
        <v>0.1</v>
      </c>
      <c r="T135" s="53">
        <f>IFERROR(VLOOKUP($E135,KPI!$B:$T,MATCH(RESOURCES!T$3,KPI!$B$1:$T$1,0),FALSE),"-")</f>
        <v>0.2</v>
      </c>
      <c r="U135" s="53">
        <f>IFERROR(VLOOKUP($E135,KPI!$B:$T,MATCH(RESOURCES!U$3,KPI!$B$1:$T$1,0),FALSE),"-")</f>
        <v>0.15</v>
      </c>
      <c r="V135" s="53">
        <f>IFERROR(VLOOKUP($E135,KPI!$B:$T,MATCH(RESOURCES!V$3,KPI!$B$1:$T$1,0),FALSE),"-")</f>
        <v>0.05</v>
      </c>
      <c r="W135" s="50">
        <f>IFERROR(VLOOKUP($C135,'PRODUCTIVITY RAW'!$B:$Q,16,FALSE),"-")</f>
        <v>0.78403095321843119</v>
      </c>
      <c r="X135" s="50">
        <f>IFERROR(VLOOKUP($C135,'CHURN RAW'!$A:$H,8,FALSE),"-")</f>
        <v>1</v>
      </c>
      <c r="Y135" s="50">
        <f>IFERROR(IF(AVERAGEIFS('QA RAW'!$G:$G,'QA RAW'!$E:$E,RESOURCES!$C135)=0,"-",AVERAGEIFS('QA RAW'!$G:$G,'QA RAW'!$E:$E,RESOURCES!$C135)),"-")</f>
        <v>1</v>
      </c>
      <c r="Z135" s="50" t="str">
        <f>IFERROR(VLOOKUP($C135,'PR CALIBRATION RAW'!$K:$S,MATCH(RESOURCES!Z$3,'PR CALIBRATION RAW'!$K$1:$S$1,0),FALSE),"-")</f>
        <v>-</v>
      </c>
      <c r="AA135" s="50" t="str">
        <f>IFERROR(VLOOKUP($C135,'DISPUTES RAW (VQA)'!$N:$U,8,FALSE),"-")</f>
        <v>-</v>
      </c>
      <c r="AB135" s="50">
        <f>IFERROR(VLOOKUP($C135,'ATTENDANCE RAW'!$E:$R,13,FALSE),"-")</f>
        <v>0.77272727272727271</v>
      </c>
      <c r="AC135" s="50">
        <f>IFERROR(IF($E135="Voice QA",IF(AVERAGEIFS('KC RAW'!$J:$J,'KC RAW'!$B:$B,RESOURCES!$C135)=0,"-",AVERAGEIFS('KC RAW'!$J:$J,'KC RAW'!$B:$B,RESOURCES!$C135)),IF(AVERAGEIFS('KC RAW'!$H:$H,'KC RAW'!$B:$B,RESOURCES!$C135)=0,"-",AVERAGEIFS('KC RAW'!$H:$H,'KC RAW'!$B:$B,RESOURCES!$C135))),"-")</f>
        <v>0.85</v>
      </c>
      <c r="AD135" s="50">
        <f>IFERROR(AVERAGEIFS('CE RAW'!$G:$G,'CE RAW'!$E:$E,RESOURCES!$C135),"-")</f>
        <v>0.91849999999999998</v>
      </c>
      <c r="AE135" s="50">
        <f>IFERROR(VLOOKUP($C135,'FCR RAW'!$A:$I,7,FALSE),"-")</f>
        <v>1</v>
      </c>
      <c r="AF135" s="50">
        <f>IFERROR(IF(VLOOKUP($C135,'BONUS RAW'!$D:$I,6,FALSE)=100%,100%,"-"),"-")</f>
        <v>1</v>
      </c>
      <c r="AG135" s="52">
        <f t="shared" si="21"/>
        <v>0.91301218623093405</v>
      </c>
      <c r="AH135" s="56">
        <f t="shared" si="18"/>
        <v>66</v>
      </c>
      <c r="AI135" s="57">
        <f t="shared" si="22"/>
        <v>0.90843388024308835</v>
      </c>
      <c r="AJ135" s="57">
        <f t="shared" si="23"/>
        <v>0.91301218623093405</v>
      </c>
      <c r="AK135" s="325" t="str">
        <f>IFERROR(VLOOKUP($C135,'ATTRITION RAW'!$E:$J,6,FALSE),"-")</f>
        <v>-</v>
      </c>
      <c r="AL135" s="176" t="str">
        <f t="shared" si="24"/>
        <v>-</v>
      </c>
      <c r="AM135" s="454">
        <f>IFERROR(VLOOKUP($C135,'CHURN RAW'!$A:$G,7,FALSE),"-")</f>
        <v>0</v>
      </c>
      <c r="AN135" s="456" t="str">
        <f t="shared" si="19"/>
        <v>QUALITY - DESIGNERS</v>
      </c>
    </row>
    <row r="136" spans="2:40">
      <c r="B136" s="637">
        <f t="shared" si="25"/>
        <v>133</v>
      </c>
      <c r="C136" s="93">
        <v>10072439</v>
      </c>
      <c r="D136" s="93" t="s">
        <v>238</v>
      </c>
      <c r="E136" s="88" t="s">
        <v>123</v>
      </c>
      <c r="F136" s="88" t="s">
        <v>227</v>
      </c>
      <c r="G136" s="88" t="s">
        <v>106</v>
      </c>
      <c r="H136" s="88" t="s">
        <v>85</v>
      </c>
      <c r="I136" s="88" t="s">
        <v>86</v>
      </c>
      <c r="J136" s="638"/>
      <c r="K136" s="638">
        <f t="shared" si="26"/>
        <v>43739</v>
      </c>
      <c r="L136" s="639" t="str">
        <f t="shared" si="20"/>
        <v>Expert</v>
      </c>
      <c r="M136" s="53">
        <f>IFERROR(VLOOKUP($E136,KPI!$B:$T,MATCH(RESOURCES!M$3,KPI!$B$1:$T$1,0),FALSE),"-")</f>
        <v>0.1</v>
      </c>
      <c r="N136" s="53">
        <f>IFERROR(VLOOKUP($E136,KPI!$B:$T,MATCH(RESOURCES!N$3,KPI!$B$1:$T$1,0),FALSE),"-")</f>
        <v>0.15</v>
      </c>
      <c r="O136" s="53">
        <f>IFERROR(VLOOKUP($E136,KPI!$B:$T,MATCH(RESOURCES!O$3,KPI!$B$1:$T$1,0),FALSE),"-")</f>
        <v>0.1</v>
      </c>
      <c r="P136" s="53" t="str">
        <f>IFERROR(VLOOKUP($E136,KPI!$B:$T,MATCH(RESOURCES!P$3,KPI!$B$1:$T$1,0),FALSE),"-")</f>
        <v>-</v>
      </c>
      <c r="Q136" s="53" t="str">
        <f>IFERROR(VLOOKUP($E136,KPI!$B:$T,MATCH(RESOURCES!Q$3,KPI!$B$1:$T$1,0),FALSE),"-")</f>
        <v>-</v>
      </c>
      <c r="R136" s="53">
        <f>IFERROR(VLOOKUP($E136,KPI!$B:$T,MATCH(RESOURCES!R$3,KPI!$B$1:$T$1,0),FALSE),"-")</f>
        <v>0.15</v>
      </c>
      <c r="S136" s="53">
        <f>IFERROR(VLOOKUP($E136,KPI!$B:$T,MATCH(RESOURCES!S$3,KPI!$B$1:$T$1,0),FALSE),"-")</f>
        <v>0.1</v>
      </c>
      <c r="T136" s="53">
        <f>IFERROR(VLOOKUP($E136,KPI!$B:$T,MATCH(RESOURCES!T$3,KPI!$B$1:$T$1,0),FALSE),"-")</f>
        <v>0.2</v>
      </c>
      <c r="U136" s="53">
        <f>IFERROR(VLOOKUP($E136,KPI!$B:$T,MATCH(RESOURCES!U$3,KPI!$B$1:$T$1,0),FALSE),"-")</f>
        <v>0.15</v>
      </c>
      <c r="V136" s="53">
        <f>IFERROR(VLOOKUP($E136,KPI!$B:$T,MATCH(RESOURCES!V$3,KPI!$B$1:$T$1,0),FALSE),"-")</f>
        <v>0.05</v>
      </c>
      <c r="W136" s="50">
        <f>IFERROR(VLOOKUP($C136,'PRODUCTIVITY RAW'!$B:$Q,16,FALSE),"-")</f>
        <v>1</v>
      </c>
      <c r="X136" s="50">
        <f>IFERROR(VLOOKUP($C136,'CHURN RAW'!$A:$H,8,FALSE),"-")</f>
        <v>1</v>
      </c>
      <c r="Y136" s="50">
        <f>IFERROR(IF(AVERAGEIFS('QA RAW'!$G:$G,'QA RAW'!$E:$E,RESOURCES!$C136)=0,"-",AVERAGEIFS('QA RAW'!$G:$G,'QA RAW'!$E:$E,RESOURCES!$C136)),"-")</f>
        <v>1</v>
      </c>
      <c r="Z136" s="50" t="str">
        <f>IFERROR(VLOOKUP($C136,'PR CALIBRATION RAW'!$K:$S,MATCH(RESOURCES!Z$3,'PR CALIBRATION RAW'!$K$1:$S$1,0),FALSE),"-")</f>
        <v>-</v>
      </c>
      <c r="AA136" s="50" t="str">
        <f>IFERROR(VLOOKUP($C136,'DISPUTES RAW (VQA)'!$N:$U,8,FALSE),"-")</f>
        <v>-</v>
      </c>
      <c r="AB136" s="50">
        <f>IFERROR(VLOOKUP($C136,'ATTENDANCE RAW'!$E:$R,13,FALSE),"-")</f>
        <v>0.81818181818181823</v>
      </c>
      <c r="AC136" s="50">
        <f>IFERROR(IF($E136="Voice QA",IF(AVERAGEIFS('KC RAW'!$J:$J,'KC RAW'!$B:$B,RESOURCES!$C136)=0,"-",AVERAGEIFS('KC RAW'!$J:$J,'KC RAW'!$B:$B,RESOURCES!$C136)),IF(AVERAGEIFS('KC RAW'!$H:$H,'KC RAW'!$B:$B,RESOURCES!$C136)=0,"-",AVERAGEIFS('KC RAW'!$H:$H,'KC RAW'!$B:$B,RESOURCES!$C136))),"-")</f>
        <v>0.85</v>
      </c>
      <c r="AD136" s="50">
        <f>IFERROR(AVERAGEIFS('CE RAW'!$G:$G,'CE RAW'!$E:$E,RESOURCES!$C136),"-")</f>
        <v>0.98570000000000002</v>
      </c>
      <c r="AE136" s="50">
        <f>IFERROR(VLOOKUP($C136,'FCR RAW'!$A:$I,7,FALSE),"-")</f>
        <v>0.98360655737704916</v>
      </c>
      <c r="AF136" s="50" t="str">
        <f>IFERROR(IF(VLOOKUP($C136,'BONUS RAW'!$D:$I,6,FALSE)=100%,100%,"-"),"-")</f>
        <v>-</v>
      </c>
      <c r="AG136" s="52">
        <f t="shared" si="21"/>
        <v>0.94990342771982106</v>
      </c>
      <c r="AH136" s="56">
        <f t="shared" si="18"/>
        <v>36</v>
      </c>
      <c r="AI136" s="57">
        <f t="shared" si="22"/>
        <v>0.94990342771982106</v>
      </c>
      <c r="AJ136" s="57">
        <f t="shared" si="23"/>
        <v>0.90240825633383004</v>
      </c>
      <c r="AK136" s="325" t="str">
        <f>IFERROR(VLOOKUP($C136,'ATTRITION RAW'!$E:$J,6,FALSE),"-")</f>
        <v>-</v>
      </c>
      <c r="AL136" s="176" t="str">
        <f t="shared" si="24"/>
        <v>-</v>
      </c>
      <c r="AM136" s="454">
        <f>IFERROR(VLOOKUP($C136,'CHURN RAW'!$A:$G,7,FALSE),"-")</f>
        <v>0</v>
      </c>
      <c r="AN136" s="456" t="str">
        <f t="shared" si="19"/>
        <v>QUALITY - DESIGNERS</v>
      </c>
    </row>
    <row r="137" spans="2:40">
      <c r="B137" s="637">
        <f t="shared" si="25"/>
        <v>134</v>
      </c>
      <c r="C137" s="93">
        <v>10071342</v>
      </c>
      <c r="D137" s="93" t="s">
        <v>239</v>
      </c>
      <c r="E137" s="88" t="s">
        <v>123</v>
      </c>
      <c r="F137" s="88" t="s">
        <v>227</v>
      </c>
      <c r="G137" s="88" t="s">
        <v>106</v>
      </c>
      <c r="H137" s="88" t="s">
        <v>85</v>
      </c>
      <c r="I137" s="88" t="s">
        <v>86</v>
      </c>
      <c r="J137" s="638"/>
      <c r="K137" s="638">
        <f t="shared" si="26"/>
        <v>43739</v>
      </c>
      <c r="L137" s="639" t="str">
        <f t="shared" si="20"/>
        <v>Expert</v>
      </c>
      <c r="M137" s="53">
        <f>IFERROR(VLOOKUP($E137,KPI!$B:$T,MATCH(RESOURCES!M$3,KPI!$B$1:$T$1,0),FALSE),"-")</f>
        <v>0.1</v>
      </c>
      <c r="N137" s="627"/>
      <c r="O137" s="627"/>
      <c r="P137" s="53" t="str">
        <f>IFERROR(VLOOKUP($E137,KPI!$B:$T,MATCH(RESOURCES!P$3,KPI!$B$1:$T$1,0),FALSE),"-")</f>
        <v>-</v>
      </c>
      <c r="Q137" s="53" t="str">
        <f>IFERROR(VLOOKUP($E137,KPI!$B:$T,MATCH(RESOURCES!Q$3,KPI!$B$1:$T$1,0),FALSE),"-")</f>
        <v>-</v>
      </c>
      <c r="R137" s="53">
        <f>IFERROR(VLOOKUP($E137,KPI!$B:$T,MATCH(RESOURCES!R$3,KPI!$B$1:$T$1,0),FALSE),"-")</f>
        <v>0.15</v>
      </c>
      <c r="S137" s="53">
        <f>IFERROR(VLOOKUP($E137,KPI!$B:$T,MATCH(RESOURCES!S$3,KPI!$B$1:$T$1,0),FALSE),"-")</f>
        <v>0.1</v>
      </c>
      <c r="T137" s="53">
        <f>IFERROR(VLOOKUP($E137,KPI!$B:$T,MATCH(RESOURCES!T$3,KPI!$B$1:$T$1,0),FALSE),"-")</f>
        <v>0.2</v>
      </c>
      <c r="U137" s="53">
        <f>IFERROR(VLOOKUP($E137,KPI!$B:$T,MATCH(RESOURCES!U$3,KPI!$B$1:$T$1,0),FALSE),"-")</f>
        <v>0.15</v>
      </c>
      <c r="V137" s="53">
        <f>IFERROR(VLOOKUP($E137,KPI!$B:$T,MATCH(RESOURCES!V$3,KPI!$B$1:$T$1,0),FALSE),"-")</f>
        <v>0.05</v>
      </c>
      <c r="W137" s="50">
        <f>IFERROR(VLOOKUP($C137,'PRODUCTIVITY RAW'!$B:$Q,16,FALSE),"-")</f>
        <v>0.92605263157894757</v>
      </c>
      <c r="X137" s="50" t="str">
        <f>IFERROR(VLOOKUP($C137,'CHURN RAW'!$A:$H,8,FALSE),"-")</f>
        <v>NO SCORE</v>
      </c>
      <c r="Y137" s="50" t="str">
        <f>IFERROR(IF(AVERAGEIFS('QA RAW'!$G:$G,'QA RAW'!$E:$E,RESOURCES!$C137)=0,"-",AVERAGEIFS('QA RAW'!$G:$G,'QA RAW'!$E:$E,RESOURCES!$C137)),"-")</f>
        <v>-</v>
      </c>
      <c r="Z137" s="50" t="str">
        <f>IFERROR(VLOOKUP($C137,'PR CALIBRATION RAW'!$K:$S,MATCH(RESOURCES!Z$3,'PR CALIBRATION RAW'!$K$1:$S$1,0),FALSE),"-")</f>
        <v>-</v>
      </c>
      <c r="AA137" s="50" t="str">
        <f>IFERROR(VLOOKUP($C137,'DISPUTES RAW (VQA)'!$N:$U,8,FALSE),"-")</f>
        <v>-</v>
      </c>
      <c r="AB137" s="50">
        <f>IFERROR(VLOOKUP($C137,'ATTENDANCE RAW'!$E:$R,13,FALSE),"-")</f>
        <v>0.90909090909090906</v>
      </c>
      <c r="AC137" s="50">
        <f>IFERROR(IF($E137="Voice QA",IF(AVERAGEIFS('KC RAW'!$J:$J,'KC RAW'!$B:$B,RESOURCES!$C137)=0,"-",AVERAGEIFS('KC RAW'!$J:$J,'KC RAW'!$B:$B,RESOURCES!$C137)),IF(AVERAGEIFS('KC RAW'!$H:$H,'KC RAW'!$B:$B,RESOURCES!$C137)=0,"-",AVERAGEIFS('KC RAW'!$H:$H,'KC RAW'!$B:$B,RESOURCES!$C137))),"-")</f>
        <v>0.9</v>
      </c>
      <c r="AD137" s="50">
        <f>IFERROR(AVERAGEIFS('CE RAW'!$G:$G,'CE RAW'!$E:$E,RESOURCES!$C137),"-")</f>
        <v>0.94230000000000003</v>
      </c>
      <c r="AE137" s="50">
        <f>IFERROR(VLOOKUP($C137,'FCR RAW'!$A:$I,7,FALSE),"-")</f>
        <v>0.98484848484848486</v>
      </c>
      <c r="AF137" s="50" t="str">
        <f>IFERROR(IF(VLOOKUP($C137,'BONUS RAW'!$D:$I,6,FALSE)=100%,100%,"-"),"-")</f>
        <v>-</v>
      </c>
      <c r="AG137" s="52">
        <f t="shared" si="21"/>
        <v>0.93593738892686251</v>
      </c>
      <c r="AH137" s="56">
        <f t="shared" si="18"/>
        <v>48</v>
      </c>
      <c r="AI137" s="57">
        <f t="shared" si="22"/>
        <v>0.93593738892686251</v>
      </c>
      <c r="AJ137" s="57">
        <f t="shared" si="23"/>
        <v>0.87354156299840502</v>
      </c>
      <c r="AK137" s="325" t="str">
        <f>IFERROR(VLOOKUP($C137,'ATTRITION RAW'!$E:$J,6,FALSE),"-")</f>
        <v>-</v>
      </c>
      <c r="AL137" s="176" t="str">
        <f t="shared" si="24"/>
        <v>-</v>
      </c>
      <c r="AM137" s="454" t="str">
        <f>IFERROR(VLOOKUP($C137,'CHURN RAW'!$A:$G,7,FALSE),"-")</f>
        <v>-</v>
      </c>
      <c r="AN137" s="456" t="str">
        <f t="shared" si="19"/>
        <v>QUALITY - DESIGNERS</v>
      </c>
    </row>
    <row r="138" spans="2:40">
      <c r="B138" s="637">
        <f t="shared" si="25"/>
        <v>135</v>
      </c>
      <c r="C138" s="93">
        <v>10071047</v>
      </c>
      <c r="D138" s="93" t="s">
        <v>240</v>
      </c>
      <c r="E138" s="88" t="s">
        <v>90</v>
      </c>
      <c r="F138" s="88" t="s">
        <v>241</v>
      </c>
      <c r="G138" s="88" t="s">
        <v>106</v>
      </c>
      <c r="H138" s="88" t="s">
        <v>85</v>
      </c>
      <c r="I138" s="88" t="s">
        <v>86</v>
      </c>
      <c r="J138" s="638"/>
      <c r="K138" s="638">
        <f t="shared" si="26"/>
        <v>43739</v>
      </c>
      <c r="L138" s="639" t="str">
        <f t="shared" si="20"/>
        <v>Expert</v>
      </c>
      <c r="M138" s="53">
        <f>IFERROR(VLOOKUP($E138,KPI!$B:$T,MATCH(RESOURCES!M$3,KPI!$B$1:$T$1,0),FALSE),"-")</f>
        <v>0.35</v>
      </c>
      <c r="N138" s="53" t="str">
        <f>IFERROR(VLOOKUP($E138,KPI!$B:$T,MATCH(RESOURCES!N$3,KPI!$B$1:$T$1,0),FALSE),"-")</f>
        <v>-</v>
      </c>
      <c r="O138" s="53">
        <f>IFERROR(VLOOKUP($E138,KPI!$B:$T,MATCH(RESOURCES!O$3,KPI!$B$1:$T$1,0),FALSE),"-")</f>
        <v>0.15</v>
      </c>
      <c r="P138" s="53" t="str">
        <f>IFERROR(VLOOKUP($E138,KPI!$B:$T,MATCH(RESOURCES!P$3,KPI!$B$1:$T$1,0),FALSE),"-")</f>
        <v>-</v>
      </c>
      <c r="Q138" s="53">
        <f>IFERROR(VLOOKUP($E138,KPI!$B:$T,MATCH(RESOURCES!Q$3,KPI!$B$1:$T$1,0),FALSE),"-")</f>
        <v>0.2</v>
      </c>
      <c r="R138" s="53">
        <f>IFERROR(VLOOKUP($E138,KPI!$B:$T,MATCH(RESOURCES!R$3,KPI!$B$1:$T$1,0),FALSE),"-")</f>
        <v>0.15</v>
      </c>
      <c r="S138" s="53">
        <f>IFERROR(VLOOKUP($E138,KPI!$B:$T,MATCH(RESOURCES!S$3,KPI!$B$1:$T$1,0),FALSE),"-")</f>
        <v>0.1</v>
      </c>
      <c r="T138" s="53" t="str">
        <f>IFERROR(VLOOKUP($E138,KPI!$B:$T,MATCH(RESOURCES!T$3,KPI!$B$1:$T$1,0),FALSE),"-")</f>
        <v>-</v>
      </c>
      <c r="U138" s="53" t="str">
        <f>IFERROR(VLOOKUP($E138,KPI!$B:$T,MATCH(RESOURCES!U$3,KPI!$B$1:$T$1,0),FALSE),"-")</f>
        <v>-</v>
      </c>
      <c r="V138" s="53">
        <f>IFERROR(VLOOKUP($E138,KPI!$B:$T,MATCH(RESOURCES!V$3,KPI!$B$1:$T$1,0),FALSE),"-")</f>
        <v>0.05</v>
      </c>
      <c r="W138" s="50">
        <f>IFERROR(VLOOKUP($C138,'PRODUCTIVITY RAW'!$B:$Q,16,FALSE),"-")</f>
        <v>0.96825396825396826</v>
      </c>
      <c r="X138" s="50" t="str">
        <f>IFERROR(VLOOKUP($C138,'CHURN RAW'!$A:$H,8,FALSE),"-")</f>
        <v>-</v>
      </c>
      <c r="Y138" s="50">
        <f>IFERROR(IF(AVERAGEIFS('QA RAW'!$G:$G,'QA RAW'!$E:$E,RESOURCES!$C138)=0,"-",AVERAGEIFS('QA RAW'!$G:$G,'QA RAW'!$E:$E,RESOURCES!$C138)),"-")</f>
        <v>1</v>
      </c>
      <c r="Z138" s="50" t="str">
        <f>IFERROR(VLOOKUP($C138,'PR CALIBRATION RAW'!$K:$S,MATCH(RESOURCES!Z$3,'PR CALIBRATION RAW'!$K$1:$S$1,0),FALSE),"-")</f>
        <v>-</v>
      </c>
      <c r="AA138" s="50">
        <f>IFERROR(VLOOKUP($C138,'DISPUTES RAW (VQA)'!$N:$U,8,FALSE),"-")</f>
        <v>1</v>
      </c>
      <c r="AB138" s="50">
        <f>IFERROR(VLOOKUP($C138,'ATTENDANCE RAW'!$E:$R,13,FALSE),"-")</f>
        <v>1</v>
      </c>
      <c r="AC138" s="50">
        <f>IFERROR(IF($E138="Voice QA",IF(AVERAGEIFS('KC RAW'!$J:$J,'KC RAW'!$B:$B,RESOURCES!$C138)=0,"-",AVERAGEIFS('KC RAW'!$J:$J,'KC RAW'!$B:$B,RESOURCES!$C138)),IF(AVERAGEIFS('KC RAW'!$H:$H,'KC RAW'!$B:$B,RESOURCES!$C138)=0,"-",AVERAGEIFS('KC RAW'!$H:$H,'KC RAW'!$B:$B,RESOURCES!$C138))),"-")</f>
        <v>0.92500000000000004</v>
      </c>
      <c r="AD138" s="50" t="str">
        <f>IFERROR(AVERAGEIFS('CE RAW'!$G:$G,'CE RAW'!$E:$E,RESOURCES!$C138),"-")</f>
        <v>-</v>
      </c>
      <c r="AE138" s="50" t="str">
        <f>IFERROR(VLOOKUP($C138,'FCR RAW'!$A:$I,7,FALSE),"-")</f>
        <v>-</v>
      </c>
      <c r="AF138" s="50" t="str">
        <f>IFERROR(IF(VLOOKUP($C138,'BONUS RAW'!$D:$I,6,FALSE)=100%,100%,"-"),"-")</f>
        <v>-</v>
      </c>
      <c r="AG138" s="52">
        <f t="shared" si="21"/>
        <v>0.98040935672514629</v>
      </c>
      <c r="AH138" s="56">
        <f t="shared" si="18"/>
        <v>13</v>
      </c>
      <c r="AI138" s="57">
        <f t="shared" si="22"/>
        <v>0.98040935672514629</v>
      </c>
      <c r="AJ138" s="57">
        <f t="shared" si="23"/>
        <v>0.93138888888888893</v>
      </c>
      <c r="AK138" s="325" t="str">
        <f>IFERROR(VLOOKUP($C138,'ATTRITION RAW'!$E:$J,6,FALSE),"-")</f>
        <v>-</v>
      </c>
      <c r="AL138" s="176" t="str">
        <f t="shared" si="24"/>
        <v>-</v>
      </c>
      <c r="AM138" s="454" t="str">
        <f>IFERROR(VLOOKUP($C138,'CHURN RAW'!$A:$G,7,FALSE),"-")</f>
        <v>-</v>
      </c>
      <c r="AN138" s="456" t="str">
        <f t="shared" si="19"/>
        <v>QUALITY - VOICE QAs</v>
      </c>
    </row>
    <row r="139" spans="2:40">
      <c r="B139" s="637">
        <f t="shared" si="25"/>
        <v>136</v>
      </c>
      <c r="C139" s="93">
        <v>10071190</v>
      </c>
      <c r="D139" s="93" t="s">
        <v>242</v>
      </c>
      <c r="E139" s="88" t="s">
        <v>90</v>
      </c>
      <c r="F139" s="88" t="s">
        <v>241</v>
      </c>
      <c r="G139" s="88" t="s">
        <v>106</v>
      </c>
      <c r="H139" s="88"/>
      <c r="I139" s="88"/>
      <c r="J139" s="638"/>
      <c r="K139" s="638">
        <f t="shared" si="26"/>
        <v>43739</v>
      </c>
      <c r="L139" s="639" t="str">
        <f t="shared" si="20"/>
        <v>Expert</v>
      </c>
      <c r="M139" s="53">
        <f>IFERROR(VLOOKUP($E139,KPI!$B:$T,MATCH(RESOURCES!M$3,KPI!$B$1:$T$1,0),FALSE),"-")</f>
        <v>0.35</v>
      </c>
      <c r="N139" s="53" t="str">
        <f>IFERROR(VLOOKUP($E139,KPI!$B:$T,MATCH(RESOURCES!N$3,KPI!$B$1:$T$1,0),FALSE),"-")</f>
        <v>-</v>
      </c>
      <c r="O139" s="53">
        <f>IFERROR(VLOOKUP($E139,KPI!$B:$T,MATCH(RESOURCES!O$3,KPI!$B$1:$T$1,0),FALSE),"-")</f>
        <v>0.15</v>
      </c>
      <c r="P139" s="53" t="str">
        <f>IFERROR(VLOOKUP($E139,KPI!$B:$T,MATCH(RESOURCES!P$3,KPI!$B$1:$T$1,0),FALSE),"-")</f>
        <v>-</v>
      </c>
      <c r="Q139" s="53">
        <f>IFERROR(VLOOKUP($E139,KPI!$B:$T,MATCH(RESOURCES!Q$3,KPI!$B$1:$T$1,0),FALSE),"-")</f>
        <v>0.2</v>
      </c>
      <c r="R139" s="53">
        <f>IFERROR(VLOOKUP($E139,KPI!$B:$T,MATCH(RESOURCES!R$3,KPI!$B$1:$T$1,0),FALSE),"-")</f>
        <v>0.15</v>
      </c>
      <c r="S139" s="53">
        <f>IFERROR(VLOOKUP($E139,KPI!$B:$T,MATCH(RESOURCES!S$3,KPI!$B$1:$T$1,0),FALSE),"-")</f>
        <v>0.1</v>
      </c>
      <c r="T139" s="53" t="str">
        <f>IFERROR(VLOOKUP($E139,KPI!$B:$T,MATCH(RESOURCES!T$3,KPI!$B$1:$T$1,0),FALSE),"-")</f>
        <v>-</v>
      </c>
      <c r="U139" s="53" t="str">
        <f>IFERROR(VLOOKUP($E139,KPI!$B:$T,MATCH(RESOURCES!U$3,KPI!$B$1:$T$1,0),FALSE),"-")</f>
        <v>-</v>
      </c>
      <c r="V139" s="53">
        <f>IFERROR(VLOOKUP($E139,KPI!$B:$T,MATCH(RESOURCES!V$3,KPI!$B$1:$T$1,0),FALSE),"-")</f>
        <v>0.05</v>
      </c>
      <c r="W139" s="50">
        <f>IFERROR(VLOOKUP($C139,'PRODUCTIVITY RAW'!$B:$Q,16,FALSE),"-")</f>
        <v>0.84444444444444444</v>
      </c>
      <c r="X139" s="50" t="str">
        <f>IFERROR(VLOOKUP($C139,'CHURN RAW'!$A:$H,8,FALSE),"-")</f>
        <v>-</v>
      </c>
      <c r="Y139" s="50">
        <f>IFERROR(IF(AVERAGEIFS('QA RAW'!$G:$G,'QA RAW'!$E:$E,RESOURCES!$C139)=0,"-",AVERAGEIFS('QA RAW'!$G:$G,'QA RAW'!$E:$E,RESOURCES!$C139)),"-")</f>
        <v>1</v>
      </c>
      <c r="Z139" s="50" t="str">
        <f>IFERROR(VLOOKUP($C139,'PR CALIBRATION RAW'!$K:$S,MATCH(RESOURCES!Z$3,'PR CALIBRATION RAW'!$K$1:$S$1,0),FALSE),"-")</f>
        <v>-</v>
      </c>
      <c r="AA139" s="50">
        <f>IFERROR(VLOOKUP($C139,'DISPUTES RAW (VQA)'!$N:$U,8,FALSE),"-")</f>
        <v>0.8</v>
      </c>
      <c r="AB139" s="50">
        <f>IFERROR(VLOOKUP($C139,'ATTENDANCE RAW'!$E:$R,13,FALSE),"-")</f>
        <v>0.95454545454545459</v>
      </c>
      <c r="AC139" s="50">
        <f>IFERROR(IF($E139="Voice QA",IF(AVERAGEIFS('KC RAW'!$J:$J,'KC RAW'!$B:$B,RESOURCES!$C139)=0,"-",AVERAGEIFS('KC RAW'!$J:$J,'KC RAW'!$B:$B,RESOURCES!$C139)),IF(AVERAGEIFS('KC RAW'!$H:$H,'KC RAW'!$B:$B,RESOURCES!$C139)=0,"-",AVERAGEIFS('KC RAW'!$H:$H,'KC RAW'!$B:$B,RESOURCES!$C139))),"-")</f>
        <v>0.9</v>
      </c>
      <c r="AD139" s="50" t="str">
        <f>IFERROR(AVERAGEIFS('CE RAW'!$G:$G,'CE RAW'!$E:$E,RESOURCES!$C139),"-")</f>
        <v>-</v>
      </c>
      <c r="AE139" s="50" t="str">
        <f>IFERROR(VLOOKUP($C139,'FCR RAW'!$A:$I,7,FALSE),"-")</f>
        <v>-</v>
      </c>
      <c r="AF139" s="50" t="str">
        <f>IFERROR(IF(VLOOKUP($C139,'BONUS RAW'!$D:$I,6,FALSE)=100%,100%,"-"),"-")</f>
        <v>-</v>
      </c>
      <c r="AG139" s="52">
        <f t="shared" si="21"/>
        <v>0.88288144603934071</v>
      </c>
      <c r="AH139" s="56">
        <f t="shared" si="18"/>
        <v>105</v>
      </c>
      <c r="AI139" s="57">
        <f t="shared" si="22"/>
        <v>0.88288144603934071</v>
      </c>
      <c r="AJ139" s="57">
        <f t="shared" si="23"/>
        <v>0.83873737373737367</v>
      </c>
      <c r="AK139" s="325" t="str">
        <f>IFERROR(VLOOKUP($C139,'ATTRITION RAW'!$E:$J,6,FALSE),"-")</f>
        <v>-</v>
      </c>
      <c r="AL139" s="176" t="str">
        <f t="shared" si="24"/>
        <v>-</v>
      </c>
      <c r="AM139" s="454" t="str">
        <f>IFERROR(VLOOKUP($C139,'CHURN RAW'!$A:$G,7,FALSE),"-")</f>
        <v>-</v>
      </c>
      <c r="AN139" s="456" t="str">
        <f t="shared" si="19"/>
        <v>QUALITY - VOICE QAs</v>
      </c>
    </row>
    <row r="140" spans="2:40">
      <c r="B140" s="637">
        <f t="shared" si="25"/>
        <v>137</v>
      </c>
      <c r="C140" s="93">
        <v>10071902</v>
      </c>
      <c r="D140" s="93" t="s">
        <v>243</v>
      </c>
      <c r="E140" s="88" t="s">
        <v>90</v>
      </c>
      <c r="F140" s="88" t="s">
        <v>241</v>
      </c>
      <c r="G140" s="88" t="s">
        <v>106</v>
      </c>
      <c r="H140" s="88"/>
      <c r="I140" s="88"/>
      <c r="J140" s="638"/>
      <c r="K140" s="638">
        <f t="shared" si="26"/>
        <v>43739</v>
      </c>
      <c r="L140" s="639" t="str">
        <f t="shared" si="20"/>
        <v>Expert</v>
      </c>
      <c r="M140" s="53">
        <f>IFERROR(VLOOKUP($E140,KPI!$B:$T,MATCH(RESOURCES!M$3,KPI!$B$1:$T$1,0),FALSE),"-")</f>
        <v>0.35</v>
      </c>
      <c r="N140" s="53" t="str">
        <f>IFERROR(VLOOKUP($E140,KPI!$B:$T,MATCH(RESOURCES!N$3,KPI!$B$1:$T$1,0),FALSE),"-")</f>
        <v>-</v>
      </c>
      <c r="O140" s="53">
        <f>IFERROR(VLOOKUP($E140,KPI!$B:$T,MATCH(RESOURCES!O$3,KPI!$B$1:$T$1,0),FALSE),"-")</f>
        <v>0.15</v>
      </c>
      <c r="P140" s="53" t="str">
        <f>IFERROR(VLOOKUP($E140,KPI!$B:$T,MATCH(RESOURCES!P$3,KPI!$B$1:$T$1,0),FALSE),"-")</f>
        <v>-</v>
      </c>
      <c r="Q140" s="53">
        <f>IFERROR(VLOOKUP($E140,KPI!$B:$T,MATCH(RESOURCES!Q$3,KPI!$B$1:$T$1,0),FALSE),"-")</f>
        <v>0.2</v>
      </c>
      <c r="R140" s="53">
        <f>IFERROR(VLOOKUP($E140,KPI!$B:$T,MATCH(RESOURCES!R$3,KPI!$B$1:$T$1,0),FALSE),"-")</f>
        <v>0.15</v>
      </c>
      <c r="S140" s="53">
        <f>IFERROR(VLOOKUP($E140,KPI!$B:$T,MATCH(RESOURCES!S$3,KPI!$B$1:$T$1,0),FALSE),"-")</f>
        <v>0.1</v>
      </c>
      <c r="T140" s="53" t="str">
        <f>IFERROR(VLOOKUP($E140,KPI!$B:$T,MATCH(RESOURCES!T$3,KPI!$B$1:$T$1,0),FALSE),"-")</f>
        <v>-</v>
      </c>
      <c r="U140" s="53" t="str">
        <f>IFERROR(VLOOKUP($E140,KPI!$B:$T,MATCH(RESOURCES!U$3,KPI!$B$1:$T$1,0),FALSE),"-")</f>
        <v>-</v>
      </c>
      <c r="V140" s="53">
        <f>IFERROR(VLOOKUP($E140,KPI!$B:$T,MATCH(RESOURCES!V$3,KPI!$B$1:$T$1,0),FALSE),"-")</f>
        <v>0.05</v>
      </c>
      <c r="W140" s="50">
        <f>IFERROR(VLOOKUP($C140,'PRODUCTIVITY RAW'!$B:$Q,16,FALSE),"-")</f>
        <v>1</v>
      </c>
      <c r="X140" s="50" t="str">
        <f>IFERROR(VLOOKUP($C140,'CHURN RAW'!$A:$H,8,FALSE),"-")</f>
        <v>-</v>
      </c>
      <c r="Y140" s="50">
        <f>IFERROR(IF(AVERAGEIFS('QA RAW'!$G:$G,'QA RAW'!$E:$E,RESOURCES!$C140)=0,"-",AVERAGEIFS('QA RAW'!$G:$G,'QA RAW'!$E:$E,RESOURCES!$C140)),"-")</f>
        <v>0.97499999999999998</v>
      </c>
      <c r="Z140" s="50" t="str">
        <f>IFERROR(VLOOKUP($C140,'PR CALIBRATION RAW'!$K:$S,MATCH(RESOURCES!Z$3,'PR CALIBRATION RAW'!$K$1:$S$1,0),FALSE),"-")</f>
        <v>-</v>
      </c>
      <c r="AA140" s="50">
        <f>IFERROR(VLOOKUP($C140,'DISPUTES RAW (VQA)'!$N:$U,8,FALSE),"-")</f>
        <v>0.8</v>
      </c>
      <c r="AB140" s="50">
        <f>IFERROR(VLOOKUP($C140,'ATTENDANCE RAW'!$E:$R,13,FALSE),"-")</f>
        <v>1</v>
      </c>
      <c r="AC140" s="50">
        <f>IFERROR(IF($E140="Voice QA",IF(AVERAGEIFS('KC RAW'!$J:$J,'KC RAW'!$B:$B,RESOURCES!$C140)=0,"-",AVERAGEIFS('KC RAW'!$J:$J,'KC RAW'!$B:$B,RESOURCES!$C140)),IF(AVERAGEIFS('KC RAW'!$H:$H,'KC RAW'!$B:$B,RESOURCES!$C140)=0,"-",AVERAGEIFS('KC RAW'!$H:$H,'KC RAW'!$B:$B,RESOURCES!$C140))),"-")</f>
        <v>0.92500000000000004</v>
      </c>
      <c r="AD140" s="50" t="str">
        <f>IFERROR(AVERAGEIFS('CE RAW'!$G:$G,'CE RAW'!$E:$E,RESOURCES!$C140),"-")</f>
        <v>-</v>
      </c>
      <c r="AE140" s="50" t="str">
        <f>IFERROR(VLOOKUP($C140,'FCR RAW'!$A:$I,7,FALSE),"-")</f>
        <v>-</v>
      </c>
      <c r="AF140" s="50" t="str">
        <f>IFERROR(IF(VLOOKUP($C140,'BONUS RAW'!$D:$I,6,FALSE)=100%,100%,"-"),"-")</f>
        <v>-</v>
      </c>
      <c r="AG140" s="52">
        <f t="shared" si="21"/>
        <v>0.94605263157894748</v>
      </c>
      <c r="AH140" s="56">
        <f t="shared" si="18"/>
        <v>40</v>
      </c>
      <c r="AI140" s="57">
        <f t="shared" si="22"/>
        <v>0.94605263157894748</v>
      </c>
      <c r="AJ140" s="57">
        <f t="shared" si="23"/>
        <v>0.89875000000000005</v>
      </c>
      <c r="AK140" s="325" t="str">
        <f>IFERROR(VLOOKUP($C140,'ATTRITION RAW'!$E:$J,6,FALSE),"-")</f>
        <v>-</v>
      </c>
      <c r="AL140" s="176" t="str">
        <f t="shared" si="24"/>
        <v>-</v>
      </c>
      <c r="AM140" s="454" t="str">
        <f>IFERROR(VLOOKUP($C140,'CHURN RAW'!$A:$G,7,FALSE),"-")</f>
        <v>-</v>
      </c>
      <c r="AN140" s="456" t="str">
        <f t="shared" si="19"/>
        <v>QUALITY - VOICE QAs</v>
      </c>
    </row>
    <row r="141" spans="2:40">
      <c r="B141" s="637">
        <f t="shared" si="25"/>
        <v>138</v>
      </c>
      <c r="C141" s="93">
        <v>10072010</v>
      </c>
      <c r="D141" s="93" t="s">
        <v>244</v>
      </c>
      <c r="E141" s="88" t="s">
        <v>90</v>
      </c>
      <c r="F141" s="88" t="s">
        <v>241</v>
      </c>
      <c r="G141" s="88" t="s">
        <v>106</v>
      </c>
      <c r="H141" s="88"/>
      <c r="I141" s="88"/>
      <c r="J141" s="638"/>
      <c r="K141" s="638">
        <f t="shared" si="26"/>
        <v>43739</v>
      </c>
      <c r="L141" s="639" t="str">
        <f t="shared" si="20"/>
        <v>Expert</v>
      </c>
      <c r="M141" s="53">
        <f>IFERROR(VLOOKUP($E141,KPI!$B:$T,MATCH(RESOURCES!M$3,KPI!$B$1:$T$1,0),FALSE),"-")</f>
        <v>0.35</v>
      </c>
      <c r="N141" s="53" t="str">
        <f>IFERROR(VLOOKUP($E141,KPI!$B:$T,MATCH(RESOURCES!N$3,KPI!$B$1:$T$1,0),FALSE),"-")</f>
        <v>-</v>
      </c>
      <c r="O141" s="53">
        <f>IFERROR(VLOOKUP($E141,KPI!$B:$T,MATCH(RESOURCES!O$3,KPI!$B$1:$T$1,0),FALSE),"-")</f>
        <v>0.15</v>
      </c>
      <c r="P141" s="53" t="str">
        <f>IFERROR(VLOOKUP($E141,KPI!$B:$T,MATCH(RESOURCES!P$3,KPI!$B$1:$T$1,0),FALSE),"-")</f>
        <v>-</v>
      </c>
      <c r="Q141" s="53">
        <f>IFERROR(VLOOKUP($E141,KPI!$B:$T,MATCH(RESOURCES!Q$3,KPI!$B$1:$T$1,0),FALSE),"-")</f>
        <v>0.2</v>
      </c>
      <c r="R141" s="53">
        <f>IFERROR(VLOOKUP($E141,KPI!$B:$T,MATCH(RESOURCES!R$3,KPI!$B$1:$T$1,0),FALSE),"-")</f>
        <v>0.15</v>
      </c>
      <c r="S141" s="53">
        <f>IFERROR(VLOOKUP($E141,KPI!$B:$T,MATCH(RESOURCES!S$3,KPI!$B$1:$T$1,0),FALSE),"-")</f>
        <v>0.1</v>
      </c>
      <c r="T141" s="53" t="str">
        <f>IFERROR(VLOOKUP($E141,KPI!$B:$T,MATCH(RESOURCES!T$3,KPI!$B$1:$T$1,0),FALSE),"-")</f>
        <v>-</v>
      </c>
      <c r="U141" s="53" t="str">
        <f>IFERROR(VLOOKUP($E141,KPI!$B:$T,MATCH(RESOURCES!U$3,KPI!$B$1:$T$1,0),FALSE),"-")</f>
        <v>-</v>
      </c>
      <c r="V141" s="53">
        <f>IFERROR(VLOOKUP($E141,KPI!$B:$T,MATCH(RESOURCES!V$3,KPI!$B$1:$T$1,0),FALSE),"-")</f>
        <v>0.05</v>
      </c>
      <c r="W141" s="50">
        <f>IFERROR(VLOOKUP($C141,'PRODUCTIVITY RAW'!$B:$Q,16,FALSE),"-")</f>
        <v>1</v>
      </c>
      <c r="X141" s="50" t="str">
        <f>IFERROR(VLOOKUP($C141,'CHURN RAW'!$A:$H,8,FALSE),"-")</f>
        <v>-</v>
      </c>
      <c r="Y141" s="50">
        <f>IFERROR(IF(AVERAGEIFS('QA RAW'!$G:$G,'QA RAW'!$E:$E,RESOURCES!$C141)=0,"-",AVERAGEIFS('QA RAW'!$G:$G,'QA RAW'!$E:$E,RESOURCES!$C141)),"-")</f>
        <v>1</v>
      </c>
      <c r="Z141" s="50" t="str">
        <f>IFERROR(VLOOKUP($C141,'PR CALIBRATION RAW'!$K:$S,MATCH(RESOURCES!Z$3,'PR CALIBRATION RAW'!$K$1:$S$1,0),FALSE),"-")</f>
        <v>-</v>
      </c>
      <c r="AA141" s="50">
        <f>IFERROR(VLOOKUP($C141,'DISPUTES RAW (VQA)'!$N:$U,8,FALSE),"-")</f>
        <v>0.8</v>
      </c>
      <c r="AB141" s="50">
        <f>IFERROR(VLOOKUP($C141,'ATTENDANCE RAW'!$E:$R,13,FALSE),"-")</f>
        <v>0.95454545454545459</v>
      </c>
      <c r="AC141" s="50">
        <f>IFERROR(IF($E141="Voice QA",IF(AVERAGEIFS('KC RAW'!$J:$J,'KC RAW'!$B:$B,RESOURCES!$C141)=0,"-",AVERAGEIFS('KC RAW'!$J:$J,'KC RAW'!$B:$B,RESOURCES!$C141)),IF(AVERAGEIFS('KC RAW'!$H:$H,'KC RAW'!$B:$B,RESOURCES!$C141)=0,"-",AVERAGEIFS('KC RAW'!$H:$H,'KC RAW'!$B:$B,RESOURCES!$C141))),"-")</f>
        <v>1</v>
      </c>
      <c r="AD141" s="50" t="str">
        <f>IFERROR(AVERAGEIFS('CE RAW'!$G:$G,'CE RAW'!$E:$E,RESOURCES!$C141),"-")</f>
        <v>-</v>
      </c>
      <c r="AE141" s="50" t="str">
        <f>IFERROR(VLOOKUP($C141,'FCR RAW'!$A:$I,7,FALSE),"-")</f>
        <v>-</v>
      </c>
      <c r="AF141" s="50">
        <f>IFERROR(IF(VLOOKUP($C141,'BONUS RAW'!$D:$I,6,FALSE)=100%,100%,"-"),"-")</f>
        <v>1</v>
      </c>
      <c r="AG141" s="52">
        <f t="shared" si="21"/>
        <v>0.95318181818181824</v>
      </c>
      <c r="AH141" s="56">
        <f t="shared" si="18"/>
        <v>31</v>
      </c>
      <c r="AI141" s="57">
        <f t="shared" si="22"/>
        <v>0.95071770334928241</v>
      </c>
      <c r="AJ141" s="57">
        <f t="shared" si="23"/>
        <v>0.95318181818181824</v>
      </c>
      <c r="AK141" s="325" t="str">
        <f>IFERROR(VLOOKUP($C141,'ATTRITION RAW'!$E:$J,6,FALSE),"-")</f>
        <v>-</v>
      </c>
      <c r="AL141" s="176" t="str">
        <f t="shared" si="24"/>
        <v>-</v>
      </c>
      <c r="AM141" s="454" t="str">
        <f>IFERROR(VLOOKUP($C141,'CHURN RAW'!$A:$G,7,FALSE),"-")</f>
        <v>-</v>
      </c>
      <c r="AN141" s="456" t="str">
        <f t="shared" si="19"/>
        <v>QUALITY - VOICE QAs</v>
      </c>
    </row>
    <row r="142" spans="2:40">
      <c r="B142" s="637">
        <f t="shared" si="25"/>
        <v>139</v>
      </c>
      <c r="C142" s="93">
        <v>10072011</v>
      </c>
      <c r="D142" s="93" t="s">
        <v>245</v>
      </c>
      <c r="E142" s="88" t="s">
        <v>90</v>
      </c>
      <c r="F142" s="88" t="s">
        <v>241</v>
      </c>
      <c r="G142" s="88" t="s">
        <v>106</v>
      </c>
      <c r="H142" s="88"/>
      <c r="I142" s="88"/>
      <c r="J142" s="638"/>
      <c r="K142" s="638">
        <f t="shared" si="26"/>
        <v>43739</v>
      </c>
      <c r="L142" s="639" t="str">
        <f t="shared" si="20"/>
        <v>Expert</v>
      </c>
      <c r="M142" s="53">
        <f>IFERROR(VLOOKUP($E142,KPI!$B:$T,MATCH(RESOURCES!M$3,KPI!$B$1:$T$1,0),FALSE),"-")</f>
        <v>0.35</v>
      </c>
      <c r="N142" s="53" t="str">
        <f>IFERROR(VLOOKUP($E142,KPI!$B:$T,MATCH(RESOURCES!N$3,KPI!$B$1:$T$1,0),FALSE),"-")</f>
        <v>-</v>
      </c>
      <c r="O142" s="53">
        <f>IFERROR(VLOOKUP($E142,KPI!$B:$T,MATCH(RESOURCES!O$3,KPI!$B$1:$T$1,0),FALSE),"-")</f>
        <v>0.15</v>
      </c>
      <c r="P142" s="53" t="str">
        <f>IFERROR(VLOOKUP($E142,KPI!$B:$T,MATCH(RESOURCES!P$3,KPI!$B$1:$T$1,0),FALSE),"-")</f>
        <v>-</v>
      </c>
      <c r="Q142" s="53">
        <f>IFERROR(VLOOKUP($E142,KPI!$B:$T,MATCH(RESOURCES!Q$3,KPI!$B$1:$T$1,0),FALSE),"-")</f>
        <v>0.2</v>
      </c>
      <c r="R142" s="53">
        <f>IFERROR(VLOOKUP($E142,KPI!$B:$T,MATCH(RESOURCES!R$3,KPI!$B$1:$T$1,0),FALSE),"-")</f>
        <v>0.15</v>
      </c>
      <c r="S142" s="53">
        <f>IFERROR(VLOOKUP($E142,KPI!$B:$T,MATCH(RESOURCES!S$3,KPI!$B$1:$T$1,0),FALSE),"-")</f>
        <v>0.1</v>
      </c>
      <c r="T142" s="53" t="str">
        <f>IFERROR(VLOOKUP($E142,KPI!$B:$T,MATCH(RESOURCES!T$3,KPI!$B$1:$T$1,0),FALSE),"-")</f>
        <v>-</v>
      </c>
      <c r="U142" s="53" t="str">
        <f>IFERROR(VLOOKUP($E142,KPI!$B:$T,MATCH(RESOURCES!U$3,KPI!$B$1:$T$1,0),FALSE),"-")</f>
        <v>-</v>
      </c>
      <c r="V142" s="53">
        <f>IFERROR(VLOOKUP($E142,KPI!$B:$T,MATCH(RESOURCES!V$3,KPI!$B$1:$T$1,0),FALSE),"-")</f>
        <v>0.05</v>
      </c>
      <c r="W142" s="50">
        <f>IFERROR(VLOOKUP($C142,'PRODUCTIVITY RAW'!$B:$Q,16,FALSE),"-")</f>
        <v>1</v>
      </c>
      <c r="X142" s="50" t="str">
        <f>IFERROR(VLOOKUP($C142,'CHURN RAW'!$A:$H,8,FALSE),"-")</f>
        <v>-</v>
      </c>
      <c r="Y142" s="50">
        <f>IFERROR(IF(AVERAGEIFS('QA RAW'!$G:$G,'QA RAW'!$E:$E,RESOURCES!$C142)=0,"-",AVERAGEIFS('QA RAW'!$G:$G,'QA RAW'!$E:$E,RESOURCES!$C142)),"-")</f>
        <v>1</v>
      </c>
      <c r="Z142" s="50" t="str">
        <f>IFERROR(VLOOKUP($C142,'PR CALIBRATION RAW'!$K:$S,MATCH(RESOURCES!Z$3,'PR CALIBRATION RAW'!$K$1:$S$1,0),FALSE),"-")</f>
        <v>-</v>
      </c>
      <c r="AA142" s="50">
        <f>IFERROR(VLOOKUP($C142,'DISPUTES RAW (VQA)'!$N:$U,8,FALSE),"-")</f>
        <v>1</v>
      </c>
      <c r="AB142" s="50">
        <f>IFERROR(VLOOKUP($C142,'ATTENDANCE RAW'!$E:$R,13,FALSE),"-")</f>
        <v>1</v>
      </c>
      <c r="AC142" s="50">
        <f>IFERROR(IF($E142="Voice QA",IF(AVERAGEIFS('KC RAW'!$J:$J,'KC RAW'!$B:$B,RESOURCES!$C142)=0,"-",AVERAGEIFS('KC RAW'!$J:$J,'KC RAW'!$B:$B,RESOURCES!$C142)),IF(AVERAGEIFS('KC RAW'!$H:$H,'KC RAW'!$B:$B,RESOURCES!$C142)=0,"-",AVERAGEIFS('KC RAW'!$H:$H,'KC RAW'!$B:$B,RESOURCES!$C142))),"-")</f>
        <v>1</v>
      </c>
      <c r="AD142" s="50" t="str">
        <f>IFERROR(AVERAGEIFS('CE RAW'!$G:$G,'CE RAW'!$E:$E,RESOURCES!$C142),"-")</f>
        <v>-</v>
      </c>
      <c r="AE142" s="50" t="str">
        <f>IFERROR(VLOOKUP($C142,'FCR RAW'!$A:$I,7,FALSE),"-")</f>
        <v>-</v>
      </c>
      <c r="AF142" s="50">
        <f>IFERROR(IF(VLOOKUP($C142,'BONUS RAW'!$D:$I,6,FALSE)=100%,100%,"-"),"-")</f>
        <v>1</v>
      </c>
      <c r="AG142" s="52">
        <f t="shared" si="21"/>
        <v>1</v>
      </c>
      <c r="AH142" s="56">
        <f t="shared" si="18"/>
        <v>1</v>
      </c>
      <c r="AI142" s="57">
        <f t="shared" si="22"/>
        <v>1</v>
      </c>
      <c r="AJ142" s="57">
        <f t="shared" si="23"/>
        <v>1</v>
      </c>
      <c r="AK142" s="325" t="str">
        <f>IFERROR(VLOOKUP($C142,'ATTRITION RAW'!$E:$J,6,FALSE),"-")</f>
        <v>-</v>
      </c>
      <c r="AL142" s="176" t="str">
        <f t="shared" si="24"/>
        <v>-</v>
      </c>
      <c r="AM142" s="454" t="str">
        <f>IFERROR(VLOOKUP($C142,'CHURN RAW'!$A:$G,7,FALSE),"-")</f>
        <v>-</v>
      </c>
      <c r="AN142" s="456" t="str">
        <f t="shared" si="19"/>
        <v>QUALITY - VOICE QAs</v>
      </c>
    </row>
    <row r="143" spans="2:40">
      <c r="B143" s="637">
        <f t="shared" si="25"/>
        <v>140</v>
      </c>
      <c r="C143" s="93">
        <v>10072023</v>
      </c>
      <c r="D143" s="93" t="s">
        <v>246</v>
      </c>
      <c r="E143" s="88" t="s">
        <v>90</v>
      </c>
      <c r="F143" s="88" t="s">
        <v>241</v>
      </c>
      <c r="G143" s="88" t="s">
        <v>106</v>
      </c>
      <c r="H143" s="88"/>
      <c r="I143" s="88"/>
      <c r="J143" s="638"/>
      <c r="K143" s="638">
        <f t="shared" si="26"/>
        <v>43739</v>
      </c>
      <c r="L143" s="639" t="str">
        <f t="shared" si="20"/>
        <v>Expert</v>
      </c>
      <c r="M143" s="53">
        <f>IFERROR(VLOOKUP($E143,KPI!$B:$T,MATCH(RESOURCES!M$3,KPI!$B$1:$T$1,0),FALSE),"-")</f>
        <v>0.35</v>
      </c>
      <c r="N143" s="53" t="str">
        <f>IFERROR(VLOOKUP($E143,KPI!$B:$T,MATCH(RESOURCES!N$3,KPI!$B$1:$T$1,0),FALSE),"-")</f>
        <v>-</v>
      </c>
      <c r="O143" s="53">
        <f>IFERROR(VLOOKUP($E143,KPI!$B:$T,MATCH(RESOURCES!O$3,KPI!$B$1:$T$1,0),FALSE),"-")</f>
        <v>0.15</v>
      </c>
      <c r="P143" s="53" t="str">
        <f>IFERROR(VLOOKUP($E143,KPI!$B:$T,MATCH(RESOURCES!P$3,KPI!$B$1:$T$1,0),FALSE),"-")</f>
        <v>-</v>
      </c>
      <c r="Q143" s="53">
        <f>IFERROR(VLOOKUP($E143,KPI!$B:$T,MATCH(RESOURCES!Q$3,KPI!$B$1:$T$1,0),FALSE),"-")</f>
        <v>0.2</v>
      </c>
      <c r="R143" s="53">
        <f>IFERROR(VLOOKUP($E143,KPI!$B:$T,MATCH(RESOURCES!R$3,KPI!$B$1:$T$1,0),FALSE),"-")</f>
        <v>0.15</v>
      </c>
      <c r="S143" s="53">
        <f>IFERROR(VLOOKUP($E143,KPI!$B:$T,MATCH(RESOURCES!S$3,KPI!$B$1:$T$1,0),FALSE),"-")</f>
        <v>0.1</v>
      </c>
      <c r="T143" s="53" t="str">
        <f>IFERROR(VLOOKUP($E143,KPI!$B:$T,MATCH(RESOURCES!T$3,KPI!$B$1:$T$1,0),FALSE),"-")</f>
        <v>-</v>
      </c>
      <c r="U143" s="53" t="str">
        <f>IFERROR(VLOOKUP($E143,KPI!$B:$T,MATCH(RESOURCES!U$3,KPI!$B$1:$T$1,0),FALSE),"-")</f>
        <v>-</v>
      </c>
      <c r="V143" s="53">
        <f>IFERROR(VLOOKUP($E143,KPI!$B:$T,MATCH(RESOURCES!V$3,KPI!$B$1:$T$1,0),FALSE),"-")</f>
        <v>0.05</v>
      </c>
      <c r="W143" s="50">
        <f>IFERROR(VLOOKUP($C143,'PRODUCTIVITY RAW'!$B:$Q,16,FALSE),"-")</f>
        <v>0.88888888888888884</v>
      </c>
      <c r="X143" s="50" t="str">
        <f>IFERROR(VLOOKUP($C143,'CHURN RAW'!$A:$H,8,FALSE),"-")</f>
        <v>-</v>
      </c>
      <c r="Y143" s="50">
        <f>IFERROR(IF(AVERAGEIFS('QA RAW'!$G:$G,'QA RAW'!$E:$E,RESOURCES!$C143)=0,"-",AVERAGEIFS('QA RAW'!$G:$G,'QA RAW'!$E:$E,RESOURCES!$C143)),"-")</f>
        <v>0.95</v>
      </c>
      <c r="Z143" s="50" t="str">
        <f>IFERROR(VLOOKUP($C143,'PR CALIBRATION RAW'!$K:$S,MATCH(RESOURCES!Z$3,'PR CALIBRATION RAW'!$K$1:$S$1,0),FALSE),"-")</f>
        <v>-</v>
      </c>
      <c r="AA143" s="50">
        <f>IFERROR(VLOOKUP($C143,'DISPUTES RAW (VQA)'!$N:$U,8,FALSE),"-")</f>
        <v>1</v>
      </c>
      <c r="AB143" s="50">
        <f>IFERROR(VLOOKUP($C143,'ATTENDANCE RAW'!$E:$R,13,FALSE),"-")</f>
        <v>0.95454545454545459</v>
      </c>
      <c r="AC143" s="50">
        <f>IFERROR(IF($E143="Voice QA",IF(AVERAGEIFS('KC RAW'!$J:$J,'KC RAW'!$B:$B,RESOURCES!$C143)=0,"-",AVERAGEIFS('KC RAW'!$J:$J,'KC RAW'!$B:$B,RESOURCES!$C143)),IF(AVERAGEIFS('KC RAW'!$H:$H,'KC RAW'!$B:$B,RESOURCES!$C143)=0,"-",AVERAGEIFS('KC RAW'!$H:$H,'KC RAW'!$B:$B,RESOURCES!$C143))),"-")</f>
        <v>0.97499999999999998</v>
      </c>
      <c r="AD143" s="50" t="str">
        <f>IFERROR(AVERAGEIFS('CE RAW'!$G:$G,'CE RAW'!$E:$E,RESOURCES!$C143),"-")</f>
        <v>-</v>
      </c>
      <c r="AE143" s="50" t="str">
        <f>IFERROR(VLOOKUP($C143,'FCR RAW'!$A:$I,7,FALSE),"-")</f>
        <v>-</v>
      </c>
      <c r="AF143" s="50" t="str">
        <f>IFERROR(IF(VLOOKUP($C143,'BONUS RAW'!$D:$I,6,FALSE)=100%,100%,"-"),"-")</f>
        <v>-</v>
      </c>
      <c r="AG143" s="52">
        <f t="shared" si="21"/>
        <v>0.94136097820308362</v>
      </c>
      <c r="AH143" s="56">
        <f t="shared" si="18"/>
        <v>44</v>
      </c>
      <c r="AI143" s="57">
        <f t="shared" si="22"/>
        <v>0.94136097820308362</v>
      </c>
      <c r="AJ143" s="57">
        <f t="shared" si="23"/>
        <v>0.89429292929292936</v>
      </c>
      <c r="AK143" s="325" t="str">
        <f>IFERROR(VLOOKUP($C143,'ATTRITION RAW'!$E:$J,6,FALSE),"-")</f>
        <v>-</v>
      </c>
      <c r="AL143" s="176" t="str">
        <f t="shared" si="24"/>
        <v>-</v>
      </c>
      <c r="AM143" s="454" t="str">
        <f>IFERROR(VLOOKUP($C143,'CHURN RAW'!$A:$G,7,FALSE),"-")</f>
        <v>-</v>
      </c>
      <c r="AN143" s="456" t="str">
        <f t="shared" si="19"/>
        <v>QUALITY - VOICE QAs</v>
      </c>
    </row>
    <row r="144" spans="2:40">
      <c r="B144" s="637">
        <f t="shared" si="25"/>
        <v>141</v>
      </c>
      <c r="C144" s="93">
        <v>10072592</v>
      </c>
      <c r="D144" s="93" t="s">
        <v>247</v>
      </c>
      <c r="E144" s="88" t="s">
        <v>90</v>
      </c>
      <c r="F144" s="88" t="s">
        <v>241</v>
      </c>
      <c r="G144" s="88" t="s">
        <v>106</v>
      </c>
      <c r="H144" s="88"/>
      <c r="I144" s="88"/>
      <c r="J144" s="638"/>
      <c r="K144" s="638">
        <f t="shared" si="26"/>
        <v>43739</v>
      </c>
      <c r="L144" s="639" t="str">
        <f t="shared" si="20"/>
        <v>Expert</v>
      </c>
      <c r="M144" s="53">
        <f>IFERROR(VLOOKUP($E144,KPI!$B:$T,MATCH(RESOURCES!M$3,KPI!$B$1:$T$1,0),FALSE),"-")</f>
        <v>0.35</v>
      </c>
      <c r="N144" s="53" t="str">
        <f>IFERROR(VLOOKUP($E144,KPI!$B:$T,MATCH(RESOURCES!N$3,KPI!$B$1:$T$1,0),FALSE),"-")</f>
        <v>-</v>
      </c>
      <c r="O144" s="53">
        <f>IFERROR(VLOOKUP($E144,KPI!$B:$T,MATCH(RESOURCES!O$3,KPI!$B$1:$T$1,0),FALSE),"-")</f>
        <v>0.15</v>
      </c>
      <c r="P144" s="53" t="str">
        <f>IFERROR(VLOOKUP($E144,KPI!$B:$T,MATCH(RESOURCES!P$3,KPI!$B$1:$T$1,0),FALSE),"-")</f>
        <v>-</v>
      </c>
      <c r="Q144" s="53">
        <f>IFERROR(VLOOKUP($E144,KPI!$B:$T,MATCH(RESOURCES!Q$3,KPI!$B$1:$T$1,0),FALSE),"-")</f>
        <v>0.2</v>
      </c>
      <c r="R144" s="53">
        <f>IFERROR(VLOOKUP($E144,KPI!$B:$T,MATCH(RESOURCES!R$3,KPI!$B$1:$T$1,0),FALSE),"-")</f>
        <v>0.15</v>
      </c>
      <c r="S144" s="53">
        <f>IFERROR(VLOOKUP($E144,KPI!$B:$T,MATCH(RESOURCES!S$3,KPI!$B$1:$T$1,0),FALSE),"-")</f>
        <v>0.1</v>
      </c>
      <c r="T144" s="53" t="str">
        <f>IFERROR(VLOOKUP($E144,KPI!$B:$T,MATCH(RESOURCES!T$3,KPI!$B$1:$T$1,0),FALSE),"-")</f>
        <v>-</v>
      </c>
      <c r="U144" s="53" t="str">
        <f>IFERROR(VLOOKUP($E144,KPI!$B:$T,MATCH(RESOURCES!U$3,KPI!$B$1:$T$1,0),FALSE),"-")</f>
        <v>-</v>
      </c>
      <c r="V144" s="53">
        <f>IFERROR(VLOOKUP($E144,KPI!$B:$T,MATCH(RESOURCES!V$3,KPI!$B$1:$T$1,0),FALSE),"-")</f>
        <v>0.05</v>
      </c>
      <c r="W144" s="50">
        <f>IFERROR(VLOOKUP($C144,'PRODUCTIVITY RAW'!$B:$Q,16,FALSE),"-")</f>
        <v>1</v>
      </c>
      <c r="X144" s="50" t="str">
        <f>IFERROR(VLOOKUP($C144,'CHURN RAW'!$A:$H,8,FALSE),"-")</f>
        <v>-</v>
      </c>
      <c r="Y144" s="50">
        <f>IFERROR(IF(AVERAGEIFS('QA RAW'!$G:$G,'QA RAW'!$E:$E,RESOURCES!$C144)=0,"-",AVERAGEIFS('QA RAW'!$G:$G,'QA RAW'!$E:$E,RESOURCES!$C144)),"-")</f>
        <v>1</v>
      </c>
      <c r="Z144" s="50" t="str">
        <f>IFERROR(VLOOKUP($C144,'PR CALIBRATION RAW'!$K:$S,MATCH(RESOURCES!Z$3,'PR CALIBRATION RAW'!$K$1:$S$1,0),FALSE),"-")</f>
        <v>-</v>
      </c>
      <c r="AA144" s="50">
        <f>IFERROR(VLOOKUP($C144,'DISPUTES RAW (VQA)'!$N:$U,8,FALSE),"-")</f>
        <v>1</v>
      </c>
      <c r="AB144" s="50">
        <f>IFERROR(VLOOKUP($C144,'ATTENDANCE RAW'!$E:$R,13,FALSE),"-")</f>
        <v>1</v>
      </c>
      <c r="AC144" s="50">
        <f>IFERROR(IF($E144="Voice QA",IF(AVERAGEIFS('KC RAW'!$J:$J,'KC RAW'!$B:$B,RESOURCES!$C144)=0,"-",AVERAGEIFS('KC RAW'!$J:$J,'KC RAW'!$B:$B,RESOURCES!$C144)),IF(AVERAGEIFS('KC RAW'!$H:$H,'KC RAW'!$B:$B,RESOURCES!$C144)=0,"-",AVERAGEIFS('KC RAW'!$H:$H,'KC RAW'!$B:$B,RESOURCES!$C144))),"-")</f>
        <v>0.95</v>
      </c>
      <c r="AD144" s="50" t="str">
        <f>IFERROR(AVERAGEIFS('CE RAW'!$G:$G,'CE RAW'!$E:$E,RESOURCES!$C144),"-")</f>
        <v>-</v>
      </c>
      <c r="AE144" s="50" t="str">
        <f>IFERROR(VLOOKUP($C144,'FCR RAW'!$A:$I,7,FALSE),"-")</f>
        <v>-</v>
      </c>
      <c r="AF144" s="50">
        <f>IFERROR(IF(VLOOKUP($C144,'BONUS RAW'!$D:$I,6,FALSE)=100%,100%,"-"),"-")</f>
        <v>1</v>
      </c>
      <c r="AG144" s="52">
        <f t="shared" si="21"/>
        <v>0.995</v>
      </c>
      <c r="AH144" s="56">
        <f t="shared" si="18"/>
        <v>5</v>
      </c>
      <c r="AI144" s="57">
        <f t="shared" si="22"/>
        <v>0.99473684210526314</v>
      </c>
      <c r="AJ144" s="57">
        <f t="shared" si="23"/>
        <v>0.995</v>
      </c>
      <c r="AK144" s="325" t="str">
        <f>IFERROR(VLOOKUP($C144,'ATTRITION RAW'!$E:$J,6,FALSE),"-")</f>
        <v>-</v>
      </c>
      <c r="AL144" s="176" t="str">
        <f t="shared" si="24"/>
        <v>-</v>
      </c>
      <c r="AM144" s="454" t="str">
        <f>IFERROR(VLOOKUP($C144,'CHURN RAW'!$A:$G,7,FALSE),"-")</f>
        <v>-</v>
      </c>
      <c r="AN144" s="456" t="str">
        <f t="shared" si="19"/>
        <v>QUALITY - VOICE QAs</v>
      </c>
    </row>
    <row r="145" spans="1:48">
      <c r="B145" s="637">
        <f t="shared" si="25"/>
        <v>142</v>
      </c>
      <c r="C145" s="93">
        <v>10072604</v>
      </c>
      <c r="D145" s="93" t="s">
        <v>248</v>
      </c>
      <c r="E145" s="88" t="s">
        <v>90</v>
      </c>
      <c r="F145" s="88" t="s">
        <v>241</v>
      </c>
      <c r="G145" s="88" t="s">
        <v>106</v>
      </c>
      <c r="H145" s="88"/>
      <c r="I145" s="88"/>
      <c r="J145" s="638"/>
      <c r="K145" s="638">
        <f t="shared" si="26"/>
        <v>43739</v>
      </c>
      <c r="L145" s="639" t="str">
        <f t="shared" si="20"/>
        <v>Expert</v>
      </c>
      <c r="M145" s="53">
        <f>IFERROR(VLOOKUP($E145,KPI!$B:$T,MATCH(RESOURCES!M$3,KPI!$B$1:$T$1,0),FALSE),"-")</f>
        <v>0.35</v>
      </c>
      <c r="N145" s="53" t="str">
        <f>IFERROR(VLOOKUP($E145,KPI!$B:$T,MATCH(RESOURCES!N$3,KPI!$B$1:$T$1,0),FALSE),"-")</f>
        <v>-</v>
      </c>
      <c r="O145" s="53">
        <f>IFERROR(VLOOKUP($E145,KPI!$B:$T,MATCH(RESOURCES!O$3,KPI!$B$1:$T$1,0),FALSE),"-")</f>
        <v>0.15</v>
      </c>
      <c r="P145" s="53" t="str">
        <f>IFERROR(VLOOKUP($E145,KPI!$B:$T,MATCH(RESOURCES!P$3,KPI!$B$1:$T$1,0),FALSE),"-")</f>
        <v>-</v>
      </c>
      <c r="Q145" s="53">
        <f>IFERROR(VLOOKUP($E145,KPI!$B:$T,MATCH(RESOURCES!Q$3,KPI!$B$1:$T$1,0),FALSE),"-")</f>
        <v>0.2</v>
      </c>
      <c r="R145" s="53">
        <f>IFERROR(VLOOKUP($E145,KPI!$B:$T,MATCH(RESOURCES!R$3,KPI!$B$1:$T$1,0),FALSE),"-")</f>
        <v>0.15</v>
      </c>
      <c r="S145" s="53">
        <f>IFERROR(VLOOKUP($E145,KPI!$B:$T,MATCH(RESOURCES!S$3,KPI!$B$1:$T$1,0),FALSE),"-")</f>
        <v>0.1</v>
      </c>
      <c r="T145" s="53" t="str">
        <f>IFERROR(VLOOKUP($E145,KPI!$B:$T,MATCH(RESOURCES!T$3,KPI!$B$1:$T$1,0),FALSE),"-")</f>
        <v>-</v>
      </c>
      <c r="U145" s="53" t="str">
        <f>IFERROR(VLOOKUP($E145,KPI!$B:$T,MATCH(RESOURCES!U$3,KPI!$B$1:$T$1,0),FALSE),"-")</f>
        <v>-</v>
      </c>
      <c r="V145" s="53">
        <f>IFERROR(VLOOKUP($E145,KPI!$B:$T,MATCH(RESOURCES!V$3,KPI!$B$1:$T$1,0),FALSE),"-")</f>
        <v>0.05</v>
      </c>
      <c r="W145" s="50">
        <f>IFERROR(VLOOKUP($C145,'PRODUCTIVITY RAW'!$B:$Q,16,FALSE),"-")</f>
        <v>0.93333333333333335</v>
      </c>
      <c r="X145" s="50" t="str">
        <f>IFERROR(VLOOKUP($C145,'CHURN RAW'!$A:$H,8,FALSE),"-")</f>
        <v>-</v>
      </c>
      <c r="Y145" s="50">
        <f>IFERROR(IF(AVERAGEIFS('QA RAW'!$G:$G,'QA RAW'!$E:$E,RESOURCES!$C145)=0,"-",AVERAGEIFS('QA RAW'!$G:$G,'QA RAW'!$E:$E,RESOURCES!$C145)),"-")</f>
        <v>0.98750000000000004</v>
      </c>
      <c r="Z145" s="50" t="str">
        <f>IFERROR(VLOOKUP($C145,'PR CALIBRATION RAW'!$K:$S,MATCH(RESOURCES!Z$3,'PR CALIBRATION RAW'!$K$1:$S$1,0),FALSE),"-")</f>
        <v>-</v>
      </c>
      <c r="AA145" s="50">
        <f>IFERROR(VLOOKUP($C145,'DISPUTES RAW (VQA)'!$N:$U,8,FALSE),"-")</f>
        <v>1</v>
      </c>
      <c r="AB145" s="50">
        <f>IFERROR(VLOOKUP($C145,'ATTENDANCE RAW'!$E:$R,13,FALSE),"-")</f>
        <v>1</v>
      </c>
      <c r="AC145" s="50">
        <f>IFERROR(IF($E145="Voice QA",IF(AVERAGEIFS('KC RAW'!$J:$J,'KC RAW'!$B:$B,RESOURCES!$C145)=0,"-",AVERAGEIFS('KC RAW'!$J:$J,'KC RAW'!$B:$B,RESOURCES!$C145)),IF(AVERAGEIFS('KC RAW'!$H:$H,'KC RAW'!$B:$B,RESOURCES!$C145)=0,"-",AVERAGEIFS('KC RAW'!$H:$H,'KC RAW'!$B:$B,RESOURCES!$C145))),"-")</f>
        <v>0.97499999999999998</v>
      </c>
      <c r="AD145" s="50" t="str">
        <f>IFERROR(AVERAGEIFS('CE RAW'!$G:$G,'CE RAW'!$E:$E,RESOURCES!$C145),"-")</f>
        <v>-</v>
      </c>
      <c r="AE145" s="50" t="str">
        <f>IFERROR(VLOOKUP($C145,'FCR RAW'!$A:$I,7,FALSE),"-")</f>
        <v>-</v>
      </c>
      <c r="AF145" s="50" t="str">
        <f>IFERROR(IF(VLOOKUP($C145,'BONUS RAW'!$D:$I,6,FALSE)=100%,100%,"-"),"-")</f>
        <v>-</v>
      </c>
      <c r="AG145" s="52">
        <f t="shared" si="21"/>
        <v>0.97083333333333344</v>
      </c>
      <c r="AH145" s="56">
        <f t="shared" si="18"/>
        <v>20</v>
      </c>
      <c r="AI145" s="57">
        <f t="shared" si="22"/>
        <v>0.97083333333333344</v>
      </c>
      <c r="AJ145" s="57">
        <f t="shared" si="23"/>
        <v>0.92229166666666673</v>
      </c>
      <c r="AK145" s="325" t="str">
        <f>IFERROR(VLOOKUP($C145,'ATTRITION RAW'!$E:$J,6,FALSE),"-")</f>
        <v>-</v>
      </c>
      <c r="AL145" s="176" t="str">
        <f t="shared" si="24"/>
        <v>-</v>
      </c>
      <c r="AM145" s="454" t="str">
        <f>IFERROR(VLOOKUP($C145,'CHURN RAW'!$A:$G,7,FALSE),"-")</f>
        <v>-</v>
      </c>
      <c r="AN145" s="456" t="str">
        <f t="shared" si="19"/>
        <v>QUALITY - VOICE QAs</v>
      </c>
    </row>
    <row r="146" spans="1:48">
      <c r="B146" s="637">
        <f t="shared" si="25"/>
        <v>143</v>
      </c>
      <c r="C146" s="93">
        <v>10072613</v>
      </c>
      <c r="D146" s="93" t="s">
        <v>249</v>
      </c>
      <c r="E146" s="88" t="s">
        <v>90</v>
      </c>
      <c r="F146" s="88" t="s">
        <v>241</v>
      </c>
      <c r="G146" s="88" t="s">
        <v>106</v>
      </c>
      <c r="H146" s="88"/>
      <c r="I146" s="88"/>
      <c r="J146" s="638"/>
      <c r="K146" s="638">
        <f t="shared" si="26"/>
        <v>43739</v>
      </c>
      <c r="L146" s="639" t="str">
        <f t="shared" si="20"/>
        <v>Expert</v>
      </c>
      <c r="M146" s="53">
        <f>IFERROR(VLOOKUP($E146,KPI!$B:$T,MATCH(RESOURCES!M$3,KPI!$B$1:$T$1,0),FALSE),"-")</f>
        <v>0.35</v>
      </c>
      <c r="N146" s="53" t="str">
        <f>IFERROR(VLOOKUP($E146,KPI!$B:$T,MATCH(RESOURCES!N$3,KPI!$B$1:$T$1,0),FALSE),"-")</f>
        <v>-</v>
      </c>
      <c r="O146" s="53">
        <f>IFERROR(VLOOKUP($E146,KPI!$B:$T,MATCH(RESOURCES!O$3,KPI!$B$1:$T$1,0),FALSE),"-")</f>
        <v>0.15</v>
      </c>
      <c r="P146" s="53" t="str">
        <f>IFERROR(VLOOKUP($E146,KPI!$B:$T,MATCH(RESOURCES!P$3,KPI!$B$1:$T$1,0),FALSE),"-")</f>
        <v>-</v>
      </c>
      <c r="Q146" s="53">
        <f>IFERROR(VLOOKUP($E146,KPI!$B:$T,MATCH(RESOURCES!Q$3,KPI!$B$1:$T$1,0),FALSE),"-")</f>
        <v>0.2</v>
      </c>
      <c r="R146" s="53">
        <f>IFERROR(VLOOKUP($E146,KPI!$B:$T,MATCH(RESOURCES!R$3,KPI!$B$1:$T$1,0),FALSE),"-")</f>
        <v>0.15</v>
      </c>
      <c r="S146" s="53">
        <f>IFERROR(VLOOKUP($E146,KPI!$B:$T,MATCH(RESOURCES!S$3,KPI!$B$1:$T$1,0),FALSE),"-")</f>
        <v>0.1</v>
      </c>
      <c r="T146" s="53" t="str">
        <f>IFERROR(VLOOKUP($E146,KPI!$B:$T,MATCH(RESOURCES!T$3,KPI!$B$1:$T$1,0),FALSE),"-")</f>
        <v>-</v>
      </c>
      <c r="U146" s="53" t="str">
        <f>IFERROR(VLOOKUP($E146,KPI!$B:$T,MATCH(RESOURCES!U$3,KPI!$B$1:$T$1,0),FALSE),"-")</f>
        <v>-</v>
      </c>
      <c r="V146" s="53">
        <f>IFERROR(VLOOKUP($E146,KPI!$B:$T,MATCH(RESOURCES!V$3,KPI!$B$1:$T$1,0),FALSE),"-")</f>
        <v>0.05</v>
      </c>
      <c r="W146" s="50">
        <f>IFERROR(VLOOKUP($C146,'PRODUCTIVITY RAW'!$B:$Q,16,FALSE),"-")</f>
        <v>0.93650793650793651</v>
      </c>
      <c r="X146" s="50" t="str">
        <f>IFERROR(VLOOKUP($C146,'CHURN RAW'!$A:$H,8,FALSE),"-")</f>
        <v>-</v>
      </c>
      <c r="Y146" s="50">
        <f>IFERROR(IF(AVERAGEIFS('QA RAW'!$G:$G,'QA RAW'!$E:$E,RESOURCES!$C146)=0,"-",AVERAGEIFS('QA RAW'!$G:$G,'QA RAW'!$E:$E,RESOURCES!$C146)),"-")</f>
        <v>1</v>
      </c>
      <c r="Z146" s="50" t="str">
        <f>IFERROR(VLOOKUP($C146,'PR CALIBRATION RAW'!$K:$S,MATCH(RESOURCES!Z$3,'PR CALIBRATION RAW'!$K$1:$S$1,0),FALSE),"-")</f>
        <v>-</v>
      </c>
      <c r="AA146" s="50">
        <f>IFERROR(VLOOKUP($C146,'DISPUTES RAW (VQA)'!$N:$U,8,FALSE),"-")</f>
        <v>1</v>
      </c>
      <c r="AB146" s="50">
        <f>IFERROR(VLOOKUP($C146,'ATTENDANCE RAW'!$E:$R,13,FALSE),"-")</f>
        <v>1</v>
      </c>
      <c r="AC146" s="50">
        <f>IFERROR(IF($E146="Voice QA",IF(AVERAGEIFS('KC RAW'!$J:$J,'KC RAW'!$B:$B,RESOURCES!$C146)=0,"-",AVERAGEIFS('KC RAW'!$J:$J,'KC RAW'!$B:$B,RESOURCES!$C146)),IF(AVERAGEIFS('KC RAW'!$H:$H,'KC RAW'!$B:$B,RESOURCES!$C146)=0,"-",AVERAGEIFS('KC RAW'!$H:$H,'KC RAW'!$B:$B,RESOURCES!$C146))),"-")</f>
        <v>0.97499999999999998</v>
      </c>
      <c r="AD146" s="50" t="str">
        <f>IFERROR(AVERAGEIFS('CE RAW'!$G:$G,'CE RAW'!$E:$E,RESOURCES!$C146),"-")</f>
        <v>-</v>
      </c>
      <c r="AE146" s="50" t="str">
        <f>IFERROR(VLOOKUP($C146,'FCR RAW'!$A:$I,7,FALSE),"-")</f>
        <v>-</v>
      </c>
      <c r="AF146" s="50">
        <f>IFERROR(IF(VLOOKUP($C146,'BONUS RAW'!$D:$I,6,FALSE)=100%,100%,"-"),"-")</f>
        <v>1</v>
      </c>
      <c r="AG146" s="52">
        <f t="shared" si="21"/>
        <v>0.97527777777777791</v>
      </c>
      <c r="AH146" s="56">
        <f t="shared" si="18"/>
        <v>17</v>
      </c>
      <c r="AI146" s="57">
        <f t="shared" si="22"/>
        <v>0.97397660818713461</v>
      </c>
      <c r="AJ146" s="57">
        <f t="shared" si="23"/>
        <v>0.97527777777777791</v>
      </c>
      <c r="AK146" s="325" t="str">
        <f>IFERROR(VLOOKUP($C146,'ATTRITION RAW'!$E:$J,6,FALSE),"-")</f>
        <v>-</v>
      </c>
      <c r="AL146" s="176" t="str">
        <f t="shared" si="24"/>
        <v>-</v>
      </c>
      <c r="AM146" s="454" t="str">
        <f>IFERROR(VLOOKUP($C146,'CHURN RAW'!$A:$G,7,FALSE),"-")</f>
        <v>-</v>
      </c>
      <c r="AN146" s="456" t="str">
        <f t="shared" si="19"/>
        <v>QUALITY - VOICE QAs</v>
      </c>
    </row>
    <row r="147" spans="1:48">
      <c r="B147" s="637">
        <f t="shared" si="25"/>
        <v>144</v>
      </c>
      <c r="C147" s="93">
        <v>10072441</v>
      </c>
      <c r="D147" s="93" t="s">
        <v>250</v>
      </c>
      <c r="E147" s="88" t="s">
        <v>90</v>
      </c>
      <c r="F147" s="88" t="s">
        <v>241</v>
      </c>
      <c r="G147" s="88" t="s">
        <v>106</v>
      </c>
      <c r="H147" s="88"/>
      <c r="I147" s="88"/>
      <c r="J147" s="638"/>
      <c r="K147" s="638">
        <f t="shared" si="26"/>
        <v>43739</v>
      </c>
      <c r="L147" s="639" t="str">
        <f t="shared" si="20"/>
        <v>Expert</v>
      </c>
      <c r="M147" s="53">
        <f>IFERROR(VLOOKUP($E147,KPI!$B:$T,MATCH(RESOURCES!M$3,KPI!$B$1:$T$1,0),FALSE),"-")</f>
        <v>0.35</v>
      </c>
      <c r="N147" s="53" t="str">
        <f>IFERROR(VLOOKUP($E147,KPI!$B:$T,MATCH(RESOURCES!N$3,KPI!$B$1:$T$1,0),FALSE),"-")</f>
        <v>-</v>
      </c>
      <c r="O147" s="53">
        <f>IFERROR(VLOOKUP($E147,KPI!$B:$T,MATCH(RESOURCES!O$3,KPI!$B$1:$T$1,0),FALSE),"-")</f>
        <v>0.15</v>
      </c>
      <c r="P147" s="53" t="str">
        <f>IFERROR(VLOOKUP($E147,KPI!$B:$T,MATCH(RESOURCES!P$3,KPI!$B$1:$T$1,0),FALSE),"-")</f>
        <v>-</v>
      </c>
      <c r="Q147" s="53">
        <f>IFERROR(VLOOKUP($E147,KPI!$B:$T,MATCH(RESOURCES!Q$3,KPI!$B$1:$T$1,0),FALSE),"-")</f>
        <v>0.2</v>
      </c>
      <c r="R147" s="53">
        <f>IFERROR(VLOOKUP($E147,KPI!$B:$T,MATCH(RESOURCES!R$3,KPI!$B$1:$T$1,0),FALSE),"-")</f>
        <v>0.15</v>
      </c>
      <c r="S147" s="53">
        <f>IFERROR(VLOOKUP($E147,KPI!$B:$T,MATCH(RESOURCES!S$3,KPI!$B$1:$T$1,0),FALSE),"-")</f>
        <v>0.1</v>
      </c>
      <c r="T147" s="53" t="str">
        <f>IFERROR(VLOOKUP($E147,KPI!$B:$T,MATCH(RESOURCES!T$3,KPI!$B$1:$T$1,0),FALSE),"-")</f>
        <v>-</v>
      </c>
      <c r="U147" s="53" t="str">
        <f>IFERROR(VLOOKUP($E147,KPI!$B:$T,MATCH(RESOURCES!U$3,KPI!$B$1:$T$1,0),FALSE),"-")</f>
        <v>-</v>
      </c>
      <c r="V147" s="53">
        <f>IFERROR(VLOOKUP($E147,KPI!$B:$T,MATCH(RESOURCES!V$3,KPI!$B$1:$T$1,0),FALSE),"-")</f>
        <v>0.05</v>
      </c>
      <c r="W147" s="50">
        <f>IFERROR(VLOOKUP($C147,'PRODUCTIVITY RAW'!$B:$Q,16,FALSE),"-")</f>
        <v>0.62222222222222223</v>
      </c>
      <c r="X147" s="50" t="str">
        <f>IFERROR(VLOOKUP($C147,'CHURN RAW'!$A:$H,8,FALSE),"-")</f>
        <v>-</v>
      </c>
      <c r="Y147" s="50">
        <f>IFERROR(IF(AVERAGEIFS('QA RAW'!$G:$G,'QA RAW'!$E:$E,RESOURCES!$C147)=0,"-",AVERAGEIFS('QA RAW'!$G:$G,'QA RAW'!$E:$E,RESOURCES!$C147)),"-")</f>
        <v>0.98750000000000004</v>
      </c>
      <c r="Z147" s="50" t="str">
        <f>IFERROR(VLOOKUP($C147,'PR CALIBRATION RAW'!$K:$S,MATCH(RESOURCES!Z$3,'PR CALIBRATION RAW'!$K$1:$S$1,0),FALSE),"-")</f>
        <v>-</v>
      </c>
      <c r="AA147" s="50">
        <f>IFERROR(VLOOKUP($C147,'DISPUTES RAW (VQA)'!$N:$U,8,FALSE),"-")</f>
        <v>1</v>
      </c>
      <c r="AB147" s="50">
        <f>IFERROR(VLOOKUP($C147,'ATTENDANCE RAW'!$E:$R,13,FALSE),"-")</f>
        <v>0.90909090909090906</v>
      </c>
      <c r="AC147" s="50">
        <f>IFERROR(IF($E147="Voice QA",IF(AVERAGEIFS('KC RAW'!$J:$J,'KC RAW'!$B:$B,RESOURCES!$C147)=0,"-",AVERAGEIFS('KC RAW'!$J:$J,'KC RAW'!$B:$B,RESOURCES!$C147)),IF(AVERAGEIFS('KC RAW'!$H:$H,'KC RAW'!$B:$B,RESOURCES!$C147)=0,"-",AVERAGEIFS('KC RAW'!$H:$H,'KC RAW'!$B:$B,RESOURCES!$C147))),"-")</f>
        <v>0.95</v>
      </c>
      <c r="AD147" s="50" t="str">
        <f>IFERROR(AVERAGEIFS('CE RAW'!$G:$G,'CE RAW'!$E:$E,RESOURCES!$C147),"-")</f>
        <v>-</v>
      </c>
      <c r="AE147" s="50" t="str">
        <f>IFERROR(VLOOKUP($C147,'FCR RAW'!$A:$I,7,FALSE),"-")</f>
        <v>-</v>
      </c>
      <c r="AF147" s="50" t="str">
        <f>IFERROR(IF(VLOOKUP($C147,'BONUS RAW'!$D:$I,6,FALSE)=100%,100%,"-"),"-")</f>
        <v>-</v>
      </c>
      <c r="AG147" s="52">
        <f t="shared" si="21"/>
        <v>0.83922780435938338</v>
      </c>
      <c r="AH147" s="56">
        <f t="shared" si="18"/>
        <v>133</v>
      </c>
      <c r="AI147" s="57">
        <f t="shared" si="22"/>
        <v>0.83922780435938338</v>
      </c>
      <c r="AJ147" s="57">
        <f t="shared" si="23"/>
        <v>0.79726641414141419</v>
      </c>
      <c r="AK147" s="325" t="str">
        <f>IFERROR(VLOOKUP($C147,'ATTRITION RAW'!$E:$J,6,FALSE),"-")</f>
        <v>-</v>
      </c>
      <c r="AL147" s="176" t="str">
        <f t="shared" si="24"/>
        <v>-</v>
      </c>
      <c r="AM147" s="454" t="str">
        <f>IFERROR(VLOOKUP($C147,'CHURN RAW'!$A:$G,7,FALSE),"-")</f>
        <v>-</v>
      </c>
      <c r="AN147" s="456" t="str">
        <f t="shared" si="19"/>
        <v>QUALITY - VOICE QAs</v>
      </c>
    </row>
    <row r="148" spans="1:48">
      <c r="B148" s="637">
        <f t="shared" si="25"/>
        <v>145</v>
      </c>
      <c r="C148" s="93">
        <v>10072203</v>
      </c>
      <c r="D148" s="93" t="s">
        <v>251</v>
      </c>
      <c r="E148" s="88" t="s">
        <v>90</v>
      </c>
      <c r="F148" s="88" t="s">
        <v>241</v>
      </c>
      <c r="G148" s="88" t="s">
        <v>106</v>
      </c>
      <c r="H148" s="88"/>
      <c r="I148" s="88"/>
      <c r="J148" s="638"/>
      <c r="K148" s="638">
        <f t="shared" si="26"/>
        <v>43739</v>
      </c>
      <c r="L148" s="639" t="str">
        <f t="shared" si="20"/>
        <v>Expert</v>
      </c>
      <c r="M148" s="53">
        <f>IFERROR(VLOOKUP($E148,KPI!$B:$T,MATCH(RESOURCES!M$3,KPI!$B$1:$T$1,0),FALSE),"-")</f>
        <v>0.35</v>
      </c>
      <c r="N148" s="53" t="str">
        <f>IFERROR(VLOOKUP($E148,KPI!$B:$T,MATCH(RESOURCES!N$3,KPI!$B$1:$T$1,0),FALSE),"-")</f>
        <v>-</v>
      </c>
      <c r="O148" s="53">
        <f>IFERROR(VLOOKUP($E148,KPI!$B:$T,MATCH(RESOURCES!O$3,KPI!$B$1:$T$1,0),FALSE),"-")</f>
        <v>0.15</v>
      </c>
      <c r="P148" s="53" t="str">
        <f>IFERROR(VLOOKUP($E148,KPI!$B:$T,MATCH(RESOURCES!P$3,KPI!$B$1:$T$1,0),FALSE),"-")</f>
        <v>-</v>
      </c>
      <c r="Q148" s="53">
        <f>IFERROR(VLOOKUP($E148,KPI!$B:$T,MATCH(RESOURCES!Q$3,KPI!$B$1:$T$1,0),FALSE),"-")</f>
        <v>0.2</v>
      </c>
      <c r="R148" s="53">
        <f>IFERROR(VLOOKUP($E148,KPI!$B:$T,MATCH(RESOURCES!R$3,KPI!$B$1:$T$1,0),FALSE),"-")</f>
        <v>0.15</v>
      </c>
      <c r="S148" s="53">
        <f>IFERROR(VLOOKUP($E148,KPI!$B:$T,MATCH(RESOURCES!S$3,KPI!$B$1:$T$1,0),FALSE),"-")</f>
        <v>0.1</v>
      </c>
      <c r="T148" s="53" t="str">
        <f>IFERROR(VLOOKUP($E148,KPI!$B:$T,MATCH(RESOURCES!T$3,KPI!$B$1:$T$1,0),FALSE),"-")</f>
        <v>-</v>
      </c>
      <c r="U148" s="53" t="str">
        <f>IFERROR(VLOOKUP($E148,KPI!$B:$T,MATCH(RESOURCES!U$3,KPI!$B$1:$T$1,0),FALSE),"-")</f>
        <v>-</v>
      </c>
      <c r="V148" s="53">
        <f>IFERROR(VLOOKUP($E148,KPI!$B:$T,MATCH(RESOURCES!V$3,KPI!$B$1:$T$1,0),FALSE),"-")</f>
        <v>0.05</v>
      </c>
      <c r="W148" s="50">
        <f>IFERROR(VLOOKUP($C148,'PRODUCTIVITY RAW'!$B:$Q,16,FALSE),"-")</f>
        <v>0.80952380952380953</v>
      </c>
      <c r="X148" s="50" t="str">
        <f>IFERROR(VLOOKUP($C148,'CHURN RAW'!$A:$H,8,FALSE),"-")</f>
        <v>-</v>
      </c>
      <c r="Y148" s="50">
        <f>IFERROR(IF(AVERAGEIFS('QA RAW'!$G:$G,'QA RAW'!$E:$E,RESOURCES!$C148)=0,"-",AVERAGEIFS('QA RAW'!$G:$G,'QA RAW'!$E:$E,RESOURCES!$C148)),"-")</f>
        <v>1</v>
      </c>
      <c r="Z148" s="50" t="str">
        <f>IFERROR(VLOOKUP($C148,'PR CALIBRATION RAW'!$K:$S,MATCH(RESOURCES!Z$3,'PR CALIBRATION RAW'!$K$1:$S$1,0),FALSE),"-")</f>
        <v>-</v>
      </c>
      <c r="AA148" s="50">
        <f>IFERROR(VLOOKUP($C148,'DISPUTES RAW (VQA)'!$N:$U,8,FALSE),"-")</f>
        <v>1</v>
      </c>
      <c r="AB148" s="50">
        <f>IFERROR(VLOOKUP($C148,'ATTENDANCE RAW'!$E:$R,13,FALSE),"-")</f>
        <v>1</v>
      </c>
      <c r="AC148" s="50">
        <f>IFERROR(IF($E148="Voice QA",IF(AVERAGEIFS('KC RAW'!$J:$J,'KC RAW'!$B:$B,RESOURCES!$C148)=0,"-",AVERAGEIFS('KC RAW'!$J:$J,'KC RAW'!$B:$B,RESOURCES!$C148)),IF(AVERAGEIFS('KC RAW'!$H:$H,'KC RAW'!$B:$B,RESOURCES!$C148)=0,"-",AVERAGEIFS('KC RAW'!$H:$H,'KC RAW'!$B:$B,RESOURCES!$C148))),"-")</f>
        <v>0.95</v>
      </c>
      <c r="AD148" s="50" t="str">
        <f>IFERROR(AVERAGEIFS('CE RAW'!$G:$G,'CE RAW'!$E:$E,RESOURCES!$C148),"-")</f>
        <v>-</v>
      </c>
      <c r="AE148" s="50" t="str">
        <f>IFERROR(VLOOKUP($C148,'FCR RAW'!$A:$I,7,FALSE),"-")</f>
        <v>-</v>
      </c>
      <c r="AF148" s="50" t="str">
        <f>IFERROR(IF(VLOOKUP($C148,'BONUS RAW'!$D:$I,6,FALSE)=100%,100%,"-"),"-")</f>
        <v>-</v>
      </c>
      <c r="AG148" s="52">
        <f t="shared" si="21"/>
        <v>0.92456140350877192</v>
      </c>
      <c r="AH148" s="56">
        <f t="shared" si="18"/>
        <v>56</v>
      </c>
      <c r="AI148" s="57">
        <f t="shared" si="22"/>
        <v>0.92456140350877192</v>
      </c>
      <c r="AJ148" s="57">
        <f t="shared" si="23"/>
        <v>0.8783333333333333</v>
      </c>
      <c r="AK148" s="325" t="str">
        <f>IFERROR(VLOOKUP($C148,'ATTRITION RAW'!$E:$J,6,FALSE),"-")</f>
        <v>-</v>
      </c>
      <c r="AL148" s="176" t="str">
        <f t="shared" si="24"/>
        <v>-</v>
      </c>
      <c r="AM148" s="454" t="str">
        <f>IFERROR(VLOOKUP($C148,'CHURN RAW'!$A:$G,7,FALSE),"-")</f>
        <v>-</v>
      </c>
      <c r="AN148" s="456" t="str">
        <f t="shared" si="19"/>
        <v>QUALITY - VOICE QAs</v>
      </c>
    </row>
    <row r="149" spans="1:48">
      <c r="B149" s="637">
        <f t="shared" si="25"/>
        <v>146</v>
      </c>
      <c r="C149" s="93">
        <v>10071428</v>
      </c>
      <c r="D149" s="93" t="s">
        <v>252</v>
      </c>
      <c r="E149" s="88" t="s">
        <v>90</v>
      </c>
      <c r="F149" s="88" t="s">
        <v>241</v>
      </c>
      <c r="G149" s="88" t="s">
        <v>106</v>
      </c>
      <c r="H149" s="88"/>
      <c r="I149" s="88"/>
      <c r="J149" s="638"/>
      <c r="K149" s="638">
        <f t="shared" si="26"/>
        <v>43739</v>
      </c>
      <c r="L149" s="639" t="str">
        <f t="shared" si="20"/>
        <v>Expert</v>
      </c>
      <c r="M149" s="53">
        <f>IFERROR(VLOOKUP($E149,KPI!$B:$T,MATCH(RESOURCES!M$3,KPI!$B$1:$T$1,0),FALSE),"-")</f>
        <v>0.35</v>
      </c>
      <c r="N149" s="53" t="str">
        <f>IFERROR(VLOOKUP($E149,KPI!$B:$T,MATCH(RESOURCES!N$3,KPI!$B$1:$T$1,0),FALSE),"-")</f>
        <v>-</v>
      </c>
      <c r="O149" s="53">
        <f>IFERROR(VLOOKUP($E149,KPI!$B:$T,MATCH(RESOURCES!O$3,KPI!$B$1:$T$1,0),FALSE),"-")</f>
        <v>0.15</v>
      </c>
      <c r="P149" s="53" t="str">
        <f>IFERROR(VLOOKUP($E149,KPI!$B:$T,MATCH(RESOURCES!P$3,KPI!$B$1:$T$1,0),FALSE),"-")</f>
        <v>-</v>
      </c>
      <c r="Q149" s="53">
        <f>IFERROR(VLOOKUP($E149,KPI!$B:$T,MATCH(RESOURCES!Q$3,KPI!$B$1:$T$1,0),FALSE),"-")</f>
        <v>0.2</v>
      </c>
      <c r="R149" s="53">
        <f>IFERROR(VLOOKUP($E149,KPI!$B:$T,MATCH(RESOURCES!R$3,KPI!$B$1:$T$1,0),FALSE),"-")</f>
        <v>0.15</v>
      </c>
      <c r="S149" s="53">
        <f>IFERROR(VLOOKUP($E149,KPI!$B:$T,MATCH(RESOURCES!S$3,KPI!$B$1:$T$1,0),FALSE),"-")</f>
        <v>0.1</v>
      </c>
      <c r="T149" s="53" t="str">
        <f>IFERROR(VLOOKUP($E149,KPI!$B:$T,MATCH(RESOURCES!T$3,KPI!$B$1:$T$1,0),FALSE),"-")</f>
        <v>-</v>
      </c>
      <c r="U149" s="53" t="str">
        <f>IFERROR(VLOOKUP($E149,KPI!$B:$T,MATCH(RESOURCES!U$3,KPI!$B$1:$T$1,0),FALSE),"-")</f>
        <v>-</v>
      </c>
      <c r="V149" s="53">
        <f>IFERROR(VLOOKUP($E149,KPI!$B:$T,MATCH(RESOURCES!V$3,KPI!$B$1:$T$1,0),FALSE),"-")</f>
        <v>0.05</v>
      </c>
      <c r="W149" s="50">
        <f>IFERROR(VLOOKUP($C149,'PRODUCTIVITY RAW'!$B:$Q,16,FALSE),"-")</f>
        <v>0.60317460317460314</v>
      </c>
      <c r="X149" s="50" t="str">
        <f>IFERROR(VLOOKUP($C149,'CHURN RAW'!$A:$H,8,FALSE),"-")</f>
        <v>-</v>
      </c>
      <c r="Y149" s="50">
        <f>IFERROR(IF(AVERAGEIFS('QA RAW'!$G:$G,'QA RAW'!$E:$E,RESOURCES!$C149)=0,"-",AVERAGEIFS('QA RAW'!$G:$G,'QA RAW'!$E:$E,RESOURCES!$C149)),"-")</f>
        <v>0.98750000000000004</v>
      </c>
      <c r="Z149" s="50" t="str">
        <f>IFERROR(VLOOKUP($C149,'PR CALIBRATION RAW'!$K:$S,MATCH(RESOURCES!Z$3,'PR CALIBRATION RAW'!$K$1:$S$1,0),FALSE),"-")</f>
        <v>-</v>
      </c>
      <c r="AA149" s="50">
        <f>IFERROR(VLOOKUP($C149,'DISPUTES RAW (VQA)'!$N:$U,8,FALSE),"-")</f>
        <v>1</v>
      </c>
      <c r="AB149" s="50">
        <f>IFERROR(VLOOKUP($C149,'ATTENDANCE RAW'!$E:$R,13,FALSE),"-")</f>
        <v>0.90909090909090906</v>
      </c>
      <c r="AC149" s="50">
        <f>IFERROR(IF($E149="Voice QA",IF(AVERAGEIFS('KC RAW'!$J:$J,'KC RAW'!$B:$B,RESOURCES!$C149)=0,"-",AVERAGEIFS('KC RAW'!$J:$J,'KC RAW'!$B:$B,RESOURCES!$C149)),IF(AVERAGEIFS('KC RAW'!$H:$H,'KC RAW'!$B:$B,RESOURCES!$C149)=0,"-",AVERAGEIFS('KC RAW'!$H:$H,'KC RAW'!$B:$B,RESOURCES!$C149))),"-")</f>
        <v>1</v>
      </c>
      <c r="AD149" s="50" t="str">
        <f>IFERROR(AVERAGEIFS('CE RAW'!$G:$G,'CE RAW'!$E:$E,RESOURCES!$C149),"-")</f>
        <v>-</v>
      </c>
      <c r="AE149" s="50">
        <f>IFERROR(VLOOKUP($C149,'FCR RAW'!$A:$I,7,FALSE),"-")</f>
        <v>1</v>
      </c>
      <c r="AF149" s="50" t="str">
        <f>IFERROR(IF(VLOOKUP($C149,'BONUS RAW'!$D:$I,6,FALSE)=100%,100%,"-"),"-")</f>
        <v>-</v>
      </c>
      <c r="AG149" s="52">
        <f t="shared" si="21"/>
        <v>0.83747341839447098</v>
      </c>
      <c r="AH149" s="56">
        <f t="shared" si="18"/>
        <v>134</v>
      </c>
      <c r="AI149" s="57">
        <f t="shared" si="22"/>
        <v>0.83747341839447098</v>
      </c>
      <c r="AJ149" s="57">
        <f t="shared" si="23"/>
        <v>0.79559974747474738</v>
      </c>
      <c r="AK149" s="325" t="str">
        <f>IFERROR(VLOOKUP($C149,'ATTRITION RAW'!$E:$J,6,FALSE),"-")</f>
        <v>-</v>
      </c>
      <c r="AL149" s="176" t="str">
        <f t="shared" si="24"/>
        <v>-</v>
      </c>
      <c r="AM149" s="454" t="str">
        <f>IFERROR(VLOOKUP($C149,'CHURN RAW'!$A:$G,7,FALSE),"-")</f>
        <v>-</v>
      </c>
      <c r="AN149" s="456" t="str">
        <f t="shared" si="19"/>
        <v>QUALITY - VOICE QAs</v>
      </c>
    </row>
    <row r="150" spans="1:48">
      <c r="B150" s="637">
        <f t="shared" si="25"/>
        <v>147</v>
      </c>
      <c r="C150" s="93"/>
      <c r="D150" s="93"/>
      <c r="E150" s="88"/>
      <c r="F150" s="88"/>
      <c r="G150" s="88"/>
      <c r="H150" s="88"/>
      <c r="I150" s="88"/>
      <c r="J150" s="638"/>
      <c r="K150" s="638">
        <f t="shared" si="26"/>
        <v>43739</v>
      </c>
      <c r="L150" s="639" t="str">
        <f t="shared" si="20"/>
        <v>Expert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0" t="str">
        <f>IFERROR(VLOOKUP($C150,'PRODUCTIVITY RAW'!$B:$Q,16,FALSE),"-")</f>
        <v>-</v>
      </c>
      <c r="X150" s="50" t="str">
        <f>IFERROR(VLOOKUP($C150,'CHURN RAW'!$A:$H,8,FALSE),"-")</f>
        <v>-</v>
      </c>
      <c r="Y150" s="50" t="str">
        <f>IFERROR(IF(AVERAGEIFS('QA RAW'!$G:$G,'QA RAW'!$E:$E,RESOURCES!$C150)=0,"-",AVERAGEIFS('QA RAW'!$G:$G,'QA RAW'!$E:$E,RESOURCES!$C150)),"-")</f>
        <v>-</v>
      </c>
      <c r="Z150" s="50" t="str">
        <f>IFERROR(VLOOKUP($C150,'PR CALIBRATION RAW'!$K:$S,MATCH(RESOURCES!Z$3,'PR CALIBRATION RAW'!$K$1:$S$1,0),FALSE),"-")</f>
        <v>-</v>
      </c>
      <c r="AA150" s="50" t="str">
        <f>IFERROR(VLOOKUP($C150,'DISPUTES RAW (VQA)'!$N:$U,8,FALSE),"-")</f>
        <v>-</v>
      </c>
      <c r="AB150" s="50" t="str">
        <f>IFERROR(VLOOKUP($C150,'ATTENDANCE RAW'!$E:$R,13,FALSE),"-")</f>
        <v>-</v>
      </c>
      <c r="AC150" s="50" t="str">
        <f>IFERROR(IF($E150="Voice QA",IF(AVERAGEIFS('KC RAW'!$J:$J,'KC RAW'!$B:$B,RESOURCES!$C150)=0,"-",AVERAGEIFS('KC RAW'!$J:$J,'KC RAW'!$B:$B,RESOURCES!$C150)),IF(AVERAGEIFS('KC RAW'!$H:$H,'KC RAW'!$B:$B,RESOURCES!$C150)=0,"-",AVERAGEIFS('KC RAW'!$H:$H,'KC RAW'!$B:$B,RESOURCES!$C150))),"-")</f>
        <v>-</v>
      </c>
      <c r="AD150" s="50" t="str">
        <f>IFERROR(AVERAGEIFS('CE RAW'!$G:$G,'CE RAW'!$E:$E,RESOURCES!$C150),"-")</f>
        <v>-</v>
      </c>
      <c r="AE150" s="50" t="str">
        <f>IFERROR(VLOOKUP($C150,'FCR RAW'!$A:$I,7,FALSE),"-")</f>
        <v>-</v>
      </c>
      <c r="AF150" s="50" t="str">
        <f>IFERROR(IF(VLOOKUP($C150,'BONUS RAW'!$D:$I,6,FALSE)=100%,100%,"-"),"-")</f>
        <v>-</v>
      </c>
      <c r="AG150" s="52" t="str">
        <f t="shared" si="21"/>
        <v>-</v>
      </c>
      <c r="AH150" s="56" t="str">
        <f t="shared" si="18"/>
        <v>-</v>
      </c>
      <c r="AI150" s="57" t="str">
        <f t="shared" si="22"/>
        <v>-</v>
      </c>
      <c r="AJ150" s="57" t="str">
        <f t="shared" si="23"/>
        <v>-</v>
      </c>
      <c r="AK150" s="325" t="str">
        <f>IFERROR(VLOOKUP($C150,'ATTRITION RAW'!$E:$J,6,FALSE),"-")</f>
        <v>-</v>
      </c>
      <c r="AL150" s="176" t="str">
        <f t="shared" si="24"/>
        <v>-</v>
      </c>
      <c r="AM150" s="454" t="str">
        <f>IFERROR(VLOOKUP($C150,'CHURN RAW'!$A:$G,7,FALSE),"-")</f>
        <v>-</v>
      </c>
      <c r="AN150" s="456" t="str">
        <f t="shared" si="19"/>
        <v>QUALITY - DESIGNERS</v>
      </c>
    </row>
    <row r="151" spans="1:48">
      <c r="B151" s="637">
        <f t="shared" si="25"/>
        <v>148</v>
      </c>
      <c r="C151" s="93"/>
      <c r="D151" s="93"/>
      <c r="E151" s="88"/>
      <c r="F151" s="88"/>
      <c r="G151" s="88"/>
      <c r="H151" s="88"/>
      <c r="I151" s="88"/>
      <c r="J151" s="638"/>
      <c r="K151" s="638">
        <f t="shared" si="26"/>
        <v>43739</v>
      </c>
      <c r="L151" s="639" t="str">
        <f t="shared" si="20"/>
        <v>Expert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0" t="str">
        <f>IFERROR(VLOOKUP($C151,'PRODUCTIVITY RAW'!$B:$Q,16,FALSE),"-")</f>
        <v>-</v>
      </c>
      <c r="X151" s="50" t="str">
        <f>IFERROR(VLOOKUP($C151,'CHURN RAW'!$A:$H,8,FALSE),"-")</f>
        <v>-</v>
      </c>
      <c r="Y151" s="50" t="str">
        <f>IFERROR(IF(AVERAGEIFS('QA RAW'!$G:$G,'QA RAW'!$E:$E,RESOURCES!$C151)=0,"-",AVERAGEIFS('QA RAW'!$G:$G,'QA RAW'!$E:$E,RESOURCES!$C151)),"-")</f>
        <v>-</v>
      </c>
      <c r="Z151" s="50" t="str">
        <f>IFERROR(VLOOKUP($C151,'PR CALIBRATION RAW'!$K:$S,MATCH(RESOURCES!Z$3,'PR CALIBRATION RAW'!$K$1:$S$1,0),FALSE),"-")</f>
        <v>-</v>
      </c>
      <c r="AA151" s="50" t="str">
        <f>IFERROR(VLOOKUP($C151,'DISPUTES RAW (VQA)'!$N:$U,8,FALSE),"-")</f>
        <v>-</v>
      </c>
      <c r="AB151" s="50" t="str">
        <f>IFERROR(VLOOKUP($C151,'ATTENDANCE RAW'!$E:$R,13,FALSE),"-")</f>
        <v>-</v>
      </c>
      <c r="AC151" s="50" t="str">
        <f>IFERROR(IF($E151="Voice QA",IF(AVERAGEIFS('KC RAW'!$J:$J,'KC RAW'!$B:$B,RESOURCES!$C151)=0,"-",AVERAGEIFS('KC RAW'!$J:$J,'KC RAW'!$B:$B,RESOURCES!$C151)),IF(AVERAGEIFS('KC RAW'!$H:$H,'KC RAW'!$B:$B,RESOURCES!$C151)=0,"-",AVERAGEIFS('KC RAW'!$H:$H,'KC RAW'!$B:$B,RESOURCES!$C151))),"-")</f>
        <v>-</v>
      </c>
      <c r="AD151" s="50" t="str">
        <f>IFERROR(AVERAGEIFS('CE RAW'!$G:$G,'CE RAW'!$E:$E,RESOURCES!$C151),"-")</f>
        <v>-</v>
      </c>
      <c r="AE151" s="50" t="str">
        <f>IFERROR(VLOOKUP($C151,'FCR RAW'!$A:$I,7,FALSE),"-")</f>
        <v>-</v>
      </c>
      <c r="AF151" s="50" t="str">
        <f>IFERROR(IF(VLOOKUP($C151,'BONUS RAW'!$D:$I,6,FALSE)=100%,100%,"-"),"-")</f>
        <v>-</v>
      </c>
      <c r="AG151" s="52" t="str">
        <f t="shared" si="21"/>
        <v>-</v>
      </c>
      <c r="AH151" s="56" t="str">
        <f t="shared" si="18"/>
        <v>-</v>
      </c>
      <c r="AI151" s="57" t="str">
        <f t="shared" si="22"/>
        <v>-</v>
      </c>
      <c r="AJ151" s="57" t="str">
        <f t="shared" si="23"/>
        <v>-</v>
      </c>
      <c r="AK151" s="325" t="str">
        <f>IFERROR(VLOOKUP($C151,'ATTRITION RAW'!$E:$J,6,FALSE),"-")</f>
        <v>-</v>
      </c>
      <c r="AL151" s="176" t="str">
        <f t="shared" si="24"/>
        <v>-</v>
      </c>
      <c r="AM151" s="454" t="str">
        <f>IFERROR(VLOOKUP($C151,'CHURN RAW'!$A:$G,7,FALSE),"-")</f>
        <v>-</v>
      </c>
      <c r="AN151" s="456" t="str">
        <f t="shared" si="19"/>
        <v>QUALITY - DESIGNERS</v>
      </c>
    </row>
    <row r="152" spans="1:48">
      <c r="A152" s="600"/>
      <c r="B152" s="600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  <c r="AA152" s="600"/>
      <c r="AB152" s="600"/>
      <c r="AC152" s="600"/>
      <c r="AD152" s="600"/>
      <c r="AE152" s="600"/>
      <c r="AF152" s="600"/>
      <c r="AG152" s="600"/>
      <c r="AH152" s="600"/>
      <c r="AI152" s="600"/>
      <c r="AJ152" s="600"/>
      <c r="AK152" s="600"/>
      <c r="AL152" s="600"/>
      <c r="AM152" s="600"/>
      <c r="AN152" s="600"/>
      <c r="AV152" s="600"/>
    </row>
    <row r="153" spans="1:48">
      <c r="A153" s="600"/>
      <c r="B153" s="600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  <c r="AA153" s="600"/>
      <c r="AB153" s="600"/>
      <c r="AC153" s="600"/>
      <c r="AD153" s="600"/>
      <c r="AE153" s="600"/>
      <c r="AF153" s="600"/>
      <c r="AG153" s="600"/>
      <c r="AH153" s="600"/>
      <c r="AI153" s="600"/>
      <c r="AJ153" s="600"/>
      <c r="AK153" s="600"/>
      <c r="AL153" s="600"/>
      <c r="AM153" s="600"/>
      <c r="AN153" s="600"/>
      <c r="AV153" s="600"/>
    </row>
    <row r="154" spans="1:48">
      <c r="A154" s="600"/>
      <c r="B154" s="600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  <c r="AA154" s="600"/>
      <c r="AB154" s="600"/>
      <c r="AC154" s="600"/>
      <c r="AD154" s="600"/>
      <c r="AE154" s="600"/>
      <c r="AF154" s="600"/>
      <c r="AG154" s="600"/>
      <c r="AH154" s="600"/>
      <c r="AI154" s="600"/>
      <c r="AJ154" s="600"/>
      <c r="AK154" s="600"/>
      <c r="AL154" s="600"/>
      <c r="AM154" s="600"/>
      <c r="AN154" s="600"/>
      <c r="AV154" s="600"/>
    </row>
    <row r="155" spans="1:48">
      <c r="A155" s="600"/>
      <c r="B155" s="600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  <c r="AA155" s="600"/>
      <c r="AB155" s="600"/>
      <c r="AC155" s="600"/>
      <c r="AD155" s="600"/>
      <c r="AE155" s="600"/>
      <c r="AF155" s="600"/>
      <c r="AG155" s="600"/>
      <c r="AH155" s="600"/>
      <c r="AI155" s="600"/>
      <c r="AJ155" s="600"/>
      <c r="AK155" s="600"/>
      <c r="AL155" s="600"/>
      <c r="AM155" s="600"/>
      <c r="AN155" s="600"/>
      <c r="AV155" s="600"/>
    </row>
    <row r="156" spans="1:48">
      <c r="A156" s="600"/>
      <c r="B156" s="600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  <c r="AA156" s="600"/>
      <c r="AB156" s="600"/>
      <c r="AC156" s="600"/>
      <c r="AD156" s="600"/>
      <c r="AE156" s="600"/>
      <c r="AF156" s="600"/>
      <c r="AG156" s="600"/>
      <c r="AH156" s="600"/>
      <c r="AI156" s="600"/>
      <c r="AJ156" s="600"/>
      <c r="AK156" s="600"/>
      <c r="AL156" s="600"/>
      <c r="AM156" s="600"/>
      <c r="AN156" s="600"/>
      <c r="AV156" s="600"/>
    </row>
    <row r="157" spans="1:48">
      <c r="A157" s="600"/>
      <c r="B157" s="600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  <c r="AA157" s="600"/>
      <c r="AB157" s="600"/>
      <c r="AC157" s="600"/>
      <c r="AD157" s="600"/>
      <c r="AE157" s="600"/>
      <c r="AF157" s="600"/>
      <c r="AG157" s="600"/>
      <c r="AH157" s="600"/>
      <c r="AI157" s="600"/>
      <c r="AJ157" s="600"/>
      <c r="AK157" s="600"/>
      <c r="AL157" s="600"/>
      <c r="AM157" s="600"/>
      <c r="AN157" s="600"/>
      <c r="AV157" s="600"/>
    </row>
    <row r="158" spans="1:48">
      <c r="A158" s="600"/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00"/>
      <c r="AB158" s="600"/>
      <c r="AC158" s="600"/>
      <c r="AD158" s="600"/>
      <c r="AE158" s="600"/>
      <c r="AF158" s="600"/>
      <c r="AG158" s="600"/>
      <c r="AH158" s="600"/>
      <c r="AI158" s="600"/>
      <c r="AJ158" s="600"/>
      <c r="AK158" s="600"/>
      <c r="AL158" s="600"/>
      <c r="AM158" s="600"/>
      <c r="AN158" s="600"/>
    </row>
    <row r="159" spans="1:48">
      <c r="A159" s="600"/>
      <c r="B159" s="600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  <c r="AA159" s="600"/>
      <c r="AB159" s="600"/>
      <c r="AC159" s="600"/>
      <c r="AD159" s="600"/>
      <c r="AE159" s="600"/>
      <c r="AF159" s="600"/>
      <c r="AG159" s="600"/>
      <c r="AH159" s="600"/>
      <c r="AI159" s="600"/>
      <c r="AJ159" s="600"/>
      <c r="AK159" s="600"/>
      <c r="AL159" s="600"/>
      <c r="AM159" s="636"/>
    </row>
    <row r="160" spans="1:48">
      <c r="A160" s="600"/>
      <c r="B160" s="600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  <c r="AA160" s="600"/>
      <c r="AB160" s="600"/>
      <c r="AC160" s="600"/>
      <c r="AD160" s="600"/>
      <c r="AE160" s="600"/>
      <c r="AF160" s="600"/>
      <c r="AG160" s="600"/>
      <c r="AH160" s="600"/>
      <c r="AI160" s="600"/>
      <c r="AJ160" s="600"/>
      <c r="AK160" s="600"/>
      <c r="AL160" s="600"/>
      <c r="AM160" s="636"/>
    </row>
    <row r="161" spans="1:39">
      <c r="A161" s="600"/>
      <c r="B161" s="600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  <c r="AA161" s="600"/>
      <c r="AB161" s="600"/>
      <c r="AC161" s="600"/>
      <c r="AD161" s="600"/>
      <c r="AE161" s="600"/>
      <c r="AF161" s="600"/>
      <c r="AG161" s="600"/>
      <c r="AH161" s="600"/>
      <c r="AI161" s="600"/>
      <c r="AJ161" s="600"/>
      <c r="AK161" s="600"/>
      <c r="AL161" s="600"/>
      <c r="AM161" s="636"/>
    </row>
    <row r="162" spans="1:39">
      <c r="A162" s="600"/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00"/>
      <c r="AB162" s="600"/>
      <c r="AC162" s="600"/>
      <c r="AD162" s="600"/>
      <c r="AE162" s="600"/>
      <c r="AF162" s="600"/>
      <c r="AG162" s="600"/>
      <c r="AH162" s="600"/>
      <c r="AI162" s="600"/>
      <c r="AJ162" s="600"/>
      <c r="AK162" s="600"/>
      <c r="AL162" s="600"/>
      <c r="AM162" s="636"/>
    </row>
    <row r="163" spans="1:39">
      <c r="A163" s="600"/>
      <c r="B163" s="600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  <c r="AA163" s="600"/>
      <c r="AB163" s="600"/>
      <c r="AC163" s="600"/>
      <c r="AD163" s="600"/>
      <c r="AE163" s="600"/>
      <c r="AF163" s="600"/>
      <c r="AG163" s="600"/>
      <c r="AH163" s="600"/>
      <c r="AI163" s="600"/>
      <c r="AJ163" s="600"/>
      <c r="AK163" s="600"/>
      <c r="AL163" s="600"/>
      <c r="AM163" s="636"/>
    </row>
    <row r="164" spans="1:39">
      <c r="A164" s="600"/>
      <c r="B164" s="600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  <c r="AA164" s="600"/>
      <c r="AB164" s="600"/>
      <c r="AC164" s="600"/>
      <c r="AD164" s="600"/>
      <c r="AE164" s="600"/>
      <c r="AF164" s="600"/>
      <c r="AG164" s="600"/>
      <c r="AH164" s="600"/>
      <c r="AI164" s="600"/>
      <c r="AJ164" s="600"/>
      <c r="AK164" s="600"/>
      <c r="AL164" s="600"/>
      <c r="AM164" s="636"/>
    </row>
    <row r="165" spans="1:39">
      <c r="A165" s="600"/>
      <c r="B165" s="600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  <c r="AA165" s="600"/>
      <c r="AB165" s="600"/>
      <c r="AC165" s="600"/>
      <c r="AD165" s="600"/>
      <c r="AE165" s="600"/>
      <c r="AF165" s="600"/>
      <c r="AG165" s="600"/>
      <c r="AH165" s="600"/>
      <c r="AI165" s="600"/>
      <c r="AJ165" s="600"/>
      <c r="AK165" s="600"/>
      <c r="AL165" s="600"/>
      <c r="AM165" s="636"/>
    </row>
    <row r="166" spans="1:39">
      <c r="A166" s="600"/>
      <c r="B166" s="600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  <c r="AA166" s="600"/>
      <c r="AB166" s="600"/>
      <c r="AC166" s="600"/>
      <c r="AD166" s="600"/>
      <c r="AE166" s="600"/>
      <c r="AF166" s="600"/>
      <c r="AG166" s="600"/>
      <c r="AH166" s="600"/>
      <c r="AI166" s="600"/>
      <c r="AJ166" s="600"/>
      <c r="AK166" s="600"/>
      <c r="AL166" s="600"/>
      <c r="AM166" s="636"/>
    </row>
    <row r="167" spans="1:39">
      <c r="A167" s="600"/>
      <c r="B167" s="600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  <c r="AA167" s="600"/>
      <c r="AB167" s="600"/>
      <c r="AC167" s="600"/>
      <c r="AD167" s="600"/>
      <c r="AE167" s="600"/>
      <c r="AF167" s="600"/>
      <c r="AG167" s="600"/>
      <c r="AH167" s="600"/>
      <c r="AI167" s="600"/>
      <c r="AJ167" s="600"/>
      <c r="AK167" s="600"/>
      <c r="AL167" s="600"/>
      <c r="AM167" s="636"/>
    </row>
    <row r="168" spans="1:39">
      <c r="A168" s="600"/>
      <c r="B168" s="600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  <c r="AA168" s="600"/>
      <c r="AB168" s="600"/>
      <c r="AC168" s="600"/>
      <c r="AD168" s="600"/>
      <c r="AE168" s="600"/>
      <c r="AF168" s="600"/>
      <c r="AG168" s="600"/>
      <c r="AH168" s="600"/>
      <c r="AI168" s="600"/>
      <c r="AJ168" s="600"/>
      <c r="AK168" s="600"/>
      <c r="AL168" s="600"/>
      <c r="AM168" s="636"/>
    </row>
    <row r="169" spans="1:39">
      <c r="A169" s="600"/>
      <c r="B169" s="600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  <c r="AA169" s="600"/>
      <c r="AB169" s="600"/>
      <c r="AC169" s="600"/>
      <c r="AD169" s="600"/>
      <c r="AE169" s="600"/>
      <c r="AF169" s="600"/>
      <c r="AG169" s="600"/>
      <c r="AH169" s="600"/>
      <c r="AI169" s="600"/>
      <c r="AJ169" s="600"/>
      <c r="AK169" s="600"/>
      <c r="AL169" s="600"/>
      <c r="AM169" s="636"/>
    </row>
    <row r="170" spans="1:39">
      <c r="A170" s="600"/>
      <c r="B170" s="600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  <c r="AA170" s="600"/>
      <c r="AB170" s="600"/>
      <c r="AC170" s="600"/>
      <c r="AD170" s="600"/>
      <c r="AE170" s="600"/>
      <c r="AF170" s="600"/>
      <c r="AG170" s="600"/>
      <c r="AH170" s="600"/>
      <c r="AI170" s="600"/>
      <c r="AJ170" s="600"/>
      <c r="AK170" s="600"/>
      <c r="AL170" s="600"/>
      <c r="AM170" s="636"/>
    </row>
    <row r="171" spans="1:39">
      <c r="A171" s="600"/>
      <c r="B171" s="600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  <c r="AA171" s="600"/>
      <c r="AB171" s="600"/>
      <c r="AC171" s="600"/>
      <c r="AD171" s="600"/>
      <c r="AE171" s="600"/>
      <c r="AF171" s="600"/>
      <c r="AG171" s="600"/>
      <c r="AH171" s="600"/>
      <c r="AI171" s="600"/>
      <c r="AJ171" s="600"/>
      <c r="AK171" s="600"/>
      <c r="AL171" s="600"/>
      <c r="AM171" s="636"/>
    </row>
    <row r="172" spans="1:39">
      <c r="A172" s="600"/>
      <c r="B172" s="600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  <c r="AA172" s="600"/>
      <c r="AB172" s="600"/>
      <c r="AC172" s="600"/>
      <c r="AD172" s="600"/>
      <c r="AE172" s="600"/>
      <c r="AF172" s="600"/>
      <c r="AG172" s="600"/>
      <c r="AH172" s="600"/>
      <c r="AI172" s="600"/>
      <c r="AJ172" s="600"/>
      <c r="AK172" s="600"/>
      <c r="AL172" s="600"/>
      <c r="AM172" s="636"/>
    </row>
    <row r="173" spans="1:39">
      <c r="A173" s="600"/>
      <c r="B173" s="600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  <c r="AB173" s="600"/>
      <c r="AC173" s="600"/>
      <c r="AD173" s="600"/>
      <c r="AE173" s="600"/>
      <c r="AF173" s="600"/>
      <c r="AG173" s="600"/>
      <c r="AH173" s="600"/>
      <c r="AI173" s="600"/>
      <c r="AJ173" s="600"/>
      <c r="AK173" s="600"/>
      <c r="AL173" s="600"/>
      <c r="AM173" s="636"/>
    </row>
    <row r="174" spans="1:39">
      <c r="A174" s="600"/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00"/>
      <c r="AB174" s="600"/>
      <c r="AC174" s="600"/>
      <c r="AD174" s="600"/>
      <c r="AE174" s="600"/>
      <c r="AF174" s="600"/>
      <c r="AG174" s="600"/>
      <c r="AH174" s="600"/>
      <c r="AI174" s="600"/>
      <c r="AJ174" s="600"/>
      <c r="AK174" s="600"/>
      <c r="AL174" s="600"/>
      <c r="AM174" s="636"/>
    </row>
    <row r="175" spans="1:39">
      <c r="A175" s="600"/>
      <c r="B175" s="600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  <c r="AA175" s="600"/>
      <c r="AB175" s="600"/>
      <c r="AC175" s="600"/>
      <c r="AD175" s="600"/>
      <c r="AE175" s="600"/>
      <c r="AF175" s="600"/>
      <c r="AG175" s="600"/>
      <c r="AH175" s="600"/>
      <c r="AI175" s="600"/>
      <c r="AJ175" s="600"/>
      <c r="AK175" s="600"/>
      <c r="AL175" s="600"/>
      <c r="AM175" s="636"/>
    </row>
    <row r="176" spans="1:39">
      <c r="A176" s="600"/>
      <c r="B176" s="600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  <c r="AA176" s="600"/>
      <c r="AB176" s="600"/>
      <c r="AC176" s="600"/>
      <c r="AD176" s="600"/>
      <c r="AE176" s="600"/>
      <c r="AF176" s="600"/>
      <c r="AG176" s="600"/>
      <c r="AH176" s="600"/>
      <c r="AI176" s="600"/>
      <c r="AJ176" s="600"/>
      <c r="AK176" s="600"/>
      <c r="AL176" s="600"/>
      <c r="AM176" s="636"/>
    </row>
    <row r="177" spans="1:39">
      <c r="A177" s="600"/>
      <c r="B177" s="600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  <c r="AA177" s="600"/>
      <c r="AB177" s="600"/>
      <c r="AC177" s="600"/>
      <c r="AD177" s="600"/>
      <c r="AE177" s="600"/>
      <c r="AF177" s="600"/>
      <c r="AG177" s="600"/>
      <c r="AH177" s="600"/>
      <c r="AI177" s="600"/>
      <c r="AJ177" s="600"/>
      <c r="AK177" s="600"/>
      <c r="AL177" s="600"/>
      <c r="AM177" s="636"/>
    </row>
    <row r="178" spans="1:39">
      <c r="A178" s="600"/>
      <c r="B178" s="600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  <c r="AA178" s="600"/>
      <c r="AB178" s="600"/>
      <c r="AC178" s="600"/>
      <c r="AD178" s="600"/>
      <c r="AE178" s="600"/>
      <c r="AF178" s="600"/>
      <c r="AG178" s="600"/>
      <c r="AH178" s="600"/>
      <c r="AI178" s="600"/>
      <c r="AJ178" s="600"/>
      <c r="AK178" s="640"/>
      <c r="AL178" s="600"/>
      <c r="AM178" s="636"/>
    </row>
    <row r="179" spans="1:39">
      <c r="A179" s="600"/>
      <c r="B179" s="600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  <c r="AA179" s="600"/>
      <c r="AB179" s="600"/>
      <c r="AC179" s="600"/>
      <c r="AD179" s="600"/>
      <c r="AE179" s="600"/>
      <c r="AF179" s="600"/>
      <c r="AG179" s="600"/>
      <c r="AH179" s="600"/>
      <c r="AI179" s="600"/>
      <c r="AJ179" s="600"/>
      <c r="AK179" s="640"/>
      <c r="AL179" s="600"/>
      <c r="AM179" s="636"/>
    </row>
    <row r="180" spans="1:39">
      <c r="A180" s="600"/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00"/>
      <c r="AB180" s="600"/>
      <c r="AC180" s="600"/>
      <c r="AD180" s="600"/>
      <c r="AE180" s="600"/>
      <c r="AF180" s="600"/>
      <c r="AG180" s="600"/>
      <c r="AH180" s="600"/>
      <c r="AI180" s="600"/>
      <c r="AJ180" s="600"/>
      <c r="AK180" s="640"/>
      <c r="AL180" s="600"/>
      <c r="AM180" s="636"/>
    </row>
    <row r="181" spans="1:39">
      <c r="A181" s="600"/>
      <c r="B181" s="600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  <c r="AA181" s="600"/>
      <c r="AB181" s="600"/>
      <c r="AC181" s="600"/>
      <c r="AD181" s="600"/>
      <c r="AE181" s="600"/>
      <c r="AF181" s="600"/>
      <c r="AG181" s="600"/>
      <c r="AH181" s="600"/>
      <c r="AI181" s="600"/>
      <c r="AJ181" s="600"/>
      <c r="AK181" s="640"/>
      <c r="AL181" s="600"/>
      <c r="AM181" s="636"/>
    </row>
    <row r="182" spans="1:39">
      <c r="A182" s="600"/>
      <c r="B182" s="600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  <c r="AA182" s="600"/>
      <c r="AB182" s="600"/>
      <c r="AC182" s="600"/>
      <c r="AD182" s="600"/>
      <c r="AE182" s="600"/>
      <c r="AF182" s="600"/>
      <c r="AG182" s="600"/>
      <c r="AH182" s="600"/>
      <c r="AI182" s="600"/>
      <c r="AJ182" s="600"/>
      <c r="AK182" s="640"/>
      <c r="AL182" s="600"/>
      <c r="AM182" s="636"/>
    </row>
    <row r="183" spans="1:39">
      <c r="A183" s="600"/>
      <c r="B183" s="600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  <c r="AA183" s="600"/>
      <c r="AB183" s="600"/>
      <c r="AC183" s="600"/>
      <c r="AD183" s="600"/>
      <c r="AE183" s="600"/>
      <c r="AF183" s="600"/>
      <c r="AG183" s="600"/>
      <c r="AH183" s="600"/>
      <c r="AI183" s="600"/>
      <c r="AJ183" s="600"/>
      <c r="AK183" s="640"/>
      <c r="AL183" s="600"/>
      <c r="AM183" s="636"/>
    </row>
    <row r="184" spans="1:39">
      <c r="A184" s="600"/>
      <c r="B184" s="600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  <c r="AA184" s="600"/>
      <c r="AB184" s="600"/>
      <c r="AC184" s="600"/>
      <c r="AD184" s="600"/>
      <c r="AE184" s="600"/>
      <c r="AF184" s="600"/>
      <c r="AG184" s="600"/>
      <c r="AH184" s="600"/>
      <c r="AI184" s="600"/>
      <c r="AJ184" s="600"/>
      <c r="AK184" s="640"/>
      <c r="AL184" s="600"/>
      <c r="AM184" s="636"/>
    </row>
    <row r="185" spans="1:39">
      <c r="A185" s="600"/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00"/>
      <c r="AB185" s="600"/>
      <c r="AC185" s="600"/>
      <c r="AD185" s="600"/>
      <c r="AE185" s="600"/>
      <c r="AF185" s="600"/>
      <c r="AG185" s="600"/>
      <c r="AH185" s="600"/>
      <c r="AI185" s="600"/>
      <c r="AJ185" s="600"/>
      <c r="AK185" s="640"/>
      <c r="AL185" s="600"/>
      <c r="AM185" s="636"/>
    </row>
    <row r="186" spans="1:39">
      <c r="A186" s="600"/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  <c r="AA186" s="600"/>
      <c r="AB186" s="600"/>
      <c r="AC186" s="600"/>
      <c r="AD186" s="600"/>
      <c r="AE186" s="600"/>
      <c r="AF186" s="600"/>
      <c r="AG186" s="600"/>
      <c r="AH186" s="600"/>
      <c r="AI186" s="600"/>
      <c r="AJ186" s="600"/>
      <c r="AK186" s="640"/>
      <c r="AL186" s="600"/>
      <c r="AM186" s="636"/>
    </row>
    <row r="187" spans="1:39">
      <c r="A187" s="600"/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  <c r="AA187" s="600"/>
      <c r="AB187" s="600"/>
      <c r="AC187" s="600"/>
      <c r="AD187" s="600"/>
      <c r="AE187" s="600"/>
      <c r="AF187" s="600"/>
      <c r="AG187" s="600"/>
      <c r="AH187" s="600"/>
      <c r="AI187" s="600"/>
      <c r="AJ187" s="600"/>
      <c r="AK187" s="326"/>
      <c r="AL187" s="600"/>
      <c r="AM187" s="636"/>
    </row>
    <row r="188" spans="1:39">
      <c r="A188" s="600"/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  <c r="AA188" s="600"/>
      <c r="AB188" s="600"/>
      <c r="AC188" s="600"/>
      <c r="AD188" s="600"/>
      <c r="AE188" s="600"/>
      <c r="AF188" s="600"/>
      <c r="AG188" s="600"/>
      <c r="AH188" s="600"/>
      <c r="AI188" s="600"/>
      <c r="AJ188" s="600"/>
      <c r="AK188" s="326"/>
      <c r="AL188" s="600"/>
      <c r="AM188" s="636"/>
    </row>
    <row r="189" spans="1:39">
      <c r="A189" s="600"/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  <c r="AA189" s="600"/>
      <c r="AB189" s="600"/>
      <c r="AC189" s="600"/>
      <c r="AD189" s="600"/>
      <c r="AE189" s="600"/>
      <c r="AF189" s="600"/>
      <c r="AG189" s="600"/>
      <c r="AH189" s="600"/>
      <c r="AI189" s="600"/>
      <c r="AJ189" s="600"/>
      <c r="AK189" s="326"/>
      <c r="AL189" s="600"/>
      <c r="AM189" s="636"/>
    </row>
    <row r="190" spans="1:39">
      <c r="A190" s="600"/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00"/>
      <c r="AB190" s="600"/>
      <c r="AC190" s="600"/>
      <c r="AD190" s="600"/>
      <c r="AE190" s="600"/>
      <c r="AF190" s="600"/>
      <c r="AG190" s="600"/>
      <c r="AH190" s="600"/>
      <c r="AI190" s="600"/>
      <c r="AJ190" s="600"/>
      <c r="AK190" s="326"/>
      <c r="AL190" s="600"/>
      <c r="AM190" s="636"/>
    </row>
    <row r="191" spans="1:39">
      <c r="A191" s="600"/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  <c r="AB191" s="600"/>
      <c r="AC191" s="600"/>
      <c r="AD191" s="600"/>
      <c r="AE191" s="600"/>
      <c r="AF191" s="600"/>
      <c r="AG191" s="600"/>
      <c r="AH191" s="600"/>
      <c r="AI191" s="600"/>
      <c r="AJ191" s="600"/>
      <c r="AK191" s="326"/>
      <c r="AL191" s="600"/>
      <c r="AM191" s="636"/>
    </row>
    <row r="192" spans="1:39">
      <c r="E192" s="641"/>
      <c r="F192" s="641"/>
    </row>
    <row r="193" spans="1:39">
      <c r="E193" s="641"/>
      <c r="F193" s="641"/>
    </row>
    <row r="194" spans="1:39">
      <c r="E194" s="641"/>
      <c r="F194" s="641"/>
    </row>
    <row r="195" spans="1:39">
      <c r="E195" s="641"/>
    </row>
    <row r="202" spans="1:39">
      <c r="A202" s="600"/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  <c r="AB202" s="600"/>
      <c r="AC202" s="600"/>
      <c r="AD202" s="600"/>
      <c r="AE202" s="600"/>
      <c r="AF202" s="600"/>
      <c r="AG202" s="600"/>
      <c r="AH202" s="600"/>
      <c r="AI202" s="600"/>
      <c r="AJ202" s="600"/>
      <c r="AK202" s="640"/>
      <c r="AL202" s="600"/>
      <c r="AM202" s="636"/>
    </row>
    <row r="203" spans="1:39">
      <c r="A203" s="600"/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  <c r="AA203" s="600"/>
      <c r="AB203" s="600"/>
      <c r="AC203" s="600"/>
      <c r="AD203" s="600"/>
      <c r="AE203" s="600"/>
      <c r="AF203" s="600"/>
      <c r="AG203" s="600"/>
      <c r="AH203" s="600"/>
      <c r="AI203" s="600"/>
      <c r="AJ203" s="600"/>
      <c r="AK203" s="640"/>
      <c r="AL203" s="600"/>
      <c r="AM203" s="636"/>
    </row>
    <row r="292" spans="13:32"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3:32"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</row>
  </sheetData>
  <autoFilter ref="A3:AV151"/>
  <mergeCells count="4">
    <mergeCell ref="M2:V2"/>
    <mergeCell ref="W2:AF2"/>
    <mergeCell ref="AG2:AG3"/>
    <mergeCell ref="AH2:AJ2"/>
  </mergeCells>
  <conditionalFormatting sqref="AG4:AG151">
    <cfRule type="cellIs" dxfId="63" priority="77" operator="lessThan">
      <formula>0.8</formula>
    </cfRule>
  </conditionalFormatting>
  <conditionalFormatting sqref="AH4:AH151">
    <cfRule type="cellIs" dxfId="62" priority="75" operator="lessThanOrEqual">
      <formula>10</formula>
    </cfRule>
  </conditionalFormatting>
  <conditionalFormatting sqref="C192:C201 C2 C294:C1048576 C204:C291 C76:C89 C109:C151 C4:C16">
    <cfRule type="duplicateValues" dxfId="61" priority="74"/>
  </conditionalFormatting>
  <conditionalFormatting sqref="C14:C15">
    <cfRule type="duplicateValues" dxfId="60" priority="71"/>
  </conditionalFormatting>
  <conditionalFormatting sqref="E4:I151">
    <cfRule type="containsText" dxfId="59" priority="68" operator="containsText" text="REMOVED">
      <formula>NOT(ISERROR(SEARCH("REMOVED",E4)))</formula>
    </cfRule>
  </conditionalFormatting>
  <conditionalFormatting sqref="C142">
    <cfRule type="duplicateValues" dxfId="58" priority="65"/>
  </conditionalFormatting>
  <conditionalFormatting sqref="E142:H142">
    <cfRule type="containsText" dxfId="57" priority="64" operator="containsText" text="REMOVED">
      <formula>NOT(ISERROR(SEARCH("REMOVED",E142)))</formula>
    </cfRule>
  </conditionalFormatting>
  <conditionalFormatting sqref="C137">
    <cfRule type="duplicateValues" dxfId="56" priority="61"/>
  </conditionalFormatting>
  <conditionalFormatting sqref="E137:H137">
    <cfRule type="containsText" dxfId="55" priority="60" operator="containsText" text="REMOVED">
      <formula>NOT(ISERROR(SEARCH("REMOVED",E137)))</formula>
    </cfRule>
  </conditionalFormatting>
  <conditionalFormatting sqref="E72:H72">
    <cfRule type="containsText" dxfId="54" priority="56" operator="containsText" text="REMOVED">
      <formula>NOT(ISERROR(SEARCH("REMOVED",E72)))</formula>
    </cfRule>
  </conditionalFormatting>
  <conditionalFormatting sqref="E44:H44">
    <cfRule type="containsText" dxfId="53" priority="52" operator="containsText" text="REMOVED">
      <formula>NOT(ISERROR(SEARCH("REMOVED",E44)))</formula>
    </cfRule>
  </conditionalFormatting>
  <conditionalFormatting sqref="E26:H26">
    <cfRule type="containsText" dxfId="52" priority="48" operator="containsText" text="REMOVED">
      <formula>NOT(ISERROR(SEARCH("REMOVED",E26)))</formula>
    </cfRule>
  </conditionalFormatting>
  <conditionalFormatting sqref="E56:H56">
    <cfRule type="containsText" dxfId="51" priority="44" operator="containsText" text="REMOVED">
      <formula>NOT(ISERROR(SEARCH("REMOVED",E56)))</formula>
    </cfRule>
  </conditionalFormatting>
  <conditionalFormatting sqref="E67:H67">
    <cfRule type="containsText" dxfId="50" priority="39" operator="containsText" text="REMOVED">
      <formula>NOT(ISERROR(SEARCH("REMOVED",E67)))</formula>
    </cfRule>
  </conditionalFormatting>
  <conditionalFormatting sqref="E42:I42">
    <cfRule type="containsText" dxfId="49" priority="34" operator="containsText" text="REMOVED">
      <formula>NOT(ISERROR(SEARCH("REMOVED",E42)))</formula>
    </cfRule>
  </conditionalFormatting>
  <conditionalFormatting sqref="E96:I96">
    <cfRule type="containsText" dxfId="48" priority="33" operator="containsText" text="REMOVED">
      <formula>NOT(ISERROR(SEARCH("REMOVED",E96)))</formula>
    </cfRule>
  </conditionalFormatting>
  <conditionalFormatting sqref="E97:I97">
    <cfRule type="containsText" dxfId="47" priority="32" operator="containsText" text="REMOVED">
      <formula>NOT(ISERROR(SEARCH("REMOVED",E97)))</formula>
    </cfRule>
  </conditionalFormatting>
  <conditionalFormatting sqref="C292:C293">
    <cfRule type="duplicateValues" dxfId="46" priority="31"/>
  </conditionalFormatting>
  <conditionalFormatting sqref="E55:I55">
    <cfRule type="containsText" dxfId="45" priority="30" operator="containsText" text="REMOVED">
      <formula>NOT(ISERROR(SEARCH("REMOVED",E55)))</formula>
    </cfRule>
  </conditionalFormatting>
  <conditionalFormatting sqref="B76:D89 B109:D151 B4:D16">
    <cfRule type="expression" dxfId="44" priority="29">
      <formula>$AH4&lt;=10</formula>
    </cfRule>
  </conditionalFormatting>
  <conditionalFormatting sqref="B76:D89 B109:D151 B4:D16">
    <cfRule type="expression" dxfId="43" priority="28">
      <formula>$AL4="resign"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X15"/>
  <sheetViews>
    <sheetView showGridLines="0" topLeftCell="A2" zoomScale="85" zoomScaleNormal="85" workbookViewId="0">
      <pane xSplit="6" topLeftCell="AH1" activePane="topRight" state="frozen"/>
      <selection pane="topRight" activeCell="B2" sqref="B2"/>
    </sheetView>
  </sheetViews>
  <sheetFormatPr defaultRowHeight="15"/>
  <cols>
    <col min="1" max="1" width="13.42578125" hidden="1" customWidth="1"/>
    <col min="2" max="3" width="18.28515625" bestFit="1" customWidth="1"/>
    <col min="4" max="4" width="29.5703125" bestFit="1" customWidth="1"/>
    <col min="5" max="5" width="29.85546875" bestFit="1" customWidth="1"/>
    <col min="6" max="6" width="25.28515625" bestFit="1" customWidth="1"/>
    <col min="7" max="7" width="22.7109375" customWidth="1"/>
    <col min="8" max="8" width="30" hidden="1" customWidth="1"/>
    <col min="9" max="9" width="20.42578125" hidden="1" customWidth="1"/>
    <col min="10" max="10" width="10.85546875" hidden="1" customWidth="1"/>
    <col min="11" max="11" width="18.140625" hidden="1" customWidth="1"/>
    <col min="12" max="12" width="13.42578125" hidden="1" customWidth="1"/>
    <col min="13" max="13" width="13.42578125" customWidth="1"/>
    <col min="14" max="14" width="20" bestFit="1" customWidth="1"/>
    <col min="15" max="23" width="13.42578125" customWidth="1"/>
    <col min="24" max="24" width="13.42578125" hidden="1" customWidth="1"/>
    <col min="25" max="25" width="25.7109375" bestFit="1" customWidth="1"/>
    <col min="26" max="29" width="13.42578125" customWidth="1"/>
    <col min="30" max="30" width="20" bestFit="1" customWidth="1"/>
    <col min="31" max="39" width="13.42578125" customWidth="1"/>
    <col min="40" max="40" width="13.42578125" hidden="1" customWidth="1"/>
    <col min="41" max="41" width="25.7109375" bestFit="1" customWidth="1"/>
    <col min="42" max="44" width="13.42578125" customWidth="1"/>
    <col min="45" max="46" width="17.28515625" customWidth="1"/>
    <col min="47" max="49" width="20.7109375" bestFit="1" customWidth="1"/>
  </cols>
  <sheetData>
    <row r="1" spans="1:50" s="2" customFormat="1" hidden="1">
      <c r="A1" s="10"/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69</v>
      </c>
      <c r="J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 t="s">
        <v>3</v>
      </c>
      <c r="AD1" s="5" t="s">
        <v>253</v>
      </c>
      <c r="AE1" s="5" t="s">
        <v>59</v>
      </c>
      <c r="AF1" s="5" t="s">
        <v>6</v>
      </c>
      <c r="AG1" s="5" t="s">
        <v>254</v>
      </c>
      <c r="AH1" s="5" t="s">
        <v>4</v>
      </c>
      <c r="AI1" s="5" t="s">
        <v>255</v>
      </c>
      <c r="AJ1" s="5" t="s">
        <v>256</v>
      </c>
      <c r="AK1" s="5" t="s">
        <v>257</v>
      </c>
      <c r="AL1" s="5" t="s">
        <v>258</v>
      </c>
      <c r="AM1" s="5" t="s">
        <v>259</v>
      </c>
      <c r="AN1" s="5" t="s">
        <v>260</v>
      </c>
      <c r="AO1" s="5" t="s">
        <v>261</v>
      </c>
      <c r="AP1" s="5" t="s">
        <v>61</v>
      </c>
      <c r="AQ1" s="5" t="s">
        <v>62</v>
      </c>
      <c r="AR1" s="5" t="s">
        <v>63</v>
      </c>
      <c r="AT1"/>
      <c r="AW1"/>
      <c r="AX1" s="16"/>
    </row>
    <row r="2" spans="1:50" s="2" customFormat="1" ht="17.100000000000001" customHeight="1">
      <c r="A2" s="10"/>
      <c r="J2" s="4"/>
      <c r="L2" s="5"/>
      <c r="M2" s="683" t="s">
        <v>64</v>
      </c>
      <c r="N2" s="684"/>
      <c r="O2" s="684"/>
      <c r="P2" s="684"/>
      <c r="Q2" s="684"/>
      <c r="R2" s="684"/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5" t="s">
        <v>65</v>
      </c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  <c r="AP2" s="686"/>
      <c r="AQ2" s="686"/>
      <c r="AR2" s="686"/>
      <c r="AS2" s="680" t="s">
        <v>66</v>
      </c>
      <c r="AT2"/>
      <c r="AW2"/>
      <c r="AX2" s="16"/>
    </row>
    <row r="3" spans="1:50" s="2" customFormat="1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6" t="s">
        <v>71</v>
      </c>
      <c r="K3" s="7" t="s">
        <v>72</v>
      </c>
      <c r="L3" s="12" t="s">
        <v>73</v>
      </c>
      <c r="M3" s="28" t="s">
        <v>3</v>
      </c>
      <c r="N3" s="28" t="s">
        <v>253</v>
      </c>
      <c r="O3" s="28" t="s">
        <v>59</v>
      </c>
      <c r="P3" s="28" t="s">
        <v>6</v>
      </c>
      <c r="Q3" s="28" t="s">
        <v>254</v>
      </c>
      <c r="R3" s="28" t="s">
        <v>4</v>
      </c>
      <c r="S3" s="28" t="s">
        <v>255</v>
      </c>
      <c r="T3" s="28" t="s">
        <v>256</v>
      </c>
      <c r="U3" s="28" t="s">
        <v>257</v>
      </c>
      <c r="V3" s="28" t="s">
        <v>258</v>
      </c>
      <c r="W3" s="28" t="s">
        <v>259</v>
      </c>
      <c r="X3" s="28" t="s">
        <v>260</v>
      </c>
      <c r="Y3" s="28" t="s">
        <v>261</v>
      </c>
      <c r="Z3" s="28" t="s">
        <v>61</v>
      </c>
      <c r="AA3" s="28" t="s">
        <v>62</v>
      </c>
      <c r="AB3" s="28" t="s">
        <v>63</v>
      </c>
      <c r="AC3" s="29" t="s">
        <v>3</v>
      </c>
      <c r="AD3" s="29" t="s">
        <v>253</v>
      </c>
      <c r="AE3" s="29" t="s">
        <v>59</v>
      </c>
      <c r="AF3" s="29" t="s">
        <v>6</v>
      </c>
      <c r="AG3" s="29" t="s">
        <v>254</v>
      </c>
      <c r="AH3" s="29" t="s">
        <v>4</v>
      </c>
      <c r="AI3" s="29" t="s">
        <v>255</v>
      </c>
      <c r="AJ3" s="29" t="s">
        <v>256</v>
      </c>
      <c r="AK3" s="29" t="s">
        <v>257</v>
      </c>
      <c r="AL3" s="29" t="s">
        <v>258</v>
      </c>
      <c r="AM3" s="29" t="s">
        <v>259</v>
      </c>
      <c r="AN3" s="29" t="s">
        <v>260</v>
      </c>
      <c r="AO3" s="29" t="s">
        <v>261</v>
      </c>
      <c r="AP3" s="29" t="s">
        <v>61</v>
      </c>
      <c r="AQ3" s="29" t="s">
        <v>62</v>
      </c>
      <c r="AR3" s="29" t="s">
        <v>63</v>
      </c>
      <c r="AS3" s="682"/>
      <c r="AT3" s="659" t="s">
        <v>75</v>
      </c>
      <c r="AU3" s="665" t="s">
        <v>76</v>
      </c>
      <c r="AV3" s="665" t="s">
        <v>77</v>
      </c>
      <c r="AW3"/>
      <c r="AX3" s="16"/>
    </row>
    <row r="4" spans="1:50" s="2" customFormat="1">
      <c r="A4" s="10"/>
      <c r="B4" s="3">
        <v>1</v>
      </c>
      <c r="C4" s="3">
        <v>10070715</v>
      </c>
      <c r="D4" s="3" t="s">
        <v>152</v>
      </c>
      <c r="E4" s="3" t="s">
        <v>262</v>
      </c>
      <c r="F4" s="3" t="s">
        <v>85</v>
      </c>
      <c r="G4" s="3" t="s">
        <v>85</v>
      </c>
      <c r="H4" s="3" t="s">
        <v>85</v>
      </c>
      <c r="I4" s="3" t="s">
        <v>263</v>
      </c>
      <c r="J4" s="8"/>
      <c r="K4" s="8"/>
      <c r="L4" s="27" t="str">
        <f t="shared" ref="L4:L15" si="0">IF(((K4-J4)/(365))*12&lt;=2.99,"Beginner",IF(((K4-J4)/(365))*12&lt;=5.99,"Intermediate","Expert"))</f>
        <v>Beginner</v>
      </c>
      <c r="M4" s="75">
        <f>IFERROR(VLOOKUP($E4,KPI!$B:$T,MATCH(SUPERVISORS!M$3,KPI!$B$1:$T$1,0),FALSE),"-")</f>
        <v>0.12</v>
      </c>
      <c r="N4" s="75" t="str">
        <f>IFERROR(VLOOKUP($E4,KPI!$B:$T,MATCH(SUPERVISORS!N$3,KPI!$B$1:$T$1,0),FALSE),"-")</f>
        <v>-</v>
      </c>
      <c r="O4" s="75">
        <f>IFERROR(VLOOKUP($E4,KPI!$B:$T,MATCH(SUPERVISORS!O$3,KPI!$B$1:$T$1,0),FALSE),"-")</f>
        <v>0.08</v>
      </c>
      <c r="P4" s="75">
        <f>IFERROR(VLOOKUP($E4,KPI!$B:$T,MATCH(SUPERVISORS!P$3,KPI!$B$1:$T$1,0),FALSE),"-")</f>
        <v>0.1</v>
      </c>
      <c r="Q4" s="75" t="str">
        <f>IFERROR(VLOOKUP($E4,KPI!$B:$T,MATCH(SUPERVISORS!Q$3,KPI!$B$1:$T$1,0),FALSE),"-")</f>
        <v>-</v>
      </c>
      <c r="R4" s="75">
        <f>IFERROR(VLOOKUP($E4,KPI!$B:$T,MATCH(SUPERVISORS!R$3,KPI!$B$1:$T$1,0),FALSE),"-")</f>
        <v>0.15</v>
      </c>
      <c r="S4" s="75">
        <f>IFERROR(VLOOKUP($E4,KPI!$B:$T,MATCH(SUPERVISORS!S$3,KPI!$B$1:$T$1,0),FALSE),"-")</f>
        <v>0.1</v>
      </c>
      <c r="T4" s="75">
        <f>IFERROR(VLOOKUP($E4,KPI!$B:$T,MATCH(SUPERVISORS!T$3,KPI!$B$1:$T$1,0),FALSE),"-")</f>
        <v>0.05</v>
      </c>
      <c r="U4" s="75">
        <f>IFERROR(VLOOKUP($E4,KPI!$B:$T,MATCH(SUPERVISORS!U$3,KPI!$B$1:$T$1,0),FALSE),"-")</f>
        <v>0.1</v>
      </c>
      <c r="V4" s="75">
        <f>IFERROR(VLOOKUP($E4,KPI!$B:$T,MATCH(SUPERVISORS!V$3,KPI!$B$1:$T$1,0),FALSE),"-")</f>
        <v>0.1</v>
      </c>
      <c r="W4" s="75">
        <f>IFERROR(VLOOKUP($E4,KPI!$B:$T,MATCH(SUPERVISORS!W$3,KPI!$B$1:$T$1,0),FALSE),"-")</f>
        <v>0.1</v>
      </c>
      <c r="X4" s="75" t="str">
        <f>IFERROR(VLOOKUP($E4,KPI!$B:$T,MATCH(SUPERVISORS!X$3,KPI!$B$1:$T$1,0),FALSE),"-")</f>
        <v>-</v>
      </c>
      <c r="Y4" s="75">
        <f>IFERROR(VLOOKUP($E4,KPI!$B:$T,MATCH(SUPERVISORS!Y$3,KPI!$B$1:$T$1,0),FALSE),"-")</f>
        <v>0.05</v>
      </c>
      <c r="Z4" s="75" t="str">
        <f>IFERROR(VLOOKUP($E4,KPI!$B:$T,MATCH(SUPERVISORS!Z$3,KPI!$B$1:$T$1,0),FALSE),"-")</f>
        <v>-</v>
      </c>
      <c r="AA4" s="75" t="str">
        <f>IFERROR(VLOOKUP($E4,KPI!$B:$T,MATCH(SUPERVISORS!AA$3,KPI!$B$1:$T$1,0),FALSE),"-")</f>
        <v>-</v>
      </c>
      <c r="AB4" s="75">
        <f>IFERROR(VLOOKUP($E4,KPI!$B:$T,MATCH(SUPERVISORS!AB$3,KPI!$B$1:$T$1,0),FALSE),"-")</f>
        <v>0.05</v>
      </c>
      <c r="AC4" s="50">
        <f>IFERROR(VLOOKUP($D4,'PRODUCTIVITY RAW'!$C:$Q,15,FALSE),"-")</f>
        <v>0.9959906174994545</v>
      </c>
      <c r="AD4" s="50" t="str">
        <f>IF(SUMIFS('PRODUCTIVITY RAW'!$Q:$Q,'PRODUCTIVITY RAW'!$R:$R,SUPERVISORS!AD$3,'PRODUCTIVITY RAW'!$C:$C,SUPERVISORS!$D4)=0,"-",SUMIFS('PRODUCTIVITY RAW'!$Q:$Q,'PRODUCTIVITY RAW'!$R:$R,SUPERVISORS!AD$3,'PRODUCTIVITY RAW'!$C:$C,SUPERVISORS!$D4))</f>
        <v>-</v>
      </c>
      <c r="AE4" s="50">
        <f>IFERROR(VLOOKUP($C4,'QA RAW'!$L:$S,8,FALSE),"-")</f>
        <v>0.99672500000000031</v>
      </c>
      <c r="AF4" s="50">
        <f>IFERROR(VLOOKUP($D4,'CHURN RAW'!$D:$H,5,FALSE),"-")</f>
        <v>0.8</v>
      </c>
      <c r="AG4" s="50" t="str">
        <f>IFERROR(IF(VLOOKUP($C4,'QA RAW'!$L:$U,10,FALSE)="","-",VLOOKUP($C4,'QA RAW'!$L:$U,10,FALSE)),"-")</f>
        <v>-</v>
      </c>
      <c r="AH4" s="50">
        <f>IFERROR(INDEX('ATTENDANCE RAW'!$AI:$AI,MATCH(SUPERVISORS!$C4,'ATTENDANCE RAW'!$AK:$AK,0)),"-")</f>
        <v>0.96753246753246758</v>
      </c>
      <c r="AI4" s="50">
        <f>IFERROR(VLOOKUP($C4,'ATTRITION RAW'!$A:$C,3,FALSE),"-")</f>
        <v>1</v>
      </c>
      <c r="AJ4" s="50">
        <f>IFERROR(VLOOKUP($C4,'KC RAW'!$L:$O,3,FALSE),"-")</f>
        <v>0.7</v>
      </c>
      <c r="AK4" s="50">
        <f>IFERROR(VLOOKUP($C4,'KC RAW'!$L:$O,4,FALSE),"-")</f>
        <v>0.79250000000000009</v>
      </c>
      <c r="AL4" s="50">
        <f>IFERROR(VLOOKUP($C4,'TL CALIBRATION RAW'!$K:$R,8,FALSE),"-")</f>
        <v>1</v>
      </c>
      <c r="AM4" s="50">
        <f>IFERROR(VLOOKUP($C4,'COACHING RAW'!$A:$K,11,FALSE),"-")</f>
        <v>1</v>
      </c>
      <c r="AN4" s="74"/>
      <c r="AO4" s="73">
        <v>0</v>
      </c>
      <c r="AP4" s="50" t="str">
        <f>IFERROR(VLOOKUP($C4,'CE RAW'!$I:$P,8,FALSE),"-")</f>
        <v>-</v>
      </c>
      <c r="AQ4" s="50" t="str">
        <f>IFERROR(VLOOKUP($C4,'FCR RAW'!$A:$G,7,FALSE),"-")</f>
        <v>-</v>
      </c>
      <c r="AR4" s="50">
        <f>IFERROR(IF(VLOOKUP($C4,'BONUS RAW'!$D:$I,6,FALSE)=100%,100%,"-"),"-")</f>
        <v>1</v>
      </c>
      <c r="AS4" s="52">
        <f>IFERROR(IF($AR4="-",SUMPRODUCT(M4:AA4,AC4:AQ4)/SUM(M4:AA4),SUMPRODUCT(M4:AB4,AC4:AR4)/SUM(M4:AB4)),"-")</f>
        <v>0.88863674422980476</v>
      </c>
      <c r="AT4" s="56">
        <f>_xlfn.RANK.EQ($AS4,$AS$4:$AS$15)</f>
        <v>6</v>
      </c>
      <c r="AU4" s="656">
        <f>IFERROR(SUMPRODUCT(AC4:AQ4,M4:AA4)/SUM(M4:AA4),"-")</f>
        <v>0.88277552024189965</v>
      </c>
      <c r="AV4" s="656">
        <f>IFERROR(SUMPRODUCT(AC4:AR4,M4:AB4)/SUM(M4:AB4),"-")</f>
        <v>0.88863674422980476</v>
      </c>
      <c r="AW4"/>
      <c r="AX4" s="16"/>
    </row>
    <row r="5" spans="1:50" s="2" customFormat="1">
      <c r="A5" s="10"/>
      <c r="B5" s="3">
        <f t="shared" ref="B5:B15" si="1">B4+1</f>
        <v>2</v>
      </c>
      <c r="C5" s="3">
        <v>10072502</v>
      </c>
      <c r="D5" s="3" t="s">
        <v>137</v>
      </c>
      <c r="E5" s="3" t="s">
        <v>262</v>
      </c>
      <c r="F5" s="3" t="s">
        <v>85</v>
      </c>
      <c r="G5" s="3" t="s">
        <v>85</v>
      </c>
      <c r="H5" s="3" t="s">
        <v>85</v>
      </c>
      <c r="I5" s="3" t="s">
        <v>263</v>
      </c>
      <c r="J5" s="8"/>
      <c r="K5" s="8"/>
      <c r="L5" s="27" t="str">
        <f t="shared" si="0"/>
        <v>Beginner</v>
      </c>
      <c r="M5" s="75">
        <f>IFERROR(VLOOKUP($E5,KPI!$B:$T,MATCH(SUPERVISORS!M$3,KPI!$B$1:$T$1,0),FALSE),"-")</f>
        <v>0.12</v>
      </c>
      <c r="N5" s="75" t="str">
        <f>IFERROR(VLOOKUP($E5,KPI!$B:$T,MATCH(SUPERVISORS!N$3,KPI!$B$1:$T$1,0),FALSE),"-")</f>
        <v>-</v>
      </c>
      <c r="O5" s="75">
        <f>IFERROR(VLOOKUP($E5,KPI!$B:$T,MATCH(SUPERVISORS!O$3,KPI!$B$1:$T$1,0),FALSE),"-")</f>
        <v>0.08</v>
      </c>
      <c r="P5" s="75">
        <f>IFERROR(VLOOKUP($E5,KPI!$B:$T,MATCH(SUPERVISORS!P$3,KPI!$B$1:$T$1,0),FALSE),"-")</f>
        <v>0.1</v>
      </c>
      <c r="Q5" s="75" t="str">
        <f>IFERROR(VLOOKUP($E5,KPI!$B:$T,MATCH(SUPERVISORS!Q$3,KPI!$B$1:$T$1,0),FALSE),"-")</f>
        <v>-</v>
      </c>
      <c r="R5" s="75">
        <f>IFERROR(VLOOKUP($E5,KPI!$B:$T,MATCH(SUPERVISORS!R$3,KPI!$B$1:$T$1,0),FALSE),"-")</f>
        <v>0.15</v>
      </c>
      <c r="S5" s="75">
        <f>IFERROR(VLOOKUP($E5,KPI!$B:$T,MATCH(SUPERVISORS!S$3,KPI!$B$1:$T$1,0),FALSE),"-")</f>
        <v>0.1</v>
      </c>
      <c r="T5" s="75">
        <f>IFERROR(VLOOKUP($E5,KPI!$B:$T,MATCH(SUPERVISORS!T$3,KPI!$B$1:$T$1,0),FALSE),"-")</f>
        <v>0.05</v>
      </c>
      <c r="U5" s="75">
        <f>IFERROR(VLOOKUP($E5,KPI!$B:$T,MATCH(SUPERVISORS!U$3,KPI!$B$1:$T$1,0),FALSE),"-")</f>
        <v>0.1</v>
      </c>
      <c r="V5" s="75">
        <f>IFERROR(VLOOKUP($E5,KPI!$B:$T,MATCH(SUPERVISORS!V$3,KPI!$B$1:$T$1,0),FALSE),"-")</f>
        <v>0.1</v>
      </c>
      <c r="W5" s="75">
        <f>IFERROR(VLOOKUP($E5,KPI!$B:$T,MATCH(SUPERVISORS!W$3,KPI!$B$1:$T$1,0),FALSE),"-")</f>
        <v>0.1</v>
      </c>
      <c r="X5" s="75" t="str">
        <f>IFERROR(VLOOKUP($E5,KPI!$B:$T,MATCH(SUPERVISORS!X$3,KPI!$B$1:$T$1,0),FALSE),"-")</f>
        <v>-</v>
      </c>
      <c r="Y5" s="75">
        <f>IFERROR(VLOOKUP($E5,KPI!$B:$T,MATCH(SUPERVISORS!Y$3,KPI!$B$1:$T$1,0),FALSE),"-")</f>
        <v>0.05</v>
      </c>
      <c r="Z5" s="75" t="str">
        <f>IFERROR(VLOOKUP($E5,KPI!$B:$T,MATCH(SUPERVISORS!Z$3,KPI!$B$1:$T$1,0),FALSE),"-")</f>
        <v>-</v>
      </c>
      <c r="AA5" s="75" t="str">
        <f>IFERROR(VLOOKUP($E5,KPI!$B:$T,MATCH(SUPERVISORS!AA$3,KPI!$B$1:$T$1,0),FALSE),"-")</f>
        <v>-</v>
      </c>
      <c r="AB5" s="75">
        <f>IFERROR(VLOOKUP($E5,KPI!$B:$T,MATCH(SUPERVISORS!AB$3,KPI!$B$1:$T$1,0),FALSE),"-")</f>
        <v>0.05</v>
      </c>
      <c r="AC5" s="50">
        <f>IFERROR(VLOOKUP($D5,'PRODUCTIVITY RAW'!$C:$Q,15,FALSE),"-")</f>
        <v>1</v>
      </c>
      <c r="AD5" s="50" t="str">
        <f>IF(SUMIFS('PRODUCTIVITY RAW'!$Q:$Q,'PRODUCTIVITY RAW'!$R:$R,SUPERVISORS!AD$3,'PRODUCTIVITY RAW'!$C:$C,SUPERVISORS!$D5)=0,"-",SUMIFS('PRODUCTIVITY RAW'!$Q:$Q,'PRODUCTIVITY RAW'!$R:$R,SUPERVISORS!AD$3,'PRODUCTIVITY RAW'!$C:$C,SUPERVISORS!$D5))</f>
        <v>-</v>
      </c>
      <c r="AE5" s="50">
        <f>IFERROR(VLOOKUP($C5,'QA RAW'!$L:$S,8,FALSE),"-")</f>
        <v>0.99455769230769231</v>
      </c>
      <c r="AF5" s="50">
        <f>IFERROR(VLOOKUP($D5,'CHURN RAW'!$D:$H,5,FALSE),"-")</f>
        <v>0.9</v>
      </c>
      <c r="AG5" s="50" t="str">
        <f>IFERROR(IF(VLOOKUP($C5,'QA RAW'!$L:$U,10,FALSE)="","-",VLOOKUP($C5,'QA RAW'!$L:$U,10,FALSE)),"-")</f>
        <v>-</v>
      </c>
      <c r="AH5" s="50">
        <f>IFERROR(INDEX('ATTENDANCE RAW'!$AI:$AI,MATCH(SUPERVISORS!$C5,'ATTENDANCE RAW'!$AK:$AK,0)),"-")</f>
        <v>0.99025974025974028</v>
      </c>
      <c r="AI5" s="50">
        <f>IFERROR(VLOOKUP($C5,'ATTRITION RAW'!$A:$C,3,FALSE),"-")</f>
        <v>1</v>
      </c>
      <c r="AJ5" s="50">
        <f>IFERROR(VLOOKUP($C5,'KC RAW'!$L:$O,3,FALSE),"-")</f>
        <v>0.5</v>
      </c>
      <c r="AK5" s="50">
        <f>IFERROR(VLOOKUP($C5,'KC RAW'!$L:$O,4,FALSE),"-")</f>
        <v>0.68846153846153846</v>
      </c>
      <c r="AL5" s="50">
        <f>IFERROR(VLOOKUP($C5,'TL CALIBRATION RAW'!$K:$R,8,FALSE),"-")</f>
        <v>1</v>
      </c>
      <c r="AM5" s="50">
        <f>IFERROR(VLOOKUP($C5,'COACHING RAW'!$A:$K,11,FALSE),"-")</f>
        <v>1</v>
      </c>
      <c r="AN5" s="74"/>
      <c r="AO5" s="73">
        <v>0</v>
      </c>
      <c r="AP5" s="50" t="str">
        <f>IFERROR(VLOOKUP($C5,'CE RAW'!$I:$P,8,FALSE),"-")</f>
        <v>-</v>
      </c>
      <c r="AQ5" s="50" t="str">
        <f>IFERROR(VLOOKUP($C5,'FCR RAW'!$A:$G,7,FALSE),"-")</f>
        <v>-</v>
      </c>
      <c r="AR5" s="50" t="str">
        <f>IFERROR(IF(VLOOKUP($C5,'BONUS RAW'!$D:$I,6,FALSE)=100%,100%,"-"),"-")</f>
        <v>-</v>
      </c>
      <c r="AS5" s="52">
        <f t="shared" ref="AS5:AS15" si="2">IFERROR(IF($AR5="-",SUMPRODUCT(M5:AA5,AC5:AQ5)/SUM(M5:AA5),SUMPRODUCT(M5:AB5,AC5:AR5)/SUM(M5:AB5)),"-")</f>
        <v>0.87573655817866336</v>
      </c>
      <c r="AT5" s="56">
        <f t="shared" ref="AT5:AT15" si="3">_xlfn.RANK.EQ($AS5,$AS$4:$AS$15)</f>
        <v>7</v>
      </c>
      <c r="AU5" s="656">
        <f t="shared" ref="AU5:AU15" si="4">IFERROR(SUMPRODUCT(AC5:AQ5,M5:AA5)/SUM(M5:AA5),"-")</f>
        <v>0.87573655817866336</v>
      </c>
      <c r="AV5" s="656">
        <f t="shared" ref="AV5:AV15" si="5">IFERROR(SUMPRODUCT(AC5:AR5,M5:AB5)/SUM(M5:AB5),"-")</f>
        <v>0.83194973026973029</v>
      </c>
      <c r="AW5"/>
      <c r="AX5" s="16"/>
    </row>
    <row r="6" spans="1:50" s="2" customFormat="1">
      <c r="A6" s="10"/>
      <c r="B6" s="3">
        <f t="shared" si="1"/>
        <v>3</v>
      </c>
      <c r="C6" s="3">
        <v>10070655</v>
      </c>
      <c r="D6" s="3" t="s">
        <v>84</v>
      </c>
      <c r="E6" s="3" t="s">
        <v>262</v>
      </c>
      <c r="F6" s="3" t="s">
        <v>85</v>
      </c>
      <c r="G6" s="3" t="s">
        <v>85</v>
      </c>
      <c r="H6" s="3" t="s">
        <v>85</v>
      </c>
      <c r="I6" s="3" t="s">
        <v>263</v>
      </c>
      <c r="J6" s="8"/>
      <c r="K6" s="8"/>
      <c r="L6" s="27" t="str">
        <f t="shared" si="0"/>
        <v>Beginner</v>
      </c>
      <c r="M6" s="75">
        <f>IFERROR(VLOOKUP($E6,KPI!$B:$T,MATCH(SUPERVISORS!M$3,KPI!$B$1:$T$1,0),FALSE),"-")</f>
        <v>0.12</v>
      </c>
      <c r="N6" s="75" t="str">
        <f>IFERROR(VLOOKUP($E6,KPI!$B:$T,MATCH(SUPERVISORS!N$3,KPI!$B$1:$T$1,0),FALSE),"-")</f>
        <v>-</v>
      </c>
      <c r="O6" s="75">
        <f>IFERROR(VLOOKUP($E6,KPI!$B:$T,MATCH(SUPERVISORS!O$3,KPI!$B$1:$T$1,0),FALSE),"-")</f>
        <v>0.08</v>
      </c>
      <c r="P6" s="75">
        <f>IFERROR(VLOOKUP($E6,KPI!$B:$T,MATCH(SUPERVISORS!P$3,KPI!$B$1:$T$1,0),FALSE),"-")</f>
        <v>0.1</v>
      </c>
      <c r="Q6" s="75" t="str">
        <f>IFERROR(VLOOKUP($E6,KPI!$B:$T,MATCH(SUPERVISORS!Q$3,KPI!$B$1:$T$1,0),FALSE),"-")</f>
        <v>-</v>
      </c>
      <c r="R6" s="75">
        <f>IFERROR(VLOOKUP($E6,KPI!$B:$T,MATCH(SUPERVISORS!R$3,KPI!$B$1:$T$1,0),FALSE),"-")</f>
        <v>0.15</v>
      </c>
      <c r="S6" s="75">
        <f>IFERROR(VLOOKUP($E6,KPI!$B:$T,MATCH(SUPERVISORS!S$3,KPI!$B$1:$T$1,0),FALSE),"-")</f>
        <v>0.1</v>
      </c>
      <c r="T6" s="75">
        <f>IFERROR(VLOOKUP($E6,KPI!$B:$T,MATCH(SUPERVISORS!T$3,KPI!$B$1:$T$1,0),FALSE),"-")</f>
        <v>0.05</v>
      </c>
      <c r="U6" s="75">
        <f>IFERROR(VLOOKUP($E6,KPI!$B:$T,MATCH(SUPERVISORS!U$3,KPI!$B$1:$T$1,0),FALSE),"-")</f>
        <v>0.1</v>
      </c>
      <c r="V6" s="75">
        <f>IFERROR(VLOOKUP($E6,KPI!$B:$T,MATCH(SUPERVISORS!V$3,KPI!$B$1:$T$1,0),FALSE),"-")</f>
        <v>0.1</v>
      </c>
      <c r="W6" s="75">
        <f>IFERROR(VLOOKUP($E6,KPI!$B:$T,MATCH(SUPERVISORS!W$3,KPI!$B$1:$T$1,0),FALSE),"-")</f>
        <v>0.1</v>
      </c>
      <c r="X6" s="75" t="str">
        <f>IFERROR(VLOOKUP($E6,KPI!$B:$T,MATCH(SUPERVISORS!X$3,KPI!$B$1:$T$1,0),FALSE),"-")</f>
        <v>-</v>
      </c>
      <c r="Y6" s="75">
        <f>IFERROR(VLOOKUP($E6,KPI!$B:$T,MATCH(SUPERVISORS!Y$3,KPI!$B$1:$T$1,0),FALSE),"-")</f>
        <v>0.05</v>
      </c>
      <c r="Z6" s="75" t="str">
        <f>IFERROR(VLOOKUP($E6,KPI!$B:$T,MATCH(SUPERVISORS!Z$3,KPI!$B$1:$T$1,0),FALSE),"-")</f>
        <v>-</v>
      </c>
      <c r="AA6" s="75" t="str">
        <f>IFERROR(VLOOKUP($E6,KPI!$B:$T,MATCH(SUPERVISORS!AA$3,KPI!$B$1:$T$1,0),FALSE),"-")</f>
        <v>-</v>
      </c>
      <c r="AB6" s="75">
        <f>IFERROR(VLOOKUP($E6,KPI!$B:$T,MATCH(SUPERVISORS!AB$3,KPI!$B$1:$T$1,0),FALSE),"-")</f>
        <v>0.05</v>
      </c>
      <c r="AC6" s="50">
        <f>IFERROR(VLOOKUP($D6,'PRODUCTIVITY RAW'!$C:$Q,15,FALSE),"-")</f>
        <v>1</v>
      </c>
      <c r="AD6" s="50" t="str">
        <f>IF(SUMIFS('PRODUCTIVITY RAW'!$Q:$Q,'PRODUCTIVITY RAW'!$R:$R,SUPERVISORS!AD$3,'PRODUCTIVITY RAW'!$C:$C,SUPERVISORS!$D6)=0,"-",SUMIFS('PRODUCTIVITY RAW'!$Q:$Q,'PRODUCTIVITY RAW'!$R:$R,SUPERVISORS!AD$3,'PRODUCTIVITY RAW'!$C:$C,SUPERVISORS!$D6))</f>
        <v>-</v>
      </c>
      <c r="AE6" s="50">
        <f>IFERROR(VLOOKUP($C6,'QA RAW'!$L:$S,8,FALSE),"-")</f>
        <v>0.99573846153846146</v>
      </c>
      <c r="AF6" s="50">
        <f>IFERROR(VLOOKUP($D6,'CHURN RAW'!$D:$H,5,FALSE),"-")</f>
        <v>0.9</v>
      </c>
      <c r="AG6" s="50" t="str">
        <f>IFERROR(IF(VLOOKUP($C6,'QA RAW'!$L:$U,10,FALSE)="","-",VLOOKUP($C6,'QA RAW'!$L:$U,10,FALSE)),"-")</f>
        <v>-</v>
      </c>
      <c r="AH6" s="50">
        <f>IFERROR(INDEX('ATTENDANCE RAW'!$AI:$AI,MATCH(SUPERVISORS!$C6,'ATTENDANCE RAW'!$AK:$AK,0)),"-")</f>
        <v>0.97402597402597402</v>
      </c>
      <c r="AI6" s="50">
        <f>IFERROR(VLOOKUP($C6,'ATTRITION RAW'!$A:$C,3,FALSE),"-")</f>
        <v>1</v>
      </c>
      <c r="AJ6" s="50">
        <f>IFERROR(VLOOKUP($C6,'KC RAW'!$L:$O,3,FALSE),"-")</f>
        <v>0.2</v>
      </c>
      <c r="AK6" s="50">
        <f>IFERROR(VLOOKUP($C6,'KC RAW'!$L:$O,4,FALSE),"-")</f>
        <v>0.72692307692307689</v>
      </c>
      <c r="AL6" s="50">
        <f>IFERROR(VLOOKUP($C6,'TL CALIBRATION RAW'!$K:$R,8,FALSE),"-")</f>
        <v>1</v>
      </c>
      <c r="AM6" s="50">
        <f>IFERROR(VLOOKUP($C6,'COACHING RAW'!$A:$K,11,FALSE),"-")</f>
        <v>1</v>
      </c>
      <c r="AN6" s="74"/>
      <c r="AO6" s="73">
        <v>0</v>
      </c>
      <c r="AP6" s="50" t="str">
        <f>IFERROR(VLOOKUP($C6,'CE RAW'!$I:$P,8,FALSE),"-")</f>
        <v>-</v>
      </c>
      <c r="AQ6" s="50" t="str">
        <f>IFERROR(VLOOKUP($C6,'FCR RAW'!$A:$G,7,FALSE),"-")</f>
        <v>-</v>
      </c>
      <c r="AR6" s="50" t="str">
        <f>IFERROR(IF(VLOOKUP($C6,'BONUS RAW'!$D:$I,6,FALSE)=100%,100%,"-"),"-")</f>
        <v>-</v>
      </c>
      <c r="AS6" s="52">
        <f t="shared" si="2"/>
        <v>0.86153187444134793</v>
      </c>
      <c r="AT6" s="56">
        <f t="shared" si="3"/>
        <v>8</v>
      </c>
      <c r="AU6" s="656">
        <f t="shared" si="4"/>
        <v>0.86153187444134793</v>
      </c>
      <c r="AV6" s="656">
        <f t="shared" si="5"/>
        <v>0.81845528071928064</v>
      </c>
      <c r="AW6"/>
      <c r="AX6" s="16"/>
    </row>
    <row r="7" spans="1:50" s="2" customFormat="1" hidden="1">
      <c r="A7" s="10"/>
      <c r="B7" s="3">
        <f t="shared" si="1"/>
        <v>4</v>
      </c>
      <c r="C7" s="3">
        <v>10070702</v>
      </c>
      <c r="D7" s="3" t="s">
        <v>264</v>
      </c>
      <c r="E7" s="3" t="s">
        <v>262</v>
      </c>
      <c r="F7" s="3" t="s">
        <v>85</v>
      </c>
      <c r="G7" s="3" t="s">
        <v>85</v>
      </c>
      <c r="H7" s="3" t="s">
        <v>85</v>
      </c>
      <c r="I7" s="3" t="s">
        <v>263</v>
      </c>
      <c r="J7" s="8"/>
      <c r="K7" s="8"/>
      <c r="L7" s="27" t="str">
        <f t="shared" si="0"/>
        <v>Beginner</v>
      </c>
      <c r="M7" s="75">
        <f>IFERROR(VLOOKUP($E7,KPI!$B:$T,MATCH(SUPERVISORS!M$3,KPI!$B$1:$T$1,0),FALSE),"-")</f>
        <v>0.12</v>
      </c>
      <c r="N7" s="75" t="str">
        <f>IFERROR(VLOOKUP($E7,KPI!$B:$T,MATCH(SUPERVISORS!N$3,KPI!$B$1:$T$1,0),FALSE),"-")</f>
        <v>-</v>
      </c>
      <c r="O7" s="75">
        <f>IFERROR(VLOOKUP($E7,KPI!$B:$T,MATCH(SUPERVISORS!O$3,KPI!$B$1:$T$1,0),FALSE),"-")</f>
        <v>0.08</v>
      </c>
      <c r="P7" s="75">
        <f>IFERROR(VLOOKUP($E7,KPI!$B:$T,MATCH(SUPERVISORS!P$3,KPI!$B$1:$T$1,0),FALSE),"-")</f>
        <v>0.1</v>
      </c>
      <c r="Q7" s="75" t="str">
        <f>IFERROR(VLOOKUP($E7,KPI!$B:$T,MATCH(SUPERVISORS!Q$3,KPI!$B$1:$T$1,0),FALSE),"-")</f>
        <v>-</v>
      </c>
      <c r="R7" s="75">
        <f>IFERROR(VLOOKUP($E7,KPI!$B:$T,MATCH(SUPERVISORS!R$3,KPI!$B$1:$T$1,0),FALSE),"-")</f>
        <v>0.15</v>
      </c>
      <c r="S7" s="75">
        <f>IFERROR(VLOOKUP($E7,KPI!$B:$T,MATCH(SUPERVISORS!S$3,KPI!$B$1:$T$1,0),FALSE),"-")</f>
        <v>0.1</v>
      </c>
      <c r="T7" s="488"/>
      <c r="U7" s="75">
        <f>IFERROR(VLOOKUP($E7,KPI!$B:$T,MATCH(SUPERVISORS!U$3,KPI!$B$1:$T$1,0),FALSE),"-")</f>
        <v>0.1</v>
      </c>
      <c r="V7" s="75">
        <f>IFERROR(VLOOKUP($E7,KPI!$B:$T,MATCH(SUPERVISORS!V$3,KPI!$B$1:$T$1,0),FALSE),"-")</f>
        <v>0.1</v>
      </c>
      <c r="W7" s="75">
        <f>IFERROR(VLOOKUP($E7,KPI!$B:$T,MATCH(SUPERVISORS!W$3,KPI!$B$1:$T$1,0),FALSE),"-")</f>
        <v>0.1</v>
      </c>
      <c r="X7" s="75" t="str">
        <f>IFERROR(VLOOKUP($E7,KPI!$B:$T,MATCH(SUPERVISORS!X$3,KPI!$B$1:$T$1,0),FALSE),"-")</f>
        <v>-</v>
      </c>
      <c r="Y7" s="75">
        <f>IFERROR(VLOOKUP($E7,KPI!$B:$T,MATCH(SUPERVISORS!Y$3,KPI!$B$1:$T$1,0),FALSE),"-")</f>
        <v>0.05</v>
      </c>
      <c r="Z7" s="75" t="str">
        <f>IFERROR(VLOOKUP($E7,KPI!$B:$T,MATCH(SUPERVISORS!Z$3,KPI!$B$1:$T$1,0),FALSE),"-")</f>
        <v>-</v>
      </c>
      <c r="AA7" s="75" t="str">
        <f>IFERROR(VLOOKUP($E7,KPI!$B:$T,MATCH(SUPERVISORS!AA$3,KPI!$B$1:$T$1,0),FALSE),"-")</f>
        <v>-</v>
      </c>
      <c r="AB7" s="75">
        <f>IFERROR(VLOOKUP($E7,KPI!$B:$T,MATCH(SUPERVISORS!AB$3,KPI!$B$1:$T$1,0),FALSE),"-")</f>
        <v>0.05</v>
      </c>
      <c r="AC7" s="50" t="str">
        <f>IFERROR(VLOOKUP($D7,'PRODUCTIVITY RAW'!$C:$Q,15,FALSE),"-")</f>
        <v>-</v>
      </c>
      <c r="AD7" s="50" t="str">
        <f>IF(SUMIFS('PRODUCTIVITY RAW'!$Q:$Q,'PRODUCTIVITY RAW'!$R:$R,SUPERVISORS!AD$3,'PRODUCTIVITY RAW'!$C:$C,SUPERVISORS!$D7)=0,"-",SUMIFS('PRODUCTIVITY RAW'!$Q:$Q,'PRODUCTIVITY RAW'!$R:$R,SUPERVISORS!AD$3,'PRODUCTIVITY RAW'!$C:$C,SUPERVISORS!$D7))</f>
        <v>-</v>
      </c>
      <c r="AE7" s="50" t="str">
        <f>IFERROR(VLOOKUP($C7,'QA RAW'!$L:$S,8,FALSE),"-")</f>
        <v>-</v>
      </c>
      <c r="AF7" s="50" t="str">
        <f>IFERROR(VLOOKUP($D7,'CHURN RAW'!$D:$H,5,FALSE),"-")</f>
        <v>-</v>
      </c>
      <c r="AG7" s="50" t="str">
        <f>IFERROR(IF(VLOOKUP($C7,'QA RAW'!$L:$U,10,FALSE)="","-",VLOOKUP($C7,'QA RAW'!$L:$U,10,FALSE)),"-")</f>
        <v>-</v>
      </c>
      <c r="AH7" s="50" t="str">
        <f>IFERROR(INDEX('ATTENDANCE RAW'!$AI:$AI,MATCH(SUPERVISORS!$C7,'ATTENDANCE RAW'!$AK:$AK,0)),"-")</f>
        <v>-</v>
      </c>
      <c r="AI7" s="50">
        <f>IFERROR(VLOOKUP($C7,'ATTRITION RAW'!$A:$C,3,FALSE),"-")</f>
        <v>1</v>
      </c>
      <c r="AJ7" s="486"/>
      <c r="AK7" s="50" t="str">
        <f>IFERROR(VLOOKUP($C7,'KC RAW'!$L:$O,4,FALSE),"-")</f>
        <v>-</v>
      </c>
      <c r="AL7" s="50" t="str">
        <f>IFERROR(VLOOKUP($C7,'TL CALIBRATION RAW'!$K:$R,8,FALSE),"-")</f>
        <v>-</v>
      </c>
      <c r="AM7" s="50" t="str">
        <f>IFERROR(VLOOKUP($C7,'COACHING RAW'!$A:$K,11,FALSE),"-")</f>
        <v>-</v>
      </c>
      <c r="AN7" s="74"/>
      <c r="AO7" s="73">
        <v>0</v>
      </c>
      <c r="AP7" s="50" t="str">
        <f>IFERROR(VLOOKUP($C7,'CE RAW'!$I:$P,8,FALSE),"-")</f>
        <v>-</v>
      </c>
      <c r="AQ7" s="50" t="str">
        <f>IFERROR(VLOOKUP($C7,'FCR RAW'!$A:$G,7,FALSE),"-")</f>
        <v>-</v>
      </c>
      <c r="AR7" s="50" t="str">
        <f>IFERROR(IF(VLOOKUP($C7,'BONUS RAW'!$D:$I,6,FALSE)=100%,100%,"-"),"-")</f>
        <v>-</v>
      </c>
      <c r="AS7" s="52">
        <f t="shared" si="2"/>
        <v>0.11111111111111112</v>
      </c>
      <c r="AT7" s="56">
        <f t="shared" si="3"/>
        <v>12</v>
      </c>
      <c r="AU7" s="656">
        <f t="shared" si="4"/>
        <v>0.11111111111111112</v>
      </c>
      <c r="AV7" s="656">
        <f t="shared" si="5"/>
        <v>0.10526315789473684</v>
      </c>
      <c r="AW7"/>
      <c r="AX7" s="16"/>
    </row>
    <row r="8" spans="1:50" s="2" customFormat="1">
      <c r="A8" s="10"/>
      <c r="B8" s="3">
        <f t="shared" si="1"/>
        <v>5</v>
      </c>
      <c r="C8" s="3">
        <v>10072072</v>
      </c>
      <c r="D8" s="3" t="s">
        <v>169</v>
      </c>
      <c r="E8" s="3" t="s">
        <v>262</v>
      </c>
      <c r="F8" s="3" t="s">
        <v>170</v>
      </c>
      <c r="G8" s="3" t="s">
        <v>170</v>
      </c>
      <c r="H8" s="3" t="s">
        <v>85</v>
      </c>
      <c r="I8" s="3" t="s">
        <v>263</v>
      </c>
      <c r="J8" s="8"/>
      <c r="K8" s="8"/>
      <c r="L8" s="27" t="str">
        <f t="shared" si="0"/>
        <v>Beginner</v>
      </c>
      <c r="M8" s="75">
        <f>IFERROR(VLOOKUP($E8,KPI!$B:$T,MATCH(SUPERVISORS!M$3,KPI!$B$1:$T$1,0),FALSE),"-")</f>
        <v>0.12</v>
      </c>
      <c r="N8" s="75" t="str">
        <f>IFERROR(VLOOKUP($E8,KPI!$B:$T,MATCH(SUPERVISORS!N$3,KPI!$B$1:$T$1,0),FALSE),"-")</f>
        <v>-</v>
      </c>
      <c r="O8" s="75">
        <f>IFERROR(VLOOKUP($E8,KPI!$B:$T,MATCH(SUPERVISORS!O$3,KPI!$B$1:$T$1,0),FALSE),"-")</f>
        <v>0.08</v>
      </c>
      <c r="P8" s="75">
        <f>IFERROR(VLOOKUP($E8,KPI!$B:$T,MATCH(SUPERVISORS!P$3,KPI!$B$1:$T$1,0),FALSE),"-")</f>
        <v>0.1</v>
      </c>
      <c r="Q8" s="75" t="str">
        <f>IFERROR(VLOOKUP($E8,KPI!$B:$T,MATCH(SUPERVISORS!Q$3,KPI!$B$1:$T$1,0),FALSE),"-")</f>
        <v>-</v>
      </c>
      <c r="R8" s="75">
        <f>IFERROR(VLOOKUP($E8,KPI!$B:$T,MATCH(SUPERVISORS!R$3,KPI!$B$1:$T$1,0),FALSE),"-")</f>
        <v>0.15</v>
      </c>
      <c r="S8" s="75">
        <f>IFERROR(VLOOKUP($E8,KPI!$B:$T,MATCH(SUPERVISORS!S$3,KPI!$B$1:$T$1,0),FALSE),"-")</f>
        <v>0.1</v>
      </c>
      <c r="T8" s="75">
        <f>IFERROR(VLOOKUP($E8,KPI!$B:$T,MATCH(SUPERVISORS!T$3,KPI!$B$1:$T$1,0),FALSE),"-")</f>
        <v>0.05</v>
      </c>
      <c r="U8" s="75">
        <f>IFERROR(VLOOKUP($E8,KPI!$B:$T,MATCH(SUPERVISORS!U$3,KPI!$B$1:$T$1,0),FALSE),"-")</f>
        <v>0.1</v>
      </c>
      <c r="V8" s="75">
        <f>IFERROR(VLOOKUP($E8,KPI!$B:$T,MATCH(SUPERVISORS!V$3,KPI!$B$1:$T$1,0),FALSE),"-")</f>
        <v>0.1</v>
      </c>
      <c r="W8" s="75">
        <f>IFERROR(VLOOKUP($E8,KPI!$B:$T,MATCH(SUPERVISORS!W$3,KPI!$B$1:$T$1,0),FALSE),"-")</f>
        <v>0.1</v>
      </c>
      <c r="X8" s="75" t="str">
        <f>IFERROR(VLOOKUP($E8,KPI!$B:$T,MATCH(SUPERVISORS!X$3,KPI!$B$1:$T$1,0),FALSE),"-")</f>
        <v>-</v>
      </c>
      <c r="Y8" s="75">
        <f>IFERROR(VLOOKUP($E8,KPI!$B:$T,MATCH(SUPERVISORS!Y$3,KPI!$B$1:$T$1,0),FALSE),"-")</f>
        <v>0.05</v>
      </c>
      <c r="Z8" s="75" t="str">
        <f>IFERROR(VLOOKUP($E8,KPI!$B:$T,MATCH(SUPERVISORS!Z$3,KPI!$B$1:$T$1,0),FALSE),"-")</f>
        <v>-</v>
      </c>
      <c r="AA8" s="75" t="str">
        <f>IFERROR(VLOOKUP($E8,KPI!$B:$T,MATCH(SUPERVISORS!AA$3,KPI!$B$1:$T$1,0),FALSE),"-")</f>
        <v>-</v>
      </c>
      <c r="AB8" s="75">
        <f>IFERROR(VLOOKUP($E8,KPI!$B:$T,MATCH(SUPERVISORS!AB$3,KPI!$B$1:$T$1,0),FALSE),"-")</f>
        <v>0.05</v>
      </c>
      <c r="AC8" s="50">
        <f>IFERROR(VLOOKUP($D8,'PRODUCTIVITY RAW'!$C:$Q,15,FALSE),"-")</f>
        <v>1</v>
      </c>
      <c r="AD8" s="50" t="str">
        <f>IF(SUMIFS('PRODUCTIVITY RAW'!$Q:$Q,'PRODUCTIVITY RAW'!$R:$R,SUPERVISORS!AD$3,'PRODUCTIVITY RAW'!$C:$C,SUPERVISORS!$D8)=0,"-",SUMIFS('PRODUCTIVITY RAW'!$Q:$Q,'PRODUCTIVITY RAW'!$R:$R,SUPERVISORS!AD$3,'PRODUCTIVITY RAW'!$C:$C,SUPERVISORS!$D8))</f>
        <v>-</v>
      </c>
      <c r="AE8" s="50">
        <f>IFERROR(VLOOKUP($C8,'QA RAW'!$L:$S,8,FALSE),"-")</f>
        <v>0.99604285714285701</v>
      </c>
      <c r="AF8" s="50">
        <f>IFERROR(VLOOKUP($D8,'CHURN RAW'!$D:$H,5,FALSE),"-")</f>
        <v>0.8</v>
      </c>
      <c r="AG8" s="50" t="str">
        <f>IFERROR(IF(VLOOKUP($C8,'QA RAW'!$L:$U,10,FALSE)="","-",VLOOKUP($C8,'QA RAW'!$L:$U,10,FALSE)),"-")</f>
        <v>-</v>
      </c>
      <c r="AH8" s="50">
        <f>IFERROR(INDEX('ATTENDANCE RAW'!$AI:$AI,MATCH(SUPERVISORS!$C8,'ATTENDANCE RAW'!$AK:$AK,0)),"-")</f>
        <v>0.99675324675324672</v>
      </c>
      <c r="AI8" s="50">
        <f>IFERROR(VLOOKUP($C8,'ATTRITION RAW'!$A:$C,3,FALSE),"-")</f>
        <v>1</v>
      </c>
      <c r="AJ8" s="50">
        <f>IFERROR(VLOOKUP($C8,'KC RAW'!$L:$O,3,FALSE),"-")</f>
        <v>0.9</v>
      </c>
      <c r="AK8" s="50">
        <f>IFERROR(VLOOKUP($C8,'KC RAW'!$L:$O,4,FALSE),"-")</f>
        <v>0.74814814814814823</v>
      </c>
      <c r="AL8" s="50">
        <f>IFERROR(VLOOKUP($C8,'TL CALIBRATION RAW'!$K:$R,8,FALSE),"-")</f>
        <v>1</v>
      </c>
      <c r="AM8" s="50">
        <f>IFERROR(VLOOKUP($C8,'COACHING RAW'!$A:$K,11,FALSE),"-")</f>
        <v>1</v>
      </c>
      <c r="AN8" s="74"/>
      <c r="AO8" s="73">
        <v>1</v>
      </c>
      <c r="AP8" s="50" t="str">
        <f>IFERROR(VLOOKUP($C8,'CE RAW'!$I:$P,8,FALSE),"-")</f>
        <v>-</v>
      </c>
      <c r="AQ8" s="50" t="str">
        <f>IFERROR(VLOOKUP($C8,'FCR RAW'!$A:$G,7,FALSE),"-")</f>
        <v>-</v>
      </c>
      <c r="AR8" s="50" t="str">
        <f>IFERROR(IF(VLOOKUP($C8,'BONUS RAW'!$D:$I,6,FALSE)=100%,100%,"-"),"-")</f>
        <v>-</v>
      </c>
      <c r="AS8" s="52">
        <f t="shared" si="2"/>
        <v>0.94632761094655826</v>
      </c>
      <c r="AT8" s="56">
        <f t="shared" si="3"/>
        <v>3</v>
      </c>
      <c r="AU8" s="656">
        <f t="shared" si="4"/>
        <v>0.94632761094655826</v>
      </c>
      <c r="AV8" s="656">
        <f t="shared" si="5"/>
        <v>0.89901123039923037</v>
      </c>
      <c r="AW8"/>
      <c r="AX8" s="16"/>
    </row>
    <row r="9" spans="1:50" s="2" customFormat="1">
      <c r="A9" s="10"/>
      <c r="B9" s="3">
        <f t="shared" si="1"/>
        <v>6</v>
      </c>
      <c r="C9" s="3">
        <v>10071099</v>
      </c>
      <c r="D9" s="3" t="s">
        <v>214</v>
      </c>
      <c r="E9" s="3" t="s">
        <v>262</v>
      </c>
      <c r="F9" s="3" t="s">
        <v>170</v>
      </c>
      <c r="G9" s="3" t="s">
        <v>170</v>
      </c>
      <c r="H9" s="3" t="s">
        <v>85</v>
      </c>
      <c r="I9" s="3" t="s">
        <v>263</v>
      </c>
      <c r="J9" s="8"/>
      <c r="K9" s="8"/>
      <c r="L9" s="27" t="str">
        <f t="shared" si="0"/>
        <v>Beginner</v>
      </c>
      <c r="M9" s="75">
        <f>IFERROR(VLOOKUP($E9,KPI!$B:$T,MATCH(SUPERVISORS!M$3,KPI!$B$1:$T$1,0),FALSE),"-")</f>
        <v>0.12</v>
      </c>
      <c r="N9" s="75" t="str">
        <f>IFERROR(VLOOKUP($E9,KPI!$B:$T,MATCH(SUPERVISORS!N$3,KPI!$B$1:$T$1,0),FALSE),"-")</f>
        <v>-</v>
      </c>
      <c r="O9" s="75">
        <f>IFERROR(VLOOKUP($E9,KPI!$B:$T,MATCH(SUPERVISORS!O$3,KPI!$B$1:$T$1,0),FALSE),"-")</f>
        <v>0.08</v>
      </c>
      <c r="P9" s="75">
        <f>IFERROR(VLOOKUP($E9,KPI!$B:$T,MATCH(SUPERVISORS!P$3,KPI!$B$1:$T$1,0),FALSE),"-")</f>
        <v>0.1</v>
      </c>
      <c r="Q9" s="75" t="str">
        <f>IFERROR(VLOOKUP($E9,KPI!$B:$T,MATCH(SUPERVISORS!Q$3,KPI!$B$1:$T$1,0),FALSE),"-")</f>
        <v>-</v>
      </c>
      <c r="R9" s="75">
        <f>IFERROR(VLOOKUP($E9,KPI!$B:$T,MATCH(SUPERVISORS!R$3,KPI!$B$1:$T$1,0),FALSE),"-")</f>
        <v>0.15</v>
      </c>
      <c r="S9" s="75">
        <f>IFERROR(VLOOKUP($E9,KPI!$B:$T,MATCH(SUPERVISORS!S$3,KPI!$B$1:$T$1,0),FALSE),"-")</f>
        <v>0.1</v>
      </c>
      <c r="T9" s="75">
        <f>IFERROR(VLOOKUP($E9,KPI!$B:$T,MATCH(SUPERVISORS!T$3,KPI!$B$1:$T$1,0),FALSE),"-")</f>
        <v>0.05</v>
      </c>
      <c r="U9" s="75">
        <f>IFERROR(VLOOKUP($E9,KPI!$B:$T,MATCH(SUPERVISORS!U$3,KPI!$B$1:$T$1,0),FALSE),"-")</f>
        <v>0.1</v>
      </c>
      <c r="V9" s="75">
        <f>IFERROR(VLOOKUP($E9,KPI!$B:$T,MATCH(SUPERVISORS!V$3,KPI!$B$1:$T$1,0),FALSE),"-")</f>
        <v>0.1</v>
      </c>
      <c r="W9" s="75">
        <f>IFERROR(VLOOKUP($E9,KPI!$B:$T,MATCH(SUPERVISORS!W$3,KPI!$B$1:$T$1,0),FALSE),"-")</f>
        <v>0.1</v>
      </c>
      <c r="X9" s="75" t="str">
        <f>IFERROR(VLOOKUP($E9,KPI!$B:$T,MATCH(SUPERVISORS!X$3,KPI!$B$1:$T$1,0),FALSE),"-")</f>
        <v>-</v>
      </c>
      <c r="Y9" s="75">
        <f>IFERROR(VLOOKUP($E9,KPI!$B:$T,MATCH(SUPERVISORS!Y$3,KPI!$B$1:$T$1,0),FALSE),"-")</f>
        <v>0.05</v>
      </c>
      <c r="Z9" s="75" t="str">
        <f>IFERROR(VLOOKUP($E9,KPI!$B:$T,MATCH(SUPERVISORS!Z$3,KPI!$B$1:$T$1,0),FALSE),"-")</f>
        <v>-</v>
      </c>
      <c r="AA9" s="75" t="str">
        <f>IFERROR(VLOOKUP($E9,KPI!$B:$T,MATCH(SUPERVISORS!AA$3,KPI!$B$1:$T$1,0),FALSE),"-")</f>
        <v>-</v>
      </c>
      <c r="AB9" s="75">
        <f>IFERROR(VLOOKUP($E9,KPI!$B:$T,MATCH(SUPERVISORS!AB$3,KPI!$B$1:$T$1,0),FALSE),"-")</f>
        <v>0.05</v>
      </c>
      <c r="AC9" s="50">
        <f>IFERROR(VLOOKUP($D9,'PRODUCTIVITY RAW'!$C:$Q,15,FALSE),"-")</f>
        <v>1</v>
      </c>
      <c r="AD9" s="50" t="str">
        <f>IF(SUMIFS('PRODUCTIVITY RAW'!$Q:$Q,'PRODUCTIVITY RAW'!$R:$R,SUPERVISORS!AD$3,'PRODUCTIVITY RAW'!$C:$C,SUPERVISORS!$D9)=0,"-",SUMIFS('PRODUCTIVITY RAW'!$Q:$Q,'PRODUCTIVITY RAW'!$R:$R,SUPERVISORS!AD$3,'PRODUCTIVITY RAW'!$C:$C,SUPERVISORS!$D9))</f>
        <v>-</v>
      </c>
      <c r="AE9" s="50">
        <f>IFERROR(VLOOKUP($C9,'QA RAW'!$L:$S,8,FALSE),"-")</f>
        <v>0.9977499999999998</v>
      </c>
      <c r="AF9" s="50">
        <f>IFERROR(VLOOKUP($D9,'CHURN RAW'!$D:$H,5,FALSE),"-")</f>
        <v>0.9</v>
      </c>
      <c r="AG9" s="50" t="str">
        <f>IFERROR(IF(VLOOKUP($C9,'QA RAW'!$L:$U,10,FALSE)="","-",VLOOKUP($C9,'QA RAW'!$L:$U,10,FALSE)),"-")</f>
        <v>-</v>
      </c>
      <c r="AH9" s="50">
        <f>IFERROR(INDEX('ATTENDANCE RAW'!$AI:$AI,MATCH(SUPERVISORS!$C9,'ATTENDANCE RAW'!$AK:$AK,0)),"-")</f>
        <v>0.9825174825174825</v>
      </c>
      <c r="AI9" s="50">
        <f>IFERROR(VLOOKUP($C9,'ATTRITION RAW'!$A:$C,3,FALSE),"-")</f>
        <v>1</v>
      </c>
      <c r="AJ9" s="50">
        <f>IFERROR(VLOOKUP($C9,'KC RAW'!$L:$O,3,FALSE),"-")</f>
        <v>0.75</v>
      </c>
      <c r="AK9" s="50">
        <f>IFERROR(VLOOKUP($C9,'KC RAW'!$L:$O,4,FALSE),"-")</f>
        <v>0.75416666666666654</v>
      </c>
      <c r="AL9" s="50">
        <f>IFERROR(VLOOKUP($C9,'TL CALIBRATION RAW'!$K:$R,8,FALSE),"-")</f>
        <v>0.6</v>
      </c>
      <c r="AM9" s="50">
        <f>IFERROR(VLOOKUP($C9,'COACHING RAW'!$A:$K,11,FALSE),"-")</f>
        <v>1</v>
      </c>
      <c r="AN9" s="74"/>
      <c r="AO9" s="73">
        <v>0</v>
      </c>
      <c r="AP9" s="50" t="str">
        <f>IFERROR(VLOOKUP($C9,'CE RAW'!$I:$P,8,FALSE),"-")</f>
        <v>-</v>
      </c>
      <c r="AQ9" s="50" t="str">
        <f>IFERROR(VLOOKUP($C9,'FCR RAW'!$A:$G,7,FALSE),"-")</f>
        <v>-</v>
      </c>
      <c r="AR9" s="50">
        <f>IFERROR(IF(VLOOKUP($C9,'BONUS RAW'!$D:$I,6,FALSE)=100%,100%,"-"),"-")</f>
        <v>1</v>
      </c>
      <c r="AS9" s="52">
        <f t="shared" si="2"/>
        <v>0.8601142890442891</v>
      </c>
      <c r="AT9" s="56">
        <f t="shared" si="3"/>
        <v>9</v>
      </c>
      <c r="AU9" s="656">
        <f t="shared" si="4"/>
        <v>0.85275188320451478</v>
      </c>
      <c r="AV9" s="656">
        <f t="shared" si="5"/>
        <v>0.8601142890442891</v>
      </c>
      <c r="AW9"/>
      <c r="AX9" s="16"/>
    </row>
    <row r="10" spans="1:50" s="2" customFormat="1">
      <c r="A10" s="10"/>
      <c r="B10" s="3">
        <f t="shared" si="1"/>
        <v>7</v>
      </c>
      <c r="C10" s="3">
        <v>10071309</v>
      </c>
      <c r="D10" s="3" t="s">
        <v>200</v>
      </c>
      <c r="E10" s="3" t="s">
        <v>262</v>
      </c>
      <c r="F10" s="3" t="s">
        <v>170</v>
      </c>
      <c r="G10" s="3" t="s">
        <v>170</v>
      </c>
      <c r="H10" s="3" t="s">
        <v>85</v>
      </c>
      <c r="I10" s="3" t="s">
        <v>263</v>
      </c>
      <c r="J10" s="8"/>
      <c r="K10" s="8"/>
      <c r="L10" s="27" t="str">
        <f t="shared" si="0"/>
        <v>Beginner</v>
      </c>
      <c r="M10" s="75">
        <f>IFERROR(VLOOKUP($E10,KPI!$B:$T,MATCH(SUPERVISORS!M$3,KPI!$B$1:$T$1,0),FALSE),"-")</f>
        <v>0.12</v>
      </c>
      <c r="N10" s="75" t="str">
        <f>IFERROR(VLOOKUP($E10,KPI!$B:$T,MATCH(SUPERVISORS!N$3,KPI!$B$1:$T$1,0),FALSE),"-")</f>
        <v>-</v>
      </c>
      <c r="O10" s="75">
        <f>IFERROR(VLOOKUP($E10,KPI!$B:$T,MATCH(SUPERVISORS!O$3,KPI!$B$1:$T$1,0),FALSE),"-")</f>
        <v>0.08</v>
      </c>
      <c r="P10" s="75">
        <f>IFERROR(VLOOKUP($E10,KPI!$B:$T,MATCH(SUPERVISORS!P$3,KPI!$B$1:$T$1,0),FALSE),"-")</f>
        <v>0.1</v>
      </c>
      <c r="Q10" s="75" t="str">
        <f>IFERROR(VLOOKUP($E10,KPI!$B:$T,MATCH(SUPERVISORS!Q$3,KPI!$B$1:$T$1,0),FALSE),"-")</f>
        <v>-</v>
      </c>
      <c r="R10" s="75">
        <f>IFERROR(VLOOKUP($E10,KPI!$B:$T,MATCH(SUPERVISORS!R$3,KPI!$B$1:$T$1,0),FALSE),"-")</f>
        <v>0.15</v>
      </c>
      <c r="S10" s="75">
        <f>IFERROR(VLOOKUP($E10,KPI!$B:$T,MATCH(SUPERVISORS!S$3,KPI!$B$1:$T$1,0),FALSE),"-")</f>
        <v>0.1</v>
      </c>
      <c r="T10" s="488">
        <f>IFERROR(VLOOKUP($E10,KPI!$B:$T,MATCH(SUPERVISORS!T$3,KPI!$B$1:$T$1,0),FALSE),"-")</f>
        <v>0.05</v>
      </c>
      <c r="U10" s="75">
        <f>IFERROR(VLOOKUP($E10,KPI!$B:$T,MATCH(SUPERVISORS!U$3,KPI!$B$1:$T$1,0),FALSE),"-")</f>
        <v>0.1</v>
      </c>
      <c r="V10" s="75">
        <f>IFERROR(VLOOKUP($E10,KPI!$B:$T,MATCH(SUPERVISORS!V$3,KPI!$B$1:$T$1,0),FALSE),"-")</f>
        <v>0.1</v>
      </c>
      <c r="W10" s="75">
        <f>IFERROR(VLOOKUP($E10,KPI!$B:$T,MATCH(SUPERVISORS!W$3,KPI!$B$1:$T$1,0),FALSE),"-")</f>
        <v>0.1</v>
      </c>
      <c r="X10" s="75" t="str">
        <f>IFERROR(VLOOKUP($E10,KPI!$B:$T,MATCH(SUPERVISORS!X$3,KPI!$B$1:$T$1,0),FALSE),"-")</f>
        <v>-</v>
      </c>
      <c r="Y10" s="75">
        <f>IFERROR(VLOOKUP($E10,KPI!$B:$T,MATCH(SUPERVISORS!Y$3,KPI!$B$1:$T$1,0),FALSE),"-")</f>
        <v>0.05</v>
      </c>
      <c r="Z10" s="75" t="str">
        <f>IFERROR(VLOOKUP($E10,KPI!$B:$T,MATCH(SUPERVISORS!Z$3,KPI!$B$1:$T$1,0),FALSE),"-")</f>
        <v>-</v>
      </c>
      <c r="AA10" s="75" t="str">
        <f>IFERROR(VLOOKUP($E10,KPI!$B:$T,MATCH(SUPERVISORS!AA$3,KPI!$B$1:$T$1,0),FALSE),"-")</f>
        <v>-</v>
      </c>
      <c r="AB10" s="75">
        <f>IFERROR(VLOOKUP($E10,KPI!$B:$T,MATCH(SUPERVISORS!AB$3,KPI!$B$1:$T$1,0),FALSE),"-")</f>
        <v>0.05</v>
      </c>
      <c r="AC10" s="50">
        <f>IFERROR(VLOOKUP($D10,'PRODUCTIVITY RAW'!$C:$Q,15,FALSE),"-")</f>
        <v>0.86193885668826031</v>
      </c>
      <c r="AD10" s="50" t="str">
        <f>IF(SUMIFS('PRODUCTIVITY RAW'!$Q:$Q,'PRODUCTIVITY RAW'!$R:$R,SUPERVISORS!AD$3,'PRODUCTIVITY RAW'!$C:$C,SUPERVISORS!$D10)=0,"-",SUMIFS('PRODUCTIVITY RAW'!$Q:$Q,'PRODUCTIVITY RAW'!$R:$R,SUPERVISORS!AD$3,'PRODUCTIVITY RAW'!$C:$C,SUPERVISORS!$D10))</f>
        <v>-</v>
      </c>
      <c r="AE10" s="50">
        <f>IFERROR(VLOOKUP($C10,'QA RAW'!$L:$S,8,FALSE),"-")</f>
        <v>0.99670769230769229</v>
      </c>
      <c r="AF10" s="50">
        <f>IFERROR(VLOOKUP($D10,'CHURN RAW'!$D:$H,5,FALSE),"-")</f>
        <v>0.8</v>
      </c>
      <c r="AG10" s="50" t="str">
        <f>IFERROR(IF(VLOOKUP($C10,'QA RAW'!$L:$U,10,FALSE)="","-",VLOOKUP($C10,'QA RAW'!$L:$U,10,FALSE)),"-")</f>
        <v>-</v>
      </c>
      <c r="AH10" s="50">
        <f>IFERROR(INDEX('ATTENDANCE RAW'!$AI:$AI,MATCH(SUPERVISORS!$C10,'ATTENDANCE RAW'!$AK:$AK,0)),"-")</f>
        <v>0.965034965034965</v>
      </c>
      <c r="AI10" s="50">
        <f>IFERROR(VLOOKUP($C10,'ATTRITION RAW'!$A:$C,3,FALSE),"-")</f>
        <v>1</v>
      </c>
      <c r="AJ10" s="486">
        <v>1</v>
      </c>
      <c r="AK10" s="50">
        <f>IFERROR(VLOOKUP($C10,'KC RAW'!$L:$O,4,FALSE),"-")</f>
        <v>0.78076923076923077</v>
      </c>
      <c r="AL10" s="50">
        <f>IFERROR(VLOOKUP($C10,'TL CALIBRATION RAW'!$K:$R,8,FALSE),"-")</f>
        <v>1</v>
      </c>
      <c r="AM10" s="50">
        <f>IFERROR(VLOOKUP($C10,'COACHING RAW'!$A:$K,11,FALSE),"-")</f>
        <v>1</v>
      </c>
      <c r="AN10" s="74"/>
      <c r="AO10" s="73">
        <v>1</v>
      </c>
      <c r="AP10" s="50" t="str">
        <f>IFERROR(VLOOKUP($C10,'CE RAW'!$I:$P,8,FALSE),"-")</f>
        <v>-</v>
      </c>
      <c r="AQ10" s="50" t="str">
        <f>IFERROR(VLOOKUP($C10,'FCR RAW'!$A:$G,7,FALSE),"-")</f>
        <v>-</v>
      </c>
      <c r="AR10" s="50" t="str">
        <f>IFERROR(IF(VLOOKUP($C10,'BONUS RAW'!$D:$I,6,FALSE)=100%,100%,"-"),"-")</f>
        <v>-</v>
      </c>
      <c r="AS10" s="52">
        <f t="shared" si="2"/>
        <v>0.93263310107302566</v>
      </c>
      <c r="AT10" s="56">
        <f t="shared" si="3"/>
        <v>4</v>
      </c>
      <c r="AU10" s="656">
        <f t="shared" si="4"/>
        <v>0.93263310107302566</v>
      </c>
      <c r="AV10" s="656">
        <f t="shared" si="5"/>
        <v>0.88600144601937447</v>
      </c>
      <c r="AW10"/>
      <c r="AX10" s="16"/>
    </row>
    <row r="11" spans="1:50" s="2" customFormat="1">
      <c r="A11" s="10"/>
      <c r="B11" s="3">
        <f t="shared" si="1"/>
        <v>8</v>
      </c>
      <c r="C11" s="3">
        <v>10072501</v>
      </c>
      <c r="D11" s="3" t="s">
        <v>186</v>
      </c>
      <c r="E11" s="3" t="s">
        <v>262</v>
      </c>
      <c r="F11" s="3" t="s">
        <v>170</v>
      </c>
      <c r="G11" s="3" t="s">
        <v>170</v>
      </c>
      <c r="H11" s="3" t="s">
        <v>85</v>
      </c>
      <c r="I11" s="3" t="s">
        <v>263</v>
      </c>
      <c r="J11" s="8"/>
      <c r="K11" s="8"/>
      <c r="L11" s="27" t="str">
        <f t="shared" si="0"/>
        <v>Beginner</v>
      </c>
      <c r="M11" s="75">
        <f>IFERROR(VLOOKUP($E11,KPI!$B:$T,MATCH(SUPERVISORS!M$3,KPI!$B$1:$T$1,0),FALSE),"-")</f>
        <v>0.12</v>
      </c>
      <c r="N11" s="75" t="str">
        <f>IFERROR(VLOOKUP($E11,KPI!$B:$T,MATCH(SUPERVISORS!N$3,KPI!$B$1:$T$1,0),FALSE),"-")</f>
        <v>-</v>
      </c>
      <c r="O11" s="75">
        <f>IFERROR(VLOOKUP($E11,KPI!$B:$T,MATCH(SUPERVISORS!O$3,KPI!$B$1:$T$1,0),FALSE),"-")</f>
        <v>0.08</v>
      </c>
      <c r="P11" s="75">
        <f>IFERROR(VLOOKUP($E11,KPI!$B:$T,MATCH(SUPERVISORS!P$3,KPI!$B$1:$T$1,0),FALSE),"-")</f>
        <v>0.1</v>
      </c>
      <c r="Q11" s="75" t="str">
        <f>IFERROR(VLOOKUP($E11,KPI!$B:$T,MATCH(SUPERVISORS!Q$3,KPI!$B$1:$T$1,0),FALSE),"-")</f>
        <v>-</v>
      </c>
      <c r="R11" s="75">
        <f>IFERROR(VLOOKUP($E11,KPI!$B:$T,MATCH(SUPERVISORS!R$3,KPI!$B$1:$T$1,0),FALSE),"-")</f>
        <v>0.15</v>
      </c>
      <c r="S11" s="75">
        <f>IFERROR(VLOOKUP($E11,KPI!$B:$T,MATCH(SUPERVISORS!S$3,KPI!$B$1:$T$1,0),FALSE),"-")</f>
        <v>0.1</v>
      </c>
      <c r="T11" s="75">
        <f>IFERROR(VLOOKUP($E11,KPI!$B:$T,MATCH(SUPERVISORS!T$3,KPI!$B$1:$T$1,0),FALSE),"-")</f>
        <v>0.05</v>
      </c>
      <c r="U11" s="75">
        <f>IFERROR(VLOOKUP($E11,KPI!$B:$T,MATCH(SUPERVISORS!U$3,KPI!$B$1:$T$1,0),FALSE),"-")</f>
        <v>0.1</v>
      </c>
      <c r="V11" s="75">
        <f>IFERROR(VLOOKUP($E11,KPI!$B:$T,MATCH(SUPERVISORS!V$3,KPI!$B$1:$T$1,0),FALSE),"-")</f>
        <v>0.1</v>
      </c>
      <c r="W11" s="75">
        <f>IFERROR(VLOOKUP($E11,KPI!$B:$T,MATCH(SUPERVISORS!W$3,KPI!$B$1:$T$1,0),FALSE),"-")</f>
        <v>0.1</v>
      </c>
      <c r="X11" s="75" t="str">
        <f>IFERROR(VLOOKUP($E11,KPI!$B:$T,MATCH(SUPERVISORS!X$3,KPI!$B$1:$T$1,0),FALSE),"-")</f>
        <v>-</v>
      </c>
      <c r="Y11" s="75">
        <f>IFERROR(VLOOKUP($E11,KPI!$B:$T,MATCH(SUPERVISORS!Y$3,KPI!$B$1:$T$1,0),FALSE),"-")</f>
        <v>0.05</v>
      </c>
      <c r="Z11" s="75" t="str">
        <f>IFERROR(VLOOKUP($E11,KPI!$B:$T,MATCH(SUPERVISORS!Z$3,KPI!$B$1:$T$1,0),FALSE),"-")</f>
        <v>-</v>
      </c>
      <c r="AA11" s="75" t="str">
        <f>IFERROR(VLOOKUP($E11,KPI!$B:$T,MATCH(SUPERVISORS!AA$3,KPI!$B$1:$T$1,0),FALSE),"-")</f>
        <v>-</v>
      </c>
      <c r="AB11" s="75">
        <f>IFERROR(VLOOKUP($E11,KPI!$B:$T,MATCH(SUPERVISORS!AB$3,KPI!$B$1:$T$1,0),FALSE),"-")</f>
        <v>0.05</v>
      </c>
      <c r="AC11" s="50">
        <f>IFERROR(VLOOKUP($D11,'PRODUCTIVITY RAW'!$C:$Q,15,FALSE),"-")</f>
        <v>1</v>
      </c>
      <c r="AD11" s="50" t="str">
        <f>IF(SUMIFS('PRODUCTIVITY RAW'!$Q:$Q,'PRODUCTIVITY RAW'!$R:$R,SUPERVISORS!AD$3,'PRODUCTIVITY RAW'!$C:$C,SUPERVISORS!$D11)=0,"-",SUMIFS('PRODUCTIVITY RAW'!$Q:$Q,'PRODUCTIVITY RAW'!$R:$R,SUPERVISORS!AD$3,'PRODUCTIVITY RAW'!$C:$C,SUPERVISORS!$D11))</f>
        <v>-</v>
      </c>
      <c r="AE11" s="50">
        <f>IFERROR(VLOOKUP($C11,'QA RAW'!$L:$S,8,FALSE),"-")</f>
        <v>0.99867307692307705</v>
      </c>
      <c r="AF11" s="50">
        <f>IFERROR(VLOOKUP($D11,'CHURN RAW'!$D:$H,5,FALSE),"-")</f>
        <v>0.9</v>
      </c>
      <c r="AG11" s="50" t="str">
        <f>IFERROR(IF(VLOOKUP($C11,'QA RAW'!$L:$U,10,FALSE)="","-",VLOOKUP($C11,'QA RAW'!$L:$U,10,FALSE)),"-")</f>
        <v>-</v>
      </c>
      <c r="AH11" s="50">
        <f>IFERROR(INDEX('ATTENDANCE RAW'!$AI:$AI,MATCH(SUPERVISORS!$C11,'ATTENDANCE RAW'!$AK:$AK,0)),"-")</f>
        <v>0.98951048951048948</v>
      </c>
      <c r="AI11" s="50">
        <f>IFERROR(VLOOKUP($C11,'ATTRITION RAW'!$A:$C,3,FALSE),"-")</f>
        <v>1</v>
      </c>
      <c r="AJ11" s="50">
        <f>IFERROR(VLOOKUP($C11,'KC RAW'!$L:$O,3,FALSE),"-")</f>
        <v>0.85000000000000009</v>
      </c>
      <c r="AK11" s="50">
        <f>IFERROR(VLOOKUP($C11,'KC RAW'!$L:$O,4,FALSE),"-")</f>
        <v>0.73730769230769222</v>
      </c>
      <c r="AL11" s="50">
        <f>IFERROR(VLOOKUP($C11,'TL CALIBRATION RAW'!$K:$R,8,FALSE),"-")</f>
        <v>1</v>
      </c>
      <c r="AM11" s="50">
        <f>IFERROR(VLOOKUP($C11,'COACHING RAW'!$A:$K,11,FALSE),"-")</f>
        <v>1</v>
      </c>
      <c r="AN11" s="74"/>
      <c r="AO11" s="73">
        <v>1</v>
      </c>
      <c r="AP11" s="50" t="str">
        <f>IFERROR(VLOOKUP($C11,'CE RAW'!$I:$P,8,FALSE),"-")</f>
        <v>-</v>
      </c>
      <c r="AQ11" s="50" t="str">
        <f>IFERROR(VLOOKUP($C11,'FCR RAW'!$A:$G,7,FALSE),"-")</f>
        <v>-</v>
      </c>
      <c r="AR11" s="50" t="str">
        <f>IFERROR(IF(VLOOKUP($C11,'BONUS RAW'!$D:$I,6,FALSE)=100%,100%,"-"),"-")</f>
        <v>-</v>
      </c>
      <c r="AS11" s="52">
        <f t="shared" si="2"/>
        <v>0.95215914611704078</v>
      </c>
      <c r="AT11" s="56">
        <f t="shared" si="3"/>
        <v>2</v>
      </c>
      <c r="AU11" s="656">
        <f t="shared" si="4"/>
        <v>0.95215914611704078</v>
      </c>
      <c r="AV11" s="656">
        <f t="shared" si="5"/>
        <v>0.90455118881118879</v>
      </c>
      <c r="AW11"/>
      <c r="AX11" s="16"/>
    </row>
    <row r="12" spans="1:50" s="2" customFormat="1">
      <c r="A12" s="10"/>
      <c r="B12" s="3">
        <f t="shared" si="1"/>
        <v>9</v>
      </c>
      <c r="C12" s="3">
        <v>10071256</v>
      </c>
      <c r="D12" s="3" t="s">
        <v>227</v>
      </c>
      <c r="E12" s="3" t="s">
        <v>265</v>
      </c>
      <c r="F12" s="3" t="s">
        <v>106</v>
      </c>
      <c r="G12" s="3" t="s">
        <v>106</v>
      </c>
      <c r="H12" s="3" t="s">
        <v>85</v>
      </c>
      <c r="I12" s="3" t="s">
        <v>263</v>
      </c>
      <c r="J12" s="8"/>
      <c r="K12" s="8"/>
      <c r="L12" s="27" t="str">
        <f t="shared" si="0"/>
        <v>Beginner</v>
      </c>
      <c r="M12" s="75">
        <f>IFERROR(VLOOKUP($E12,KPI!$B:$T,MATCH(SUPERVISORS!M$3,KPI!$B$1:$T$1,0),FALSE),"-")</f>
        <v>0.1</v>
      </c>
      <c r="N12" s="75" t="str">
        <f>IFERROR(VLOOKUP($E12,KPI!$B:$T,MATCH(SUPERVISORS!N$3,KPI!$B$1:$T$1,0),FALSE),"-")</f>
        <v>-</v>
      </c>
      <c r="O12" s="75">
        <f>IFERROR(VLOOKUP($E12,KPI!$B:$T,MATCH(SUPERVISORS!O$3,KPI!$B$1:$T$1,0),FALSE),"-")</f>
        <v>0.05</v>
      </c>
      <c r="P12" s="75">
        <f>IFERROR(VLOOKUP($E12,KPI!$B:$T,MATCH(SUPERVISORS!P$3,KPI!$B$1:$T$1,0),FALSE),"-")</f>
        <v>0.1</v>
      </c>
      <c r="Q12" s="75" t="str">
        <f>IFERROR(VLOOKUP($E12,KPI!$B:$T,MATCH(SUPERVISORS!Q$3,KPI!$B$1:$T$1,0),FALSE),"-")</f>
        <v>-</v>
      </c>
      <c r="R12" s="75">
        <f>IFERROR(VLOOKUP($E12,KPI!$B:$T,MATCH(SUPERVISORS!R$3,KPI!$B$1:$T$1,0),FALSE),"-")</f>
        <v>0.15</v>
      </c>
      <c r="S12" s="75">
        <f>IFERROR(VLOOKUP($E12,KPI!$B:$T,MATCH(SUPERVISORS!S$3,KPI!$B$1:$T$1,0),FALSE),"-")</f>
        <v>0.1</v>
      </c>
      <c r="T12" s="75">
        <f>IFERROR(VLOOKUP($E12,KPI!$B:$T,MATCH(SUPERVISORS!T$3,KPI!$B$1:$T$1,0),FALSE),"-")</f>
        <v>0.03</v>
      </c>
      <c r="U12" s="75">
        <f>IFERROR(VLOOKUP($E12,KPI!$B:$T,MATCH(SUPERVISORS!U$3,KPI!$B$1:$T$1,0),FALSE),"-")</f>
        <v>7.0000000000000007E-2</v>
      </c>
      <c r="V12" s="75" t="str">
        <f>IFERROR(VLOOKUP($E12,KPI!$B:$T,MATCH(SUPERVISORS!V$3,KPI!$B$1:$T$1,0),FALSE),"-")</f>
        <v>-</v>
      </c>
      <c r="W12" s="75">
        <f>IFERROR(VLOOKUP($E12,KPI!$B:$T,MATCH(SUPERVISORS!W$3,KPI!$B$1:$T$1,0),FALSE),"-")</f>
        <v>0.08</v>
      </c>
      <c r="X12" s="75" t="str">
        <f>IFERROR(VLOOKUP($E12,KPI!$B:$T,MATCH(SUPERVISORS!X$3,KPI!$B$1:$T$1,0),FALSE),"-")</f>
        <v>-</v>
      </c>
      <c r="Y12" s="75">
        <f>IFERROR(VLOOKUP($E12,KPI!$B:$T,MATCH(SUPERVISORS!Y$3,KPI!$B$1:$T$1,0),FALSE),"-")</f>
        <v>0.05</v>
      </c>
      <c r="Z12" s="75">
        <f>IFERROR(VLOOKUP($E12,KPI!$B:$T,MATCH(SUPERVISORS!Z$3,KPI!$B$1:$T$1,0),FALSE),"-")</f>
        <v>0.12</v>
      </c>
      <c r="AA12" s="75">
        <f>IFERROR(VLOOKUP($E12,KPI!$B:$T,MATCH(SUPERVISORS!AA$3,KPI!$B$1:$T$1,0),FALSE),"-")</f>
        <v>0.1</v>
      </c>
      <c r="AB12" s="75">
        <f>IFERROR(VLOOKUP($E12,KPI!$B:$T,MATCH(SUPERVISORS!AB$3,KPI!$B$1:$T$1,0),FALSE),"-")</f>
        <v>0.05</v>
      </c>
      <c r="AC12" s="50">
        <f>IFERROR(VLOOKUP($D12,'PRODUCTIVITY RAW'!$C:$Q,15,FALSE),"-")</f>
        <v>1</v>
      </c>
      <c r="AD12" s="50" t="str">
        <f>IF(SUMIFS('PRODUCTIVITY RAW'!$Q:$Q,'PRODUCTIVITY RAW'!$R:$R,SUPERVISORS!AD$3,'PRODUCTIVITY RAW'!$C:$C,SUPERVISORS!$D12)=0,"-",SUMIFS('PRODUCTIVITY RAW'!$Q:$Q,'PRODUCTIVITY RAW'!$R:$R,SUPERVISORS!AD$3,'PRODUCTIVITY RAW'!$C:$C,SUPERVISORS!$D12))</f>
        <v>-</v>
      </c>
      <c r="AE12" s="50">
        <f>IFERROR(VLOOKUP($C12,'QA RAW'!$L:$S,8,FALSE),"-")</f>
        <v>1</v>
      </c>
      <c r="AF12" s="50">
        <f>IFERROR(VLOOKUP($D12,'CHURN RAW'!$D:$H,5,FALSE),"-")</f>
        <v>1</v>
      </c>
      <c r="AG12" s="50" t="str">
        <f>IFERROR(IF(VLOOKUP($C12,'QA RAW'!$L:$U,10,FALSE)="","-",VLOOKUP($C12,'QA RAW'!$L:$U,10,FALSE)),"-")</f>
        <v>-</v>
      </c>
      <c r="AH12" s="50">
        <f>IFERROR(INDEX('ATTENDANCE RAW'!$AI:$AI,MATCH(SUPERVISORS!$C12,'ATTENDANCE RAW'!$AK:$AK,0)),"-")</f>
        <v>0.90909090909090906</v>
      </c>
      <c r="AI12" s="50">
        <f>IFERROR(VLOOKUP($C12,'ATTRITION RAW'!$A:$C,3,FALSE),"-")</f>
        <v>1</v>
      </c>
      <c r="AJ12" s="50">
        <f>IFERROR(VLOOKUP($C12,'KC RAW'!$L:$O,3,FALSE),"-")</f>
        <v>0.8</v>
      </c>
      <c r="AK12" s="50">
        <f>IFERROR(VLOOKUP($C12,'KC RAW'!$L:$O,4,FALSE),"-")</f>
        <v>0.89583333333333337</v>
      </c>
      <c r="AL12" s="50" t="str">
        <f>IFERROR(VLOOKUP($C12,'TL CALIBRATION RAW'!$K:$R,8,FALSE),"-")</f>
        <v>-</v>
      </c>
      <c r="AM12" s="50">
        <f>IFERROR(VLOOKUP($C12,'COACHING RAW'!$A:$K,11,FALSE),"-")</f>
        <v>1</v>
      </c>
      <c r="AN12" s="74"/>
      <c r="AO12" s="73">
        <v>0</v>
      </c>
      <c r="AP12" s="50">
        <f>IFERROR(VLOOKUP($C12,'CE RAW'!$I:$P,8,FALSE),"-")</f>
        <v>0.97119999999999995</v>
      </c>
      <c r="AQ12" s="50">
        <f>IFERROR(VLOOKUP($C12,'FCR RAW'!$A:$G,7,FALSE),"-")</f>
        <v>0.99408284023668636</v>
      </c>
      <c r="AR12" s="50" t="str">
        <f>IFERROR(IF(VLOOKUP($C12,'BONUS RAW'!$D:$I,6,FALSE)=100%,100%,"-"),"-")</f>
        <v>-</v>
      </c>
      <c r="AS12" s="52">
        <f t="shared" si="2"/>
        <v>0.9147623723375139</v>
      </c>
      <c r="AT12" s="56">
        <f t="shared" si="3"/>
        <v>5</v>
      </c>
      <c r="AU12" s="656">
        <f t="shared" si="4"/>
        <v>0.9147623723375139</v>
      </c>
      <c r="AV12" s="656">
        <f t="shared" si="5"/>
        <v>0.8690242537206383</v>
      </c>
      <c r="AW12"/>
      <c r="AX12" s="16"/>
    </row>
    <row r="13" spans="1:50" s="2" customFormat="1">
      <c r="A13" s="10"/>
      <c r="B13" s="3">
        <f t="shared" si="1"/>
        <v>10</v>
      </c>
      <c r="C13" s="3">
        <v>10071245</v>
      </c>
      <c r="D13" s="3" t="s">
        <v>124</v>
      </c>
      <c r="E13" s="3" t="s">
        <v>265</v>
      </c>
      <c r="F13" s="3" t="s">
        <v>106</v>
      </c>
      <c r="G13" s="3" t="s">
        <v>106</v>
      </c>
      <c r="H13" s="3" t="s">
        <v>85</v>
      </c>
      <c r="I13" s="3" t="s">
        <v>263</v>
      </c>
      <c r="J13" s="8"/>
      <c r="K13" s="8"/>
      <c r="L13" s="27" t="str">
        <f t="shared" si="0"/>
        <v>Beginner</v>
      </c>
      <c r="M13" s="75">
        <f>IFERROR(VLOOKUP($E13,KPI!$B:$T,MATCH(SUPERVISORS!M$3,KPI!$B$1:$T$1,0),FALSE),"-")</f>
        <v>0.1</v>
      </c>
      <c r="N13" s="75" t="str">
        <f>IFERROR(VLOOKUP($E13,KPI!$B:$T,MATCH(SUPERVISORS!N$3,KPI!$B$1:$T$1,0),FALSE),"-")</f>
        <v>-</v>
      </c>
      <c r="O13" s="75">
        <f>IFERROR(VLOOKUP($E13,KPI!$B:$T,MATCH(SUPERVISORS!O$3,KPI!$B$1:$T$1,0),FALSE),"-")</f>
        <v>0.05</v>
      </c>
      <c r="P13" s="75">
        <f>IFERROR(VLOOKUP($E13,KPI!$B:$T,MATCH(SUPERVISORS!P$3,KPI!$B$1:$T$1,0),FALSE),"-")</f>
        <v>0.1</v>
      </c>
      <c r="Q13" s="75" t="str">
        <f>IFERROR(VLOOKUP($E13,KPI!$B:$T,MATCH(SUPERVISORS!Q$3,KPI!$B$1:$T$1,0),FALSE),"-")</f>
        <v>-</v>
      </c>
      <c r="R13" s="75">
        <f>IFERROR(VLOOKUP($E13,KPI!$B:$T,MATCH(SUPERVISORS!R$3,KPI!$B$1:$T$1,0),FALSE),"-")</f>
        <v>0.15</v>
      </c>
      <c r="S13" s="75">
        <f>IFERROR(VLOOKUP($E13,KPI!$B:$T,MATCH(SUPERVISORS!S$3,KPI!$B$1:$T$1,0),FALSE),"-")</f>
        <v>0.1</v>
      </c>
      <c r="T13" s="75">
        <f>IFERROR(VLOOKUP($E13,KPI!$B:$T,MATCH(SUPERVISORS!T$3,KPI!$B$1:$T$1,0),FALSE),"-")</f>
        <v>0.03</v>
      </c>
      <c r="U13" s="75">
        <f>IFERROR(VLOOKUP($E13,KPI!$B:$T,MATCH(SUPERVISORS!U$3,KPI!$B$1:$T$1,0),FALSE),"-")</f>
        <v>7.0000000000000007E-2</v>
      </c>
      <c r="V13" s="75" t="str">
        <f>IFERROR(VLOOKUP($E13,KPI!$B:$T,MATCH(SUPERVISORS!V$3,KPI!$B$1:$T$1,0),FALSE),"-")</f>
        <v>-</v>
      </c>
      <c r="W13" s="75">
        <f>IFERROR(VLOOKUP($E13,KPI!$B:$T,MATCH(SUPERVISORS!W$3,KPI!$B$1:$T$1,0),FALSE),"-")</f>
        <v>0.08</v>
      </c>
      <c r="X13" s="75" t="str">
        <f>IFERROR(VLOOKUP($E13,KPI!$B:$T,MATCH(SUPERVISORS!X$3,KPI!$B$1:$T$1,0),FALSE),"-")</f>
        <v>-</v>
      </c>
      <c r="Y13" s="75">
        <f>IFERROR(VLOOKUP($E13,KPI!$B:$T,MATCH(SUPERVISORS!Y$3,KPI!$B$1:$T$1,0),FALSE),"-")</f>
        <v>0.05</v>
      </c>
      <c r="Z13" s="75">
        <f>IFERROR(VLOOKUP($E13,KPI!$B:$T,MATCH(SUPERVISORS!Z$3,KPI!$B$1:$T$1,0),FALSE),"-")</f>
        <v>0.12</v>
      </c>
      <c r="AA13" s="75">
        <f>IFERROR(VLOOKUP($E13,KPI!$B:$T,MATCH(SUPERVISORS!AA$3,KPI!$B$1:$T$1,0),FALSE),"-")</f>
        <v>0.1</v>
      </c>
      <c r="AB13" s="75">
        <f>IFERROR(VLOOKUP($E13,KPI!$B:$T,MATCH(SUPERVISORS!AB$3,KPI!$B$1:$T$1,0),FALSE),"-")</f>
        <v>0.05</v>
      </c>
      <c r="AC13" s="50">
        <f>IFERROR(VLOOKUP($D13,'PRODUCTIVITY RAW'!$C:$Q,15,FALSE),"-")</f>
        <v>1</v>
      </c>
      <c r="AD13" s="50" t="str">
        <f>IF(SUMIFS('PRODUCTIVITY RAW'!$Q:$Q,'PRODUCTIVITY RAW'!$R:$R,SUPERVISORS!AD$3,'PRODUCTIVITY RAW'!$C:$C,SUPERVISORS!$D13)=0,"-",SUMIFS('PRODUCTIVITY RAW'!$Q:$Q,'PRODUCTIVITY RAW'!$R:$R,SUPERVISORS!AD$3,'PRODUCTIVITY RAW'!$C:$C,SUPERVISORS!$D13))</f>
        <v>-</v>
      </c>
      <c r="AE13" s="50">
        <f>IFERROR(VLOOKUP($C13,'QA RAW'!$L:$S,8,FALSE),"-")</f>
        <v>1</v>
      </c>
      <c r="AF13" s="50">
        <f>IFERROR(VLOOKUP($D13,'CHURN RAW'!$D:$H,5,FALSE),"-")</f>
        <v>1</v>
      </c>
      <c r="AG13" s="50" t="str">
        <f>IFERROR(IF(VLOOKUP($C13,'QA RAW'!$L:$U,10,FALSE)="","-",VLOOKUP($C13,'QA RAW'!$L:$U,10,FALSE)),"-")</f>
        <v>-</v>
      </c>
      <c r="AH13" s="50">
        <f>IFERROR(INDEX('ATTENDANCE RAW'!$AI:$AI,MATCH(SUPERVISORS!$C13,'ATTENDANCE RAW'!$AK:$AK,0)),"-")</f>
        <v>0.95437262357414454</v>
      </c>
      <c r="AI13" s="50">
        <f>IFERROR(VLOOKUP($C13,'ATTRITION RAW'!$A:$C,3,FALSE),"-")</f>
        <v>1</v>
      </c>
      <c r="AJ13" s="50">
        <f>IFERROR(VLOOKUP($C13,'KC RAW'!$L:$O,3,FALSE),"-")</f>
        <v>0.8</v>
      </c>
      <c r="AK13" s="50">
        <f>IFERROR(VLOOKUP($C13,'KC RAW'!$L:$O,4,FALSE),"-")</f>
        <v>0.84347826086956534</v>
      </c>
      <c r="AL13" s="50" t="str">
        <f>IFERROR(VLOOKUP($C13,'TL CALIBRATION RAW'!$K:$R,8,FALSE),"-")</f>
        <v>-</v>
      </c>
      <c r="AM13" s="50">
        <f>IFERROR(VLOOKUP($C13,'COACHING RAW'!$A:$K,11,FALSE),"-")</f>
        <v>1</v>
      </c>
      <c r="AN13" s="74"/>
      <c r="AO13" s="73">
        <v>1</v>
      </c>
      <c r="AP13" s="50">
        <f>IFERROR(VLOOKUP($C13,'CE RAW'!$I:$P,8,FALSE),"-")</f>
        <v>0.97719999999999996</v>
      </c>
      <c r="AQ13" s="50">
        <f>IFERROR(VLOOKUP($C13,'FCR RAW'!$A:$G,7,FALSE),"-")</f>
        <v>0.99330655957161984</v>
      </c>
      <c r="AR13" s="50" t="str">
        <f>IFERROR(IF(VLOOKUP($C13,'BONUS RAW'!$D:$I,6,FALSE)=100%,100%,"-"),"-")</f>
        <v>-</v>
      </c>
      <c r="AS13" s="52">
        <f t="shared" si="2"/>
        <v>0.97136213447805597</v>
      </c>
      <c r="AT13" s="56">
        <f t="shared" si="3"/>
        <v>1</v>
      </c>
      <c r="AU13" s="656">
        <f t="shared" si="4"/>
        <v>0.97136213447805597</v>
      </c>
      <c r="AV13" s="656">
        <f t="shared" si="5"/>
        <v>0.9227940277541532</v>
      </c>
      <c r="AW13"/>
      <c r="AX13" s="16"/>
    </row>
    <row r="14" spans="1:50" s="2" customFormat="1">
      <c r="A14" s="10"/>
      <c r="B14" s="3">
        <f t="shared" si="1"/>
        <v>11</v>
      </c>
      <c r="C14" s="3">
        <v>10070828</v>
      </c>
      <c r="D14" s="3" t="s">
        <v>105</v>
      </c>
      <c r="E14" s="3" t="s">
        <v>266</v>
      </c>
      <c r="F14" s="3" t="s">
        <v>106</v>
      </c>
      <c r="G14" s="3" t="s">
        <v>106</v>
      </c>
      <c r="H14" s="3" t="s">
        <v>85</v>
      </c>
      <c r="I14" s="3" t="s">
        <v>263</v>
      </c>
      <c r="J14" s="8"/>
      <c r="K14" s="8"/>
      <c r="L14" s="27" t="str">
        <f t="shared" si="0"/>
        <v>Beginner</v>
      </c>
      <c r="M14" s="75">
        <f>IFERROR(VLOOKUP($E14,KPI!$B:$T,MATCH(SUPERVISORS!M$3,KPI!$B$1:$T$1,0),FALSE),"-")</f>
        <v>0.15</v>
      </c>
      <c r="N14" s="75" t="str">
        <f>IFERROR(VLOOKUP($E14,KPI!$B:$T,MATCH(SUPERVISORS!N$3,KPI!$B$1:$T$1,0),FALSE),"-")</f>
        <v>-</v>
      </c>
      <c r="O14" s="75">
        <f>IFERROR(VLOOKUP($E14,KPI!$B:$T,MATCH(SUPERVISORS!O$3,KPI!$B$1:$T$1,0),FALSE),"-")</f>
        <v>0.1</v>
      </c>
      <c r="P14" s="75" t="str">
        <f>IFERROR(VLOOKUP($E14,KPI!$B:$T,MATCH(SUPERVISORS!P$3,KPI!$B$1:$T$1,0),FALSE),"-")</f>
        <v>-</v>
      </c>
      <c r="Q14" s="75">
        <f>IFERROR(VLOOKUP($E14,KPI!$B:$T,MATCH(SUPERVISORS!Q$3,KPI!$B$1:$T$1,0),FALSE),"-")</f>
        <v>0.1</v>
      </c>
      <c r="R14" s="75">
        <f>IFERROR(VLOOKUP($E14,KPI!$B:$T,MATCH(SUPERVISORS!R$3,KPI!$B$1:$T$1,0),FALSE),"-")</f>
        <v>0.15</v>
      </c>
      <c r="S14" s="75">
        <f>IFERROR(VLOOKUP($E14,KPI!$B:$T,MATCH(SUPERVISORS!S$3,KPI!$B$1:$T$1,0),FALSE),"-")</f>
        <v>0.1</v>
      </c>
      <c r="T14" s="75" t="str">
        <f>IFERROR(VLOOKUP($E14,KPI!$B:$T,MATCH(SUPERVISORS!T$3,KPI!$B$1:$T$1,0),FALSE),"-")</f>
        <v>-</v>
      </c>
      <c r="U14" s="75">
        <f>IFERROR(VLOOKUP($E14,KPI!$B:$T,MATCH(SUPERVISORS!U$3,KPI!$B$1:$T$1,0),FALSE),"-")</f>
        <v>0.1</v>
      </c>
      <c r="V14" s="75">
        <f>IFERROR(VLOOKUP($E14,KPI!$B:$T,MATCH(SUPERVISORS!V$3,KPI!$B$1:$T$1,0),FALSE),"-")</f>
        <v>0.1</v>
      </c>
      <c r="W14" s="75">
        <f>IFERROR(VLOOKUP($E14,KPI!$B:$T,MATCH(SUPERVISORS!W$3,KPI!$B$1:$T$1,0),FALSE),"-")</f>
        <v>0.1</v>
      </c>
      <c r="X14" s="75" t="str">
        <f>IFERROR(VLOOKUP($E14,KPI!$B:$T,MATCH(SUPERVISORS!X$3,KPI!$B$1:$T$1,0),FALSE),"-")</f>
        <v>-</v>
      </c>
      <c r="Y14" s="75">
        <f>IFERROR(VLOOKUP($E14,KPI!$B:$T,MATCH(SUPERVISORS!Y$3,KPI!$B$1:$T$1,0),FALSE),"-")</f>
        <v>0.05</v>
      </c>
      <c r="Z14" s="75" t="str">
        <f>IFERROR(VLOOKUP($E14,KPI!$B:$T,MATCH(SUPERVISORS!Z$3,KPI!$B$1:$T$1,0),FALSE),"-")</f>
        <v>-</v>
      </c>
      <c r="AA14" s="75" t="str">
        <f>IFERROR(VLOOKUP($E14,KPI!$B:$T,MATCH(SUPERVISORS!AA$3,KPI!$B$1:$T$1,0),FALSE),"-")</f>
        <v>-</v>
      </c>
      <c r="AB14" s="75">
        <f>IFERROR(VLOOKUP($E14,KPI!$B:$T,MATCH(SUPERVISORS!AB$3,KPI!$B$1:$T$1,0),FALSE),"-")</f>
        <v>0.05</v>
      </c>
      <c r="AC14" s="50">
        <f>IFERROR(VLOOKUP($D14,'PRODUCTIVITY RAW'!$C:$Q,15,FALSE),"-")</f>
        <v>1</v>
      </c>
      <c r="AD14" s="50" t="str">
        <f>IF(SUMIFS('PRODUCTIVITY RAW'!$Q:$Q,'PRODUCTIVITY RAW'!$R:$R,SUPERVISORS!AD$3,'PRODUCTIVITY RAW'!$C:$C,SUPERVISORS!$D14)=0,"-",SUMIFS('PRODUCTIVITY RAW'!$Q:$Q,'PRODUCTIVITY RAW'!$R:$R,SUPERVISORS!AD$3,'PRODUCTIVITY RAW'!$C:$C,SUPERVISORS!$D14))</f>
        <v>-</v>
      </c>
      <c r="AE14" s="50">
        <f>IFERROR(VLOOKUP($C14,'QA RAW'!$L:$S,8,FALSE),"-")</f>
        <v>0.98125000000000007</v>
      </c>
      <c r="AF14" s="50" t="str">
        <f>IFERROR(VLOOKUP($D14,'CHURN RAW'!$D:$H,5,FALSE),"-")</f>
        <v>-</v>
      </c>
      <c r="AG14" s="50">
        <f>IFERROR(IF(VLOOKUP($C14,'QA RAW'!$L:$U,10,FALSE)="","-",VLOOKUP($C14,'QA RAW'!$L:$U,10,FALSE)),"-")</f>
        <v>0.8</v>
      </c>
      <c r="AH14" s="50">
        <f>IFERROR(INDEX('ATTENDANCE RAW'!$AI:$AI,MATCH(SUPERVISORS!$C14,'ATTENDANCE RAW'!$AK:$AK,0)),"-")</f>
        <v>0.94602272727272729</v>
      </c>
      <c r="AI14" s="50">
        <f>IFERROR(VLOOKUP($C14,'ATTRITION RAW'!$A:$C,3,FALSE),"-")</f>
        <v>1</v>
      </c>
      <c r="AJ14" s="50" t="str">
        <f>IFERROR(VLOOKUP($C14,'KC RAW'!$L:$O,3,FALSE),"-")</f>
        <v>-</v>
      </c>
      <c r="AK14" s="50">
        <f>IFERROR(VLOOKUP($C14,'KC RAW'!$L:$O,4,FALSE),"-")</f>
        <v>0.64827586206896537</v>
      </c>
      <c r="AL14" s="50">
        <f>IFERROR(VLOOKUP($C14,'TL CALIBRATION RAW'!$K:$R,8,FALSE),"-")</f>
        <v>0.8</v>
      </c>
      <c r="AM14" s="50">
        <f>IFERROR(VLOOKUP($C14,'COACHING RAW'!$A:$K,11,FALSE),"-")</f>
        <v>1</v>
      </c>
      <c r="AN14" s="74"/>
      <c r="AO14" s="73">
        <v>0</v>
      </c>
      <c r="AP14" s="50" t="str">
        <f>IFERROR(VLOOKUP($C14,'CE RAW'!$I:$P,8,FALSE),"-")</f>
        <v>-</v>
      </c>
      <c r="AQ14" s="50" t="str">
        <f>IFERROR(VLOOKUP($C14,'FCR RAW'!$A:$G,7,FALSE),"-")</f>
        <v>-</v>
      </c>
      <c r="AR14" s="50" t="str">
        <f>IFERROR(IF(VLOOKUP($C14,'BONUS RAW'!$D:$I,6,FALSE)=100%,100%,"-"),"-")</f>
        <v>-</v>
      </c>
      <c r="AS14" s="52">
        <f t="shared" si="2"/>
        <v>0.85774315294505865</v>
      </c>
      <c r="AT14" s="56">
        <f t="shared" si="3"/>
        <v>10</v>
      </c>
      <c r="AU14" s="656">
        <f t="shared" si="4"/>
        <v>0.85774315294505865</v>
      </c>
      <c r="AV14" s="656">
        <f t="shared" si="5"/>
        <v>0.81485599529780572</v>
      </c>
      <c r="AW14"/>
      <c r="AX14" s="16"/>
    </row>
    <row r="15" spans="1:50" s="2" customFormat="1">
      <c r="A15" s="10"/>
      <c r="B15" s="3">
        <f t="shared" si="1"/>
        <v>12</v>
      </c>
      <c r="C15" s="3">
        <v>10071492</v>
      </c>
      <c r="D15" s="3" t="s">
        <v>241</v>
      </c>
      <c r="E15" s="3" t="s">
        <v>267</v>
      </c>
      <c r="F15" s="3" t="s">
        <v>106</v>
      </c>
      <c r="G15" s="3" t="s">
        <v>106</v>
      </c>
      <c r="H15" s="3" t="s">
        <v>85</v>
      </c>
      <c r="I15" s="3" t="s">
        <v>263</v>
      </c>
      <c r="J15" s="8"/>
      <c r="K15" s="8"/>
      <c r="L15" s="27" t="str">
        <f t="shared" si="0"/>
        <v>Beginner</v>
      </c>
      <c r="M15" s="75" t="str">
        <f>IFERROR(VLOOKUP($E15,KPI!$B:$T,MATCH(SUPERVISORS!M$3,KPI!$B$1:$T$1,0),FALSE),"-")</f>
        <v>-</v>
      </c>
      <c r="N15" s="75">
        <f>IFERROR(VLOOKUP($E15,KPI!$B:$T,MATCH(SUPERVISORS!N$3,KPI!$B$1:$T$1,0),FALSE),"-")</f>
        <v>0.25</v>
      </c>
      <c r="O15" s="75">
        <f>IFERROR(VLOOKUP($E15,KPI!$B:$T,MATCH(SUPERVISORS!O$3,KPI!$B$1:$T$1,0),FALSE),"-")</f>
        <v>0.2</v>
      </c>
      <c r="P15" s="75" t="str">
        <f>IFERROR(VLOOKUP($E15,KPI!$B:$T,MATCH(SUPERVISORS!P$3,KPI!$B$1:$T$1,0),FALSE),"-")</f>
        <v>-</v>
      </c>
      <c r="Q15" s="75" t="str">
        <f>IFERROR(VLOOKUP($E15,KPI!$B:$T,MATCH(SUPERVISORS!Q$3,KPI!$B$1:$T$1,0),FALSE),"-")</f>
        <v>-</v>
      </c>
      <c r="R15" s="75">
        <f>IFERROR(VLOOKUP($E15,KPI!$B:$T,MATCH(SUPERVISORS!R$3,KPI!$B$1:$T$1,0),FALSE),"-")</f>
        <v>0.15</v>
      </c>
      <c r="S15" s="75">
        <f>IFERROR(VLOOKUP($E15,KPI!$B:$T,MATCH(SUPERVISORS!S$3,KPI!$B$1:$T$1,0),FALSE),"-")</f>
        <v>0.15</v>
      </c>
      <c r="T15" s="75" t="str">
        <f>IFERROR(VLOOKUP($E15,KPI!$B:$T,MATCH(SUPERVISORS!T$3,KPI!$B$1:$T$1,0),FALSE),"-")</f>
        <v>-</v>
      </c>
      <c r="U15" s="75" t="str">
        <f>IFERROR(VLOOKUP($E15,KPI!$B:$T,MATCH(SUPERVISORS!U$3,KPI!$B$1:$T$1,0),FALSE),"-")</f>
        <v>-</v>
      </c>
      <c r="V15" s="75" t="str">
        <f>IFERROR(VLOOKUP($E15,KPI!$B:$T,MATCH(SUPERVISORS!V$3,KPI!$B$1:$T$1,0),FALSE),"-")</f>
        <v>-</v>
      </c>
      <c r="W15" s="75">
        <f>IFERROR(VLOOKUP($E15,KPI!$B:$T,MATCH(SUPERVISORS!W$3,KPI!$B$1:$T$1,0),FALSE),"-")</f>
        <v>0.15</v>
      </c>
      <c r="X15" s="75" t="str">
        <f>IFERROR(VLOOKUP($E15,KPI!$B:$T,MATCH(SUPERVISORS!X$3,KPI!$B$1:$T$1,0),FALSE),"-")</f>
        <v>-</v>
      </c>
      <c r="Y15" s="75">
        <f>IFERROR(VLOOKUP($E15,KPI!$B:$T,MATCH(SUPERVISORS!Y$3,KPI!$B$1:$T$1,0),FALSE),"-")</f>
        <v>0.05</v>
      </c>
      <c r="Z15" s="75" t="str">
        <f>IFERROR(VLOOKUP($E15,KPI!$B:$T,MATCH(SUPERVISORS!Z$3,KPI!$B$1:$T$1,0),FALSE),"-")</f>
        <v>-</v>
      </c>
      <c r="AA15" s="75" t="str">
        <f>IFERROR(VLOOKUP($E15,KPI!$B:$T,MATCH(SUPERVISORS!AA$3,KPI!$B$1:$T$1,0),FALSE),"-")</f>
        <v>-</v>
      </c>
      <c r="AB15" s="75">
        <f>IFERROR(VLOOKUP($E15,KPI!$B:$T,MATCH(SUPERVISORS!AB$3,KPI!$B$1:$T$1,0),FALSE),"-")</f>
        <v>0.05</v>
      </c>
      <c r="AC15" s="50" t="str">
        <f>IFERROR(VLOOKUP($D15,'PRODUCTIVITY RAW'!$C:$Q,15,FALSE),"-")</f>
        <v>-</v>
      </c>
      <c r="AD15" s="50">
        <f>IF(SUMIFS('PRODUCTIVITY RAW'!$Q:$Q,'PRODUCTIVITY RAW'!$R:$R,SUPERVISORS!AD$3,'PRODUCTIVITY RAW'!$C:$C,SUPERVISORS!$D15)=0,"-",SUMIFS('PRODUCTIVITY RAW'!$Q:$Q,'PRODUCTIVITY RAW'!$R:$R,SUPERVISORS!AD$3,'PRODUCTIVITY RAW'!$C:$C,SUPERVISORS!$D15))</f>
        <v>0.89488636363636365</v>
      </c>
      <c r="AE15" s="50">
        <f>IFERROR(VLOOKUP($C15,'QA RAW'!$L:$S,8,FALSE),"-")</f>
        <v>0.99062500000000009</v>
      </c>
      <c r="AF15" s="50" t="str">
        <f>IFERROR(VLOOKUP($D15,'CHURN RAW'!$D:$H,5,FALSE),"-")</f>
        <v>NO SCORE</v>
      </c>
      <c r="AG15" s="50" t="str">
        <f>IFERROR(IF(VLOOKUP($C15,'QA RAW'!$L:$U,10,FALSE)="","-",VLOOKUP($C15,'QA RAW'!$L:$U,10,FALSE)),"-")</f>
        <v>-</v>
      </c>
      <c r="AH15" s="50">
        <f>IFERROR(INDEX('ATTENDANCE RAW'!$AI:$AI,MATCH(SUPERVISORS!$C15,'ATTENDANCE RAW'!$AK:$AK,0)),"-")</f>
        <v>0.94055944055944052</v>
      </c>
      <c r="AI15" s="50">
        <f>IFERROR(VLOOKUP($C15,'ATTRITION RAW'!$A:$C,3,FALSE),"-")</f>
        <v>1</v>
      </c>
      <c r="AJ15" s="50" t="str">
        <f>IFERROR(VLOOKUP($C15,'KC RAW'!$L:$O,3,FALSE),"-")</f>
        <v>-</v>
      </c>
      <c r="AK15" s="50">
        <f>IFERROR(VLOOKUP($C15,'KC RAW'!$L:$O,4,FALSE),"-")</f>
        <v>0.95849802371541493</v>
      </c>
      <c r="AL15" s="50" t="str">
        <f>IFERROR(VLOOKUP($C15,'TL CALIBRATION RAW'!$K:$R,8,FALSE),"-")</f>
        <v>-</v>
      </c>
      <c r="AM15" s="50">
        <f>IFERROR(VLOOKUP($C15,'COACHING RAW'!$A:$K,11,FALSE),"-")</f>
        <v>0.6</v>
      </c>
      <c r="AN15" s="74"/>
      <c r="AO15" s="73">
        <v>0</v>
      </c>
      <c r="AP15" s="50" t="str">
        <f>IFERROR(VLOOKUP($C15,'CE RAW'!$I:$P,8,FALSE),"-")</f>
        <v>-</v>
      </c>
      <c r="AQ15" s="50" t="str">
        <f>IFERROR(VLOOKUP($C15,'FCR RAW'!$A:$G,7,FALSE),"-")</f>
        <v>-</v>
      </c>
      <c r="AR15" s="50" t="str">
        <f>IFERROR(IF(VLOOKUP($C15,'BONUS RAW'!$D:$I,6,FALSE)=100%,100%,"-"),"-")</f>
        <v>-</v>
      </c>
      <c r="AS15" s="52">
        <f t="shared" si="2"/>
        <v>0.84519000736105998</v>
      </c>
      <c r="AT15" s="56">
        <f t="shared" si="3"/>
        <v>11</v>
      </c>
      <c r="AU15" s="656">
        <f t="shared" si="4"/>
        <v>0.84519000736105998</v>
      </c>
      <c r="AV15" s="656">
        <f t="shared" si="5"/>
        <v>0.80293050699300705</v>
      </c>
      <c r="AW15"/>
      <c r="AX15" s="16"/>
    </row>
  </sheetData>
  <mergeCells count="3">
    <mergeCell ref="AS2:AS3"/>
    <mergeCell ref="M2:AB2"/>
    <mergeCell ref="AC2:AR2"/>
  </mergeCells>
  <conditionalFormatting sqref="AS4:AS15">
    <cfRule type="cellIs" dxfId="42" priority="21" operator="lessThan">
      <formula>0.8</formula>
    </cfRule>
  </conditionalFormatting>
  <conditionalFormatting sqref="AT4:AT15">
    <cfRule type="cellIs" dxfId="41" priority="20" operator="lessThanOrEqual">
      <formula>3</formula>
    </cfRule>
  </conditionalFormatting>
  <conditionalFormatting sqref="B4:G15">
    <cfRule type="expression" dxfId="40" priority="1">
      <formula>$AT4&lt;=3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AS77"/>
  <sheetViews>
    <sheetView zoomScale="85" zoomScaleNormal="85" workbookViewId="0">
      <pane xSplit="7" topLeftCell="X1" activePane="topRight" state="frozen"/>
      <selection pane="topRight" activeCell="B1" sqref="B1:G1"/>
    </sheetView>
  </sheetViews>
  <sheetFormatPr defaultColWidth="5.28515625" defaultRowHeight="15"/>
  <cols>
    <col min="1" max="1" width="10.28515625" style="2" bestFit="1" customWidth="1"/>
    <col min="2" max="2" width="12.5703125" style="2" bestFit="1" customWidth="1"/>
    <col min="3" max="3" width="17" style="2" bestFit="1" customWidth="1"/>
    <col min="4" max="4" width="24.5703125" style="2" bestFit="1" customWidth="1"/>
    <col min="5" max="5" width="12.7109375" style="2" bestFit="1" customWidth="1"/>
    <col min="6" max="6" width="20.42578125" style="2" bestFit="1" customWidth="1"/>
    <col min="7" max="7" width="22.7109375" style="2" bestFit="1" customWidth="1"/>
    <col min="8" max="8" width="28.140625" style="2" bestFit="1" customWidth="1"/>
    <col min="9" max="9" width="7.42578125" style="2" bestFit="1" customWidth="1"/>
    <col min="10" max="10" width="8.7109375" style="2" bestFit="1" customWidth="1"/>
    <col min="11" max="11" width="12.85546875" style="2" bestFit="1" customWidth="1"/>
    <col min="12" max="12" width="10.42578125" style="2" bestFit="1" customWidth="1"/>
    <col min="13" max="13" width="12.85546875" style="2" bestFit="1" customWidth="1"/>
    <col min="14" max="14" width="6.140625" style="2" bestFit="1" customWidth="1"/>
    <col min="15" max="15" width="13.140625" style="2" bestFit="1" customWidth="1"/>
    <col min="16" max="16" width="9.42578125" style="2" bestFit="1" customWidth="1"/>
    <col min="17" max="17" width="10.7109375" style="2" bestFit="1" customWidth="1"/>
    <col min="18" max="18" width="7.140625" style="2" bestFit="1" customWidth="1"/>
    <col min="19" max="19" width="6.140625" style="2" bestFit="1" customWidth="1"/>
    <col min="20" max="20" width="16.5703125" style="2" bestFit="1" customWidth="1"/>
    <col min="21" max="21" width="7.42578125" style="2" bestFit="1" customWidth="1"/>
    <col min="22" max="22" width="14.140625" style="2" bestFit="1" customWidth="1"/>
    <col min="23" max="23" width="14.140625" style="2" customWidth="1"/>
    <col min="24" max="24" width="14.28515625" style="2" customWidth="1"/>
    <col min="25" max="25" width="8.140625" style="2" bestFit="1" customWidth="1"/>
    <col min="26" max="26" width="8.7109375" style="2" bestFit="1" customWidth="1"/>
    <col min="27" max="27" width="12.85546875" style="2" bestFit="1" customWidth="1"/>
    <col min="28" max="28" width="10.42578125" style="2" bestFit="1" customWidth="1"/>
    <col min="29" max="29" width="12.85546875" style="2" bestFit="1" customWidth="1"/>
    <col min="30" max="30" width="8.140625" style="2" bestFit="1" customWidth="1"/>
    <col min="31" max="31" width="13.140625" style="2" bestFit="1" customWidth="1"/>
    <col min="32" max="32" width="9.42578125" style="2" bestFit="1" customWidth="1"/>
    <col min="33" max="33" width="10.7109375" style="2" bestFit="1" customWidth="1"/>
    <col min="34" max="35" width="7.140625" style="2" bestFit="1" customWidth="1"/>
    <col min="36" max="36" width="16.5703125" style="2" bestFit="1" customWidth="1"/>
    <col min="37" max="37" width="8.140625" style="2" bestFit="1" customWidth="1"/>
    <col min="38" max="38" width="14.140625" style="2" bestFit="1" customWidth="1"/>
    <col min="39" max="39" width="14.140625" style="2" customWidth="1"/>
    <col min="40" max="40" width="20.7109375" style="2" bestFit="1" customWidth="1"/>
    <col min="41" max="41" width="10.7109375" style="2" customWidth="1"/>
    <col min="42" max="42" width="14.5703125" style="16" bestFit="1" customWidth="1"/>
    <col min="43" max="43" width="7.140625" style="16" bestFit="1" customWidth="1"/>
    <col min="44" max="45" width="20.7109375" style="2" bestFit="1" customWidth="1"/>
    <col min="46" max="16384" width="5.28515625" style="2"/>
  </cols>
  <sheetData>
    <row r="1" spans="1:45" ht="17.100000000000001" customHeight="1">
      <c r="B1" s="688" t="s">
        <v>268</v>
      </c>
      <c r="C1" s="688"/>
      <c r="D1" s="688"/>
      <c r="E1" s="688"/>
      <c r="F1" s="688"/>
      <c r="G1" s="688"/>
      <c r="X1" s="698" t="s">
        <v>65</v>
      </c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700"/>
      <c r="AN1" s="692" t="s">
        <v>66</v>
      </c>
      <c r="AO1" s="693" t="s">
        <v>75</v>
      </c>
    </row>
    <row r="2" spans="1:4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55" t="s">
        <v>3</v>
      </c>
      <c r="I2" s="55" t="s">
        <v>6</v>
      </c>
      <c r="J2" s="55" t="s">
        <v>59</v>
      </c>
      <c r="K2" s="55" t="s">
        <v>4</v>
      </c>
      <c r="L2" s="55" t="s">
        <v>255</v>
      </c>
      <c r="M2" s="55" t="s">
        <v>258</v>
      </c>
      <c r="N2" s="55" t="s">
        <v>5</v>
      </c>
      <c r="O2" s="55" t="s">
        <v>269</v>
      </c>
      <c r="P2" s="55" t="s">
        <v>60</v>
      </c>
      <c r="Q2" s="55" t="s">
        <v>259</v>
      </c>
      <c r="R2" s="55" t="s">
        <v>61</v>
      </c>
      <c r="S2" s="55" t="s">
        <v>62</v>
      </c>
      <c r="T2" s="55" t="s">
        <v>270</v>
      </c>
      <c r="U2" s="55" t="s">
        <v>271</v>
      </c>
      <c r="V2" s="55" t="s">
        <v>272</v>
      </c>
      <c r="W2" s="55" t="s">
        <v>273</v>
      </c>
      <c r="X2" s="29" t="s">
        <v>3</v>
      </c>
      <c r="Y2" s="29" t="s">
        <v>6</v>
      </c>
      <c r="Z2" s="29" t="s">
        <v>59</v>
      </c>
      <c r="AA2" s="29" t="s">
        <v>4</v>
      </c>
      <c r="AB2" s="29" t="s">
        <v>255</v>
      </c>
      <c r="AC2" s="29" t="s">
        <v>258</v>
      </c>
      <c r="AD2" s="29" t="s">
        <v>5</v>
      </c>
      <c r="AE2" s="29" t="s">
        <v>269</v>
      </c>
      <c r="AF2" s="29" t="s">
        <v>60</v>
      </c>
      <c r="AG2" s="29" t="s">
        <v>259</v>
      </c>
      <c r="AH2" s="29" t="s">
        <v>61</v>
      </c>
      <c r="AI2" s="29" t="s">
        <v>62</v>
      </c>
      <c r="AJ2" s="29" t="s">
        <v>270</v>
      </c>
      <c r="AK2" s="29" t="s">
        <v>271</v>
      </c>
      <c r="AL2" s="29" t="s">
        <v>272</v>
      </c>
      <c r="AM2" s="29" t="s">
        <v>273</v>
      </c>
      <c r="AN2" s="692"/>
      <c r="AO2" s="693"/>
    </row>
    <row r="3" spans="1:45">
      <c r="A3" s="176" t="s">
        <v>274</v>
      </c>
      <c r="B3" s="3">
        <v>1</v>
      </c>
      <c r="C3" s="3">
        <v>7010609</v>
      </c>
      <c r="D3" s="3" t="s">
        <v>170</v>
      </c>
      <c r="E3" s="3" t="s">
        <v>275</v>
      </c>
      <c r="F3" s="3" t="s">
        <v>85</v>
      </c>
      <c r="G3" s="3" t="s">
        <v>85</v>
      </c>
      <c r="H3" s="31">
        <v>0.17</v>
      </c>
      <c r="I3" s="31">
        <v>0.1</v>
      </c>
      <c r="J3" s="31">
        <v>0.1</v>
      </c>
      <c r="K3" s="31">
        <v>0.15</v>
      </c>
      <c r="L3" s="31">
        <v>0.1</v>
      </c>
      <c r="M3" s="31">
        <v>0.09</v>
      </c>
      <c r="N3" s="31">
        <v>0.09</v>
      </c>
      <c r="O3" s="31">
        <v>0.05</v>
      </c>
      <c r="P3" s="31">
        <v>0.05</v>
      </c>
      <c r="Q3" s="31">
        <v>0.05</v>
      </c>
      <c r="R3" s="31" t="s">
        <v>14</v>
      </c>
      <c r="S3" s="31" t="s">
        <v>14</v>
      </c>
      <c r="T3" s="31">
        <v>0.05</v>
      </c>
      <c r="U3" s="31" t="s">
        <v>14</v>
      </c>
      <c r="V3" s="31" t="s">
        <v>14</v>
      </c>
      <c r="W3" s="31">
        <v>0.15</v>
      </c>
      <c r="X3" s="394">
        <f>IFERROR(INDEX('PRODUCTIVITY RAW'!$Q$232:$Q$234,MATCH(MANAGERS!$D3,'PRODUCTIVITY RAW'!$G$232:$G$234),0),"-")</f>
        <v>1</v>
      </c>
      <c r="Y3" s="394">
        <f>IFERROR(INDEX('CHURN RAW'!$H:$H,MATCH(MANAGERS!$D3,'CHURN RAW'!$C:$C,0)),"-")</f>
        <v>0.9</v>
      </c>
      <c r="Z3" s="394">
        <f>IFERROR(INDEX('QA RAW'!$S:$S,MATCH(MANAGERS!$D3,'QA RAW'!$M:$M,0)),"-")</f>
        <v>0.99726057692307701</v>
      </c>
      <c r="AA3" s="394">
        <f>IFERROR(INDEX('ATTENDANCE RAW'!$AI:$AI,MATCH(MANAGERS!$D3,'ATTENDANCE RAW'!$AF:$AF,0)),"-")</f>
        <v>0.98245614035087714</v>
      </c>
      <c r="AB3" s="394">
        <f>IFERROR(INDEX('ATTRITION RAW'!$P:$P,MATCH(MANAGERS!$C3,'ATTRITION RAW'!$D:$D,0)),"-")</f>
        <v>1</v>
      </c>
      <c r="AC3" s="394">
        <f>IFERROR(INDEX('TL CALIBRATION RAW'!$R:$R,MATCH(MANAGERS!$D3,'TL CALIBRATION RAW'!$L:$L,0)),"-")</f>
        <v>1</v>
      </c>
      <c r="AD3" s="394">
        <f>IFERROR(INDEX('KC RAW'!$O:$O,MATCH(MANAGERS!$D3,'KC RAW'!$M:$M,0)),"-")</f>
        <v>0.75935779816513793</v>
      </c>
      <c r="AE3" s="394">
        <f>IF(VLOOKUP($C3,$B:$G,3,FALSE)&gt;1,0%,100%)</f>
        <v>1</v>
      </c>
      <c r="AF3" s="394">
        <f>IF(VLOOKUP($C3,$B:$G,4,FALSE)&gt;1.5%,0%,IF(VLOOKUP($C3,$B:$G,4,FALSE)&gt;1.01%,50%,IF(VLOOKUP($C3,$B:$G,4,FALSE)&gt;0.01%,75%,100%)))</f>
        <v>1</v>
      </c>
      <c r="AG3" s="394">
        <f>IFERROR(INDEX('COACHING RAW'!$K:$K,MATCH(MANAGERS!$D3,'COACHING RAW'!$D:$D,0)),"-")</f>
        <v>1</v>
      </c>
      <c r="AH3" s="394" t="str">
        <f>IFERROR(INDEX('CE RAW'!$P:$P,MATCH(MANAGERS!$D3,'CE RAW'!$I:$I,0)),"-")</f>
        <v>-</v>
      </c>
      <c r="AI3" s="394" t="str">
        <f>IFERROR(INDEX('FCR RAW'!$G:$G,MATCH(MANAGERS!$C3,'FCR RAW'!$A:$A,0)),"-")</f>
        <v>-</v>
      </c>
      <c r="AJ3" s="394">
        <f>IFERROR(VLOOKUP($C3,$B$43:$H$46,7,FALSE),"-")</f>
        <v>1</v>
      </c>
      <c r="AK3" s="394">
        <f>IFERROR(VLOOKUP($C3,$B:$G,5,FALSE),"-")</f>
        <v>1</v>
      </c>
      <c r="AL3" s="394" t="str">
        <f>IF(VLOOKUP($C3,$B:$H,7,FALSE)="","-",VLOOKUP($C3,$B:$H,7,FALSE))</f>
        <v>-</v>
      </c>
      <c r="AM3" s="394" t="s">
        <v>276</v>
      </c>
      <c r="AN3" s="52">
        <f>IF(AM3="NONE",SUMPRODUCT(H3:U3,X3:AK3),(SUMPRODUCT(H3:U3,X3:AK3)/SUM(H3:U3))*85%+IF(AM3="-",0,AM3)*15%)</f>
        <v>0.96543668057980181</v>
      </c>
      <c r="AO3" s="56">
        <f>_xlfn.RANK.EQ(AN3,$AN$3:$AN$5)</f>
        <v>1</v>
      </c>
    </row>
    <row r="4" spans="1:45">
      <c r="A4" s="176" t="s">
        <v>274</v>
      </c>
      <c r="B4" s="3">
        <f>B3+1</f>
        <v>2</v>
      </c>
      <c r="C4" s="3">
        <v>10071937</v>
      </c>
      <c r="D4" s="3" t="s">
        <v>106</v>
      </c>
      <c r="E4" s="3" t="s">
        <v>275</v>
      </c>
      <c r="F4" s="3" t="s">
        <v>85</v>
      </c>
      <c r="G4" s="3" t="s">
        <v>85</v>
      </c>
      <c r="H4" s="31">
        <v>0.1</v>
      </c>
      <c r="I4" s="31">
        <v>0.1</v>
      </c>
      <c r="J4" s="31">
        <v>0.05</v>
      </c>
      <c r="K4" s="31">
        <v>0.15</v>
      </c>
      <c r="L4" s="31">
        <v>0.1</v>
      </c>
      <c r="M4" s="488"/>
      <c r="N4" s="31">
        <v>0.05</v>
      </c>
      <c r="O4" s="31">
        <v>0.05</v>
      </c>
      <c r="P4" s="31">
        <v>0.05</v>
      </c>
      <c r="Q4" s="31">
        <v>0.05</v>
      </c>
      <c r="R4" s="31">
        <v>0.12</v>
      </c>
      <c r="S4" s="31">
        <v>0.08</v>
      </c>
      <c r="T4" s="31">
        <v>0.05</v>
      </c>
      <c r="U4" s="31" t="s">
        <v>14</v>
      </c>
      <c r="V4" s="31" t="s">
        <v>14</v>
      </c>
      <c r="W4" s="31">
        <v>0.15</v>
      </c>
      <c r="X4" s="394">
        <f>IFERROR(INDEX('PRODUCTIVITY RAW'!$Q$232:$Q$234,MATCH(MANAGERS!$D4,'PRODUCTIVITY RAW'!$G$232:$G$234),0),"-")</f>
        <v>1</v>
      </c>
      <c r="Y4" s="394">
        <f>IFERROR(INDEX('CHURN RAW'!$H:$H,MATCH(MANAGERS!$D4,'CHURN RAW'!$C:$C,0)),"-")</f>
        <v>1</v>
      </c>
      <c r="Z4" s="394">
        <f>IFERROR(INDEX('QA RAW'!$S:$S,MATCH(MANAGERS!$D4,'QA RAW'!$M:$M,0)),"-")</f>
        <v>0.99103260869565213</v>
      </c>
      <c r="AA4" s="394">
        <f>IFERROR(INDEX('ATTENDANCE RAW'!$AI:$AI,MATCH(MANAGERS!$D4,'ATTENDANCE RAW'!$AF:$AF,0)),"-")</f>
        <v>0.93845565749235471</v>
      </c>
      <c r="AB4" s="394">
        <f>IFERROR(INDEX('ATTRITION RAW'!$P:$P,MATCH(MANAGERS!$C4,'ATTRITION RAW'!$D:$D,0)),"-")</f>
        <v>0.25</v>
      </c>
      <c r="AC4" s="394" t="str">
        <f>IFERROR(INDEX('TL CALIBRATION RAW'!$R:$R,MATCH(MANAGERS!$D4,'TL CALIBRATION RAW'!$L:$L,0)),"-")</f>
        <v>-</v>
      </c>
      <c r="AD4" s="394">
        <f>IFERROR(INDEX('KC RAW'!$O:$O,MATCH(MANAGERS!$D4,'KC RAW'!$M:$M,0)),"-")</f>
        <v>0.82471315092674291</v>
      </c>
      <c r="AE4" s="394">
        <f>IF(VLOOKUP($C4,$B:$G,3,FALSE)&gt;1,0%,100%)</f>
        <v>1</v>
      </c>
      <c r="AF4" s="394">
        <f>IF(VLOOKUP($C4,$B:$G,4,FALSE)&gt;1.5%,0%,IF(VLOOKUP($C4,$B:$G,4,FALSE)&gt;1.01%,50%,IF(VLOOKUP($C4,$B:$G,4,FALSE)&gt;0.01%,75%,100%)))</f>
        <v>1</v>
      </c>
      <c r="AG4" s="394">
        <f>IFERROR(INDEX('COACHING RAW'!$K:$K,MATCH(MANAGERS!$D4,'COACHING RAW'!$D:$D,0)),"-")</f>
        <v>1</v>
      </c>
      <c r="AH4" s="394">
        <f>IFERROR(INDEX('CE RAW'!$P:$P,MATCH(MANAGERS!$D4,'CE RAW'!$I:$I,0)),"-")</f>
        <v>0.97399999999999998</v>
      </c>
      <c r="AI4" s="394">
        <f>IFERROR(INDEX('FCR RAW'!$G:$G,MATCH(MANAGERS!$C4,'FCR RAW'!$A:$A,0)),"-")</f>
        <v>0.99371859296482412</v>
      </c>
      <c r="AJ4" s="394">
        <f>IFERROR(VLOOKUP($C4,$B$43:$H$46,7,FALSE),"-")</f>
        <v>1</v>
      </c>
      <c r="AK4" s="394">
        <f>IFERROR(VLOOKUP($C4,$B:$G,5,FALSE),"-")</f>
        <v>1</v>
      </c>
      <c r="AL4" s="394" t="str">
        <f>IF(VLOOKUP($C4,$B:$H,7,FALSE)="","-",VLOOKUP($C4,$B:$H,7,FALSE))</f>
        <v>-</v>
      </c>
      <c r="AM4" s="394">
        <v>1</v>
      </c>
      <c r="AN4" s="52">
        <f>IF(AM4="NONE",SUMPRODUCT(H4:U4,X4:AK4),(SUMPRODUCT(H4:U4,X4:AK4)/SUM(H4:U4))*85%+IF(AM4="-",0,AM4)*15%)</f>
        <v>0.91315068993245807</v>
      </c>
      <c r="AO4" s="56">
        <f>_xlfn.RANK.EQ(AN4,$AN$3:$AN$5)</f>
        <v>3</v>
      </c>
    </row>
    <row r="5" spans="1:45">
      <c r="A5" s="176" t="s">
        <v>274</v>
      </c>
      <c r="B5" s="3">
        <f>B4+1</f>
        <v>3</v>
      </c>
      <c r="C5" s="3">
        <v>10072003</v>
      </c>
      <c r="D5" s="3" t="s">
        <v>85</v>
      </c>
      <c r="E5" s="3" t="s">
        <v>275</v>
      </c>
      <c r="F5" s="3" t="s">
        <v>263</v>
      </c>
      <c r="G5" s="3" t="s">
        <v>263</v>
      </c>
      <c r="H5" s="31">
        <v>0.17</v>
      </c>
      <c r="I5" s="31">
        <v>0.1</v>
      </c>
      <c r="J5" s="31">
        <v>0.1</v>
      </c>
      <c r="K5" s="31">
        <v>0.15</v>
      </c>
      <c r="L5" s="31">
        <v>0.1</v>
      </c>
      <c r="M5" s="31">
        <v>0.09</v>
      </c>
      <c r="N5" s="31">
        <v>0.09</v>
      </c>
      <c r="O5" s="31">
        <v>0.05</v>
      </c>
      <c r="P5" s="31">
        <v>0.05</v>
      </c>
      <c r="Q5" s="31">
        <v>0.05</v>
      </c>
      <c r="R5" s="31" t="s">
        <v>14</v>
      </c>
      <c r="S5" s="31" t="s">
        <v>14</v>
      </c>
      <c r="T5" s="31">
        <v>0.05</v>
      </c>
      <c r="U5" s="31" t="s">
        <v>14</v>
      </c>
      <c r="V5" s="31" t="s">
        <v>14</v>
      </c>
      <c r="W5" s="31">
        <v>0.15</v>
      </c>
      <c r="X5" s="394">
        <f>IFERROR(INDEX('PRODUCTIVITY RAW'!$Q$232:$Q$234,MATCH(MANAGERS!$D5,'PRODUCTIVITY RAW'!$G$232:$G$234),0),"-")</f>
        <v>1</v>
      </c>
      <c r="Y5" s="394">
        <f>IFERROR(INDEX('CHURN RAW'!$H:$H,MATCH(MANAGERS!$D5,'CHURN RAW'!$C:$C,0)),"-")</f>
        <v>0.9</v>
      </c>
      <c r="Z5" s="394">
        <f>IFERROR(INDEX('QA RAW'!$S:$S,MATCH(MANAGERS!$D5,'QA RAW'!$M:$M,0)),"-")</f>
        <v>0.99569999999999992</v>
      </c>
      <c r="AA5" s="394">
        <f>IFERROR(INDEX('ATTENDANCE RAW'!$AI:$AI,MATCH(MANAGERS!$D5,'ATTENDANCE RAW'!$AF:$AF,0)),"-")</f>
        <v>0.97826086956521741</v>
      </c>
      <c r="AB5" s="394">
        <f>IFERROR(INDEX('ATTRITION RAW'!$P:$P,MATCH(MANAGERS!$C5,'ATTRITION RAW'!$D:$D,0)),"-")</f>
        <v>1</v>
      </c>
      <c r="AC5" s="394">
        <f>IFERROR(INDEX('TL CALIBRATION RAW'!$R:$R,MATCH(MANAGERS!$D5,'TL CALIBRATION RAW'!$L:$L,0)),"-")</f>
        <v>1</v>
      </c>
      <c r="AD5" s="394">
        <f>IFERROR(INDEX('KC RAW'!$O:$O,MATCH(MANAGERS!$D5,'KC RAW'!$M:$M,0)),"-")</f>
        <v>0.72488095238095251</v>
      </c>
      <c r="AE5" s="394">
        <f>IF(VLOOKUP($C5,$B:$G,3,FALSE)&gt;1,0%,100%)</f>
        <v>1</v>
      </c>
      <c r="AF5" s="394">
        <f>IF(VLOOKUP($C5,$B:$G,4,FALSE)&gt;1.5%,0%,IF(VLOOKUP($C5,$B:$G,4,FALSE)&gt;1.01%,50%,IF(VLOOKUP($C5,$B:$G,4,FALSE)&gt;0.01%,75%,100%)))</f>
        <v>1</v>
      </c>
      <c r="AG5" s="394">
        <f>IFERROR(INDEX('COACHING RAW'!$K:$K,MATCH(MANAGERS!$D5,'COACHING RAW'!$D:$D,0)),"-")</f>
        <v>1</v>
      </c>
      <c r="AH5" s="394" t="str">
        <f>IFERROR(INDEX('CE RAW'!$P:$P,MATCH(MANAGERS!$D5,'CE RAW'!$I:$I,0)),"-")</f>
        <v>-</v>
      </c>
      <c r="AI5" s="394" t="str">
        <f>IFERROR(INDEX('FCR RAW'!$G:$G,MATCH(MANAGERS!$C5,'FCR RAW'!$A:$A,0)),"-")</f>
        <v>-</v>
      </c>
      <c r="AJ5" s="394">
        <f>IFERROR(VLOOKUP($C5,$B$43:$H$46,7,FALSE),"-")</f>
        <v>1</v>
      </c>
      <c r="AK5" s="394">
        <f>IFERROR(VLOOKUP($C5,$B:$G,5,FALSE),"-")</f>
        <v>1</v>
      </c>
      <c r="AL5" s="394" t="str">
        <f>IF(VLOOKUP($C5,$B:$H,7,FALSE)="","-",VLOOKUP($C5,$B:$H,7,FALSE))</f>
        <v>-</v>
      </c>
      <c r="AM5" s="394" t="s">
        <v>276</v>
      </c>
      <c r="AN5" s="52">
        <f>IF(AM5="NONE",SUMPRODUCT(H5:U5,X5:AK5),(SUMPRODUCT(H5:U5,X5:AK5)/SUM(H5:U5))*85%+IF(AM5="-",0,AM5)*15%)</f>
        <v>0.9615484161490685</v>
      </c>
      <c r="AO5" s="56">
        <f>_xlfn.RANK.EQ(AN5,$AN$3:$AN$5)</f>
        <v>2</v>
      </c>
      <c r="AR5" s="16"/>
      <c r="AS5" s="16"/>
    </row>
    <row r="6" spans="1:45" customFormat="1">
      <c r="AP6" s="15"/>
      <c r="AQ6" s="15"/>
    </row>
    <row r="7" spans="1:45" customFormat="1">
      <c r="AP7" s="15"/>
      <c r="AQ7" s="15"/>
    </row>
    <row r="8" spans="1:45" customFormat="1">
      <c r="B8" s="689" t="s">
        <v>69</v>
      </c>
      <c r="C8" s="690"/>
      <c r="D8" s="690"/>
      <c r="E8" s="690"/>
      <c r="F8" s="690"/>
      <c r="G8" s="691"/>
      <c r="X8" s="701" t="s">
        <v>65</v>
      </c>
      <c r="Y8" s="702"/>
      <c r="Z8" s="702"/>
      <c r="AA8" s="702"/>
      <c r="AB8" s="702"/>
      <c r="AC8" s="702"/>
      <c r="AD8" s="702"/>
      <c r="AE8" s="702"/>
      <c r="AF8" s="702"/>
      <c r="AG8" s="702"/>
      <c r="AH8" s="702"/>
      <c r="AI8" s="702"/>
      <c r="AJ8" s="702"/>
      <c r="AK8" s="702"/>
      <c r="AL8" s="702"/>
      <c r="AM8" s="702"/>
      <c r="AN8" s="680" t="s">
        <v>277</v>
      </c>
      <c r="AO8" s="694" t="s">
        <v>64</v>
      </c>
      <c r="AP8" s="695" t="s">
        <v>278</v>
      </c>
      <c r="AQ8" s="15"/>
    </row>
    <row r="9" spans="1:45">
      <c r="B9" s="1" t="str">
        <f>B$2</f>
        <v>NO.</v>
      </c>
      <c r="C9" s="1" t="str">
        <f t="shared" ref="C9:AL9" si="0">C$2</f>
        <v>EMPLOYEE ID</v>
      </c>
      <c r="D9" s="1" t="str">
        <f t="shared" si="0"/>
        <v>NAME</v>
      </c>
      <c r="E9" s="1" t="str">
        <f t="shared" si="0"/>
        <v>ROLE</v>
      </c>
      <c r="F9" s="1" t="str">
        <f t="shared" si="0"/>
        <v>SUPERVISOR</v>
      </c>
      <c r="G9" s="1" t="str">
        <f t="shared" si="0"/>
        <v>OPERATIONS MANAGER</v>
      </c>
      <c r="H9" s="55" t="str">
        <f t="shared" si="0"/>
        <v>PRODUCTIVITY</v>
      </c>
      <c r="I9" s="55" t="str">
        <f t="shared" si="0"/>
        <v>CHURN</v>
      </c>
      <c r="J9" s="55" t="str">
        <f t="shared" si="0"/>
        <v>QUALITY</v>
      </c>
      <c r="K9" s="55" t="str">
        <f t="shared" si="0"/>
        <v>ATTENDANCE</v>
      </c>
      <c r="L9" s="55" t="str">
        <f t="shared" si="0"/>
        <v>ATTRITION</v>
      </c>
      <c r="M9" s="55" t="str">
        <f t="shared" si="0"/>
        <v>CALIBRATION</v>
      </c>
      <c r="N9" s="55" t="str">
        <f t="shared" si="0"/>
        <v>KC</v>
      </c>
      <c r="O9" s="55" t="str">
        <f t="shared" si="0"/>
        <v>ESCALATIONS</v>
      </c>
      <c r="P9" s="55" t="str">
        <f t="shared" si="0"/>
        <v>DISPUTES</v>
      </c>
      <c r="Q9" s="55" t="str">
        <f t="shared" si="0"/>
        <v>COACHING</v>
      </c>
      <c r="R9" s="55" t="str">
        <f t="shared" si="0"/>
        <v>CE</v>
      </c>
      <c r="S9" s="55" t="str">
        <f t="shared" si="0"/>
        <v>FCR</v>
      </c>
      <c r="T9" s="55" t="s">
        <v>270</v>
      </c>
      <c r="U9" s="55" t="str">
        <f t="shared" si="0"/>
        <v>ERC</v>
      </c>
      <c r="V9" s="55" t="str">
        <f t="shared" si="0"/>
        <v>DF INITIATIVES</v>
      </c>
      <c r="W9" s="55" t="s">
        <v>273</v>
      </c>
      <c r="X9" s="29" t="str">
        <f t="shared" si="0"/>
        <v>PRODUCTIVITY</v>
      </c>
      <c r="Y9" s="29" t="str">
        <f t="shared" si="0"/>
        <v>CHURN</v>
      </c>
      <c r="Z9" s="29" t="str">
        <f t="shared" si="0"/>
        <v>QUALITY</v>
      </c>
      <c r="AA9" s="29" t="str">
        <f t="shared" si="0"/>
        <v>ATTENDANCE</v>
      </c>
      <c r="AB9" s="29" t="str">
        <f t="shared" si="0"/>
        <v>ATTRITION</v>
      </c>
      <c r="AC9" s="29" t="str">
        <f t="shared" si="0"/>
        <v>CALIBRATION</v>
      </c>
      <c r="AD9" s="29" t="str">
        <f t="shared" si="0"/>
        <v>KC</v>
      </c>
      <c r="AE9" s="29" t="str">
        <f t="shared" si="0"/>
        <v>ESCALATIONS</v>
      </c>
      <c r="AF9" s="29" t="str">
        <f t="shared" si="0"/>
        <v>DISPUTES</v>
      </c>
      <c r="AG9" s="29" t="str">
        <f t="shared" si="0"/>
        <v>COACHING</v>
      </c>
      <c r="AH9" s="29" t="str">
        <f t="shared" si="0"/>
        <v>CE</v>
      </c>
      <c r="AI9" s="29" t="str">
        <f t="shared" si="0"/>
        <v>FCR</v>
      </c>
      <c r="AJ9" s="29" t="s">
        <v>270</v>
      </c>
      <c r="AK9" s="29" t="str">
        <f t="shared" si="0"/>
        <v>ERC</v>
      </c>
      <c r="AL9" s="29" t="str">
        <f t="shared" si="0"/>
        <v>DF INITIATIVES</v>
      </c>
      <c r="AM9" s="507" t="s">
        <v>273</v>
      </c>
      <c r="AN9" s="682"/>
      <c r="AO9" s="694"/>
      <c r="AP9" s="695"/>
    </row>
    <row r="10" spans="1:45">
      <c r="A10" s="176" t="s">
        <v>274</v>
      </c>
      <c r="B10" s="3" t="s">
        <v>14</v>
      </c>
      <c r="C10" s="3">
        <v>10072003</v>
      </c>
      <c r="D10" s="3" t="s">
        <v>85</v>
      </c>
      <c r="E10" s="3" t="s">
        <v>279</v>
      </c>
      <c r="F10" s="3" t="s">
        <v>263</v>
      </c>
      <c r="G10" s="3" t="s">
        <v>263</v>
      </c>
      <c r="H10" s="31">
        <v>0.1</v>
      </c>
      <c r="I10" s="31">
        <v>0.1</v>
      </c>
      <c r="J10" s="31">
        <v>0.05</v>
      </c>
      <c r="K10" s="31">
        <v>0.15</v>
      </c>
      <c r="L10" s="31">
        <v>0.1</v>
      </c>
      <c r="M10" s="31">
        <v>0.05</v>
      </c>
      <c r="N10" s="31">
        <v>0.05</v>
      </c>
      <c r="O10" s="31">
        <v>0.05</v>
      </c>
      <c r="P10" s="31">
        <v>0.05</v>
      </c>
      <c r="Q10" s="31">
        <v>0.1</v>
      </c>
      <c r="R10" s="31">
        <v>0.1</v>
      </c>
      <c r="S10" s="31" t="s">
        <v>14</v>
      </c>
      <c r="T10" s="31" t="s">
        <v>14</v>
      </c>
      <c r="U10" s="31">
        <v>0.1</v>
      </c>
      <c r="V10" s="31">
        <v>0.15</v>
      </c>
      <c r="W10" s="31" t="s">
        <v>14</v>
      </c>
      <c r="X10" s="394">
        <f>IFERROR(INDEX('PRODUCTIVITY RAW'!$Q:$Q,MATCH(MANAGERS!$A10,'PRODUCTIVITY RAW'!$G:$G),0),"-")</f>
        <v>1</v>
      </c>
      <c r="Y10" s="394">
        <f>IFERROR(INDEX('CHURN RAW'!$H:$H,MATCH(MANAGERS!$A10,'CHURN RAW'!$C:$C,0)),"-")</f>
        <v>0.9</v>
      </c>
      <c r="Z10" s="394">
        <f>IFERROR(INDEX('QA RAW'!$S:$S,MATCH(MANAGERS!$A10,'QA RAW'!$M:$M,0)),"-")</f>
        <v>0.99473224637681146</v>
      </c>
      <c r="AA10" s="394">
        <f>IFERROR(INDEX('ATTENDANCE RAW'!$AI:$AI,MATCH(MANAGERS!$A10,'ATTENDANCE RAW'!$AF:$AF,0)),"-")</f>
        <v>0.96516508114157806</v>
      </c>
      <c r="AB10" s="394">
        <f>IFERROR(INDEX('ATTRITION RAW'!$P:$P,MATCH(MANAGERS!$A10,'ATTRITION RAW'!$D:$D,0)),"-")</f>
        <v>1</v>
      </c>
      <c r="AC10" s="394">
        <f>IFERROR(INDEX('TL CALIBRATION RAW'!$R:$R,MATCH(MANAGERS!$A10,'TL CALIBRATION RAW'!$L:$L,0)),"-")</f>
        <v>1</v>
      </c>
      <c r="AD10" s="394">
        <f>IFERROR(INDEX('KC RAW'!$R:$R,MATCH(MANAGERS!$A10,'KC RAW'!$Q:$Q,0)),"-")</f>
        <v>0.77231572481572508</v>
      </c>
      <c r="AE10" s="394">
        <f>IF(VLOOKUP($A10,$B:$G,3,FALSE)&gt;1,0%,100%)</f>
        <v>1</v>
      </c>
      <c r="AF10" s="394">
        <f>IF(VLOOKUP($A10,$B:$G,4,FALSE)&gt;1.5%,0%,IF(VLOOKUP($A10,$B:$G,4,FALSE)&gt;1.01%,50%,IF(VLOOKUP($A10,$B:$G,4,FALSE)&gt;0.01%,75%,100%)))</f>
        <v>1</v>
      </c>
      <c r="AG10" s="394">
        <f>IFERROR(INDEX('COACHING RAW'!$K:$K,MATCH(MANAGERS!$A10,'COACHING RAW'!$D:$D,0)),"-")</f>
        <v>1</v>
      </c>
      <c r="AH10" s="394">
        <f>IFERROR(INDEX('CE RAW'!$P:$P,MATCH(MANAGERS!$A10,'CE RAW'!$J:$J,0)),"-")</f>
        <v>0.97399999999999998</v>
      </c>
      <c r="AI10" s="394" t="str">
        <f>IFERROR(INDEX('FCR RAW'!$G:$G,MATCH(MANAGERS!$C10,'FCR RAW'!$A:$A,0)),"-")</f>
        <v>-</v>
      </c>
      <c r="AJ10" s="394"/>
      <c r="AK10" s="394">
        <f>IFERROR(VLOOKUP($A10,$B:$G,5,FALSE),"-")</f>
        <v>1</v>
      </c>
      <c r="AL10" s="394">
        <f>IF(VLOOKUP($A10,$B:$H,7,FALSE)="","-",VLOOKUP($A10,$B:$H,7,FALSE))</f>
        <v>0.8</v>
      </c>
      <c r="AM10" s="508" t="s">
        <v>14</v>
      </c>
      <c r="AN10" s="404">
        <f>IF(AL10="-",SUMPRODUCT(H10:U10,X10:AK10)/SUM(H10:U10),(SUMPRODUCT(H10:U10,X10:AK10)/SUM(H10:U10))*80%+IF(AL10="-",0,AL10)*20%)</f>
        <v>0.93642172858469086</v>
      </c>
      <c r="AO10" s="405">
        <v>0.6</v>
      </c>
      <c r="AP10" s="406">
        <f>IFERROR(AN10*AO10,"-")</f>
        <v>0.56185303715081447</v>
      </c>
    </row>
    <row r="11" spans="1:45">
      <c r="A11" s="176"/>
      <c r="B11" s="3" t="s">
        <v>14</v>
      </c>
      <c r="C11" s="3">
        <f>C5</f>
        <v>10072003</v>
      </c>
      <c r="D11" s="3" t="str">
        <f t="shared" ref="D11:AN11" si="1">D5</f>
        <v>MENDOZA, Carlo</v>
      </c>
      <c r="E11" s="3" t="str">
        <f t="shared" si="1"/>
        <v>OM</v>
      </c>
      <c r="F11" s="3" t="str">
        <f t="shared" si="1"/>
        <v>VENTANILLA, Michael</v>
      </c>
      <c r="G11" s="3" t="str">
        <f t="shared" si="1"/>
        <v>VENTANILLA, Michael</v>
      </c>
      <c r="H11" s="31">
        <f t="shared" si="1"/>
        <v>0.17</v>
      </c>
      <c r="I11" s="31">
        <f t="shared" si="1"/>
        <v>0.1</v>
      </c>
      <c r="J11" s="31">
        <f t="shared" si="1"/>
        <v>0.1</v>
      </c>
      <c r="K11" s="31">
        <f t="shared" si="1"/>
        <v>0.15</v>
      </c>
      <c r="L11" s="31">
        <f t="shared" si="1"/>
        <v>0.1</v>
      </c>
      <c r="M11" s="31">
        <f t="shared" si="1"/>
        <v>0.09</v>
      </c>
      <c r="N11" s="31">
        <f t="shared" si="1"/>
        <v>0.09</v>
      </c>
      <c r="O11" s="31">
        <f t="shared" si="1"/>
        <v>0.05</v>
      </c>
      <c r="P11" s="31">
        <f t="shared" si="1"/>
        <v>0.05</v>
      </c>
      <c r="Q11" s="31">
        <f t="shared" si="1"/>
        <v>0.05</v>
      </c>
      <c r="R11" s="31" t="str">
        <f t="shared" si="1"/>
        <v>-</v>
      </c>
      <c r="S11" s="31" t="str">
        <f t="shared" si="1"/>
        <v>-</v>
      </c>
      <c r="T11" s="31">
        <f t="shared" si="1"/>
        <v>0.05</v>
      </c>
      <c r="U11" s="31" t="str">
        <f t="shared" si="1"/>
        <v>-</v>
      </c>
      <c r="V11" s="31" t="str">
        <f t="shared" si="1"/>
        <v>-</v>
      </c>
      <c r="W11" s="31">
        <f t="shared" si="1"/>
        <v>0.15</v>
      </c>
      <c r="X11" s="394">
        <f t="shared" si="1"/>
        <v>1</v>
      </c>
      <c r="Y11" s="394">
        <f t="shared" si="1"/>
        <v>0.9</v>
      </c>
      <c r="Z11" s="394">
        <f t="shared" si="1"/>
        <v>0.99569999999999992</v>
      </c>
      <c r="AA11" s="394">
        <f t="shared" si="1"/>
        <v>0.97826086956521741</v>
      </c>
      <c r="AB11" s="394">
        <f t="shared" si="1"/>
        <v>1</v>
      </c>
      <c r="AC11" s="394">
        <f t="shared" si="1"/>
        <v>1</v>
      </c>
      <c r="AD11" s="394">
        <f t="shared" si="1"/>
        <v>0.72488095238095251</v>
      </c>
      <c r="AE11" s="394">
        <f t="shared" si="1"/>
        <v>1</v>
      </c>
      <c r="AF11" s="394">
        <f t="shared" si="1"/>
        <v>1</v>
      </c>
      <c r="AG11" s="394">
        <f t="shared" si="1"/>
        <v>1</v>
      </c>
      <c r="AH11" s="394" t="str">
        <f t="shared" si="1"/>
        <v>-</v>
      </c>
      <c r="AI11" s="394" t="str">
        <f t="shared" si="1"/>
        <v>-</v>
      </c>
      <c r="AJ11" s="394">
        <f>IFERROR(VLOOKUP($C11,$B$43:$H$46,7,FALSE),"-")</f>
        <v>1</v>
      </c>
      <c r="AK11" s="394">
        <f t="shared" si="1"/>
        <v>1</v>
      </c>
      <c r="AL11" s="394" t="str">
        <f t="shared" si="1"/>
        <v>-</v>
      </c>
      <c r="AM11" s="394" t="str">
        <f t="shared" si="1"/>
        <v>NONE</v>
      </c>
      <c r="AN11" s="404">
        <f t="shared" si="1"/>
        <v>0.9615484161490685</v>
      </c>
      <c r="AO11" s="405">
        <v>0.4</v>
      </c>
      <c r="AP11" s="406">
        <f>IFERROR(AN11*AO11,"-")</f>
        <v>0.38461936645962741</v>
      </c>
    </row>
    <row r="12" spans="1:45" ht="18.75">
      <c r="AN12" s="696" t="s">
        <v>66</v>
      </c>
      <c r="AO12" s="697"/>
      <c r="AP12" s="407">
        <f>SUM(AP10:AP11)</f>
        <v>0.94647240361044194</v>
      </c>
    </row>
    <row r="30" spans="2:8">
      <c r="C30" s="401" t="s">
        <v>42</v>
      </c>
      <c r="D30" s="401" t="s">
        <v>269</v>
      </c>
      <c r="E30" s="401" t="s">
        <v>60</v>
      </c>
      <c r="F30" s="401" t="s">
        <v>271</v>
      </c>
      <c r="G30" s="401" t="s">
        <v>272</v>
      </c>
      <c r="H30" s="402" t="s">
        <v>280</v>
      </c>
    </row>
    <row r="31" spans="2:8">
      <c r="B31" s="233">
        <v>7010609</v>
      </c>
      <c r="C31" s="664" t="s">
        <v>170</v>
      </c>
      <c r="D31" s="664">
        <f>'Logistics Executives'!$C$8</f>
        <v>0</v>
      </c>
      <c r="E31" s="334">
        <v>0</v>
      </c>
      <c r="F31" s="653">
        <v>1</v>
      </c>
      <c r="G31" s="399"/>
      <c r="H31" s="403" t="str">
        <f>IF(ISBLANK(G31),"",IF(G31&gt;=4.5,100%,IF(G31&gt;=3.75,80%,IF(G31&gt;=3,60%,IF(G31&gt;=2.5,40%,0%)))))</f>
        <v/>
      </c>
    </row>
    <row r="32" spans="2:8">
      <c r="B32" s="233">
        <v>10071937</v>
      </c>
      <c r="C32" s="664" t="s">
        <v>106</v>
      </c>
      <c r="D32" s="664">
        <f>'Logistics Executives'!$C$8</f>
        <v>0</v>
      </c>
      <c r="E32" s="334">
        <v>0</v>
      </c>
      <c r="F32" s="653">
        <v>1</v>
      </c>
      <c r="G32" s="399"/>
      <c r="H32" s="403" t="str">
        <f>IF(ISBLANK(G32),"",IF(G32&gt;=4.5,100%,IF(G32&gt;=3.75,80%,IF(G32&gt;=3,60%,IF(G32&gt;=2.5,40%,0%)))))</f>
        <v/>
      </c>
    </row>
    <row r="33" spans="2:8">
      <c r="B33" s="233">
        <v>10072003</v>
      </c>
      <c r="C33" s="664" t="s">
        <v>85</v>
      </c>
      <c r="D33" s="664">
        <f>'Logistics Executives'!$C$8</f>
        <v>0</v>
      </c>
      <c r="E33" s="334">
        <v>0</v>
      </c>
      <c r="F33" s="653">
        <v>1</v>
      </c>
      <c r="G33" s="399"/>
      <c r="H33" s="403" t="str">
        <f>IF(ISBLANK(G33),"",IF(G33&gt;=4.5,100%,IF(G33&gt;=3.75,80%,IF(G33&gt;=3,60%,IF(G33&gt;=2.5,40%,0%)))))</f>
        <v/>
      </c>
    </row>
    <row r="34" spans="2:8">
      <c r="B34" s="233" t="s">
        <v>274</v>
      </c>
      <c r="C34" s="664" t="s">
        <v>85</v>
      </c>
      <c r="D34" s="664">
        <f>'Logistics Executives'!$C$8</f>
        <v>0</v>
      </c>
      <c r="E34" s="334">
        <v>0</v>
      </c>
      <c r="F34" s="156">
        <v>1</v>
      </c>
      <c r="G34" s="400">
        <v>4.3</v>
      </c>
      <c r="H34" s="403">
        <f>IF(ISBLANK(G34),"",IF(G34&gt;=4.5,100%,IF(G34&gt;=3.75,80%,IF(G34&gt;=3,60%,IF(G34&gt;=2.5,40%,0%)))))</f>
        <v>0.8</v>
      </c>
    </row>
    <row r="37" spans="2:8" customFormat="1"/>
    <row r="38" spans="2:8" customFormat="1"/>
    <row r="39" spans="2:8" customFormat="1"/>
    <row r="40" spans="2:8" customFormat="1"/>
    <row r="41" spans="2:8" customFormat="1"/>
    <row r="42" spans="2:8" customFormat="1"/>
    <row r="43" spans="2:8">
      <c r="C43" s="512" t="s">
        <v>281</v>
      </c>
      <c r="D43" s="512" t="s">
        <v>282</v>
      </c>
      <c r="E43" s="512" t="s">
        <v>283</v>
      </c>
      <c r="F43" s="512" t="s">
        <v>284</v>
      </c>
      <c r="G43" s="152"/>
      <c r="H43" s="402" t="s">
        <v>281</v>
      </c>
    </row>
    <row r="44" spans="2:8">
      <c r="B44" s="2">
        <v>7010609</v>
      </c>
      <c r="C44" s="513" t="s">
        <v>170</v>
      </c>
      <c r="D44" s="514"/>
      <c r="E44" s="514"/>
      <c r="F44" s="469">
        <v>1</v>
      </c>
      <c r="G44" s="152"/>
      <c r="H44" s="436">
        <f>IF(F44&gt;=90%,100%,IF(F44&gt;=85%,80%,IF(F44&gt;=80%,60%,0%)))</f>
        <v>1</v>
      </c>
    </row>
    <row r="45" spans="2:8">
      <c r="B45" s="2">
        <v>10071937</v>
      </c>
      <c r="C45" s="513" t="s">
        <v>106</v>
      </c>
      <c r="D45" s="514"/>
      <c r="E45" s="514"/>
      <c r="F45" s="469">
        <v>1</v>
      </c>
      <c r="G45" s="152"/>
      <c r="H45" s="436">
        <f>IF(F45&gt;=90%,100%,IF(F45&gt;=85%,80%,IF(F45&gt;=80%,60%,0%)))</f>
        <v>1</v>
      </c>
    </row>
    <row r="46" spans="2:8">
      <c r="B46" s="2">
        <v>10072003</v>
      </c>
      <c r="C46" s="513" t="s">
        <v>85</v>
      </c>
      <c r="D46" s="514"/>
      <c r="E46" s="514"/>
      <c r="F46" s="469">
        <v>1</v>
      </c>
      <c r="G46" s="152"/>
      <c r="H46" s="436">
        <f>IF(F46&gt;=90%,100%,IF(F46&gt;=85%,80%,IF(F46&gt;=80%,60%,0%)))</f>
        <v>1</v>
      </c>
    </row>
    <row r="47" spans="2:8">
      <c r="C47"/>
      <c r="D47"/>
    </row>
    <row r="48" spans="2:8">
      <c r="C48"/>
      <c r="D48"/>
    </row>
    <row r="49" spans="2:4">
      <c r="C49"/>
      <c r="D49"/>
    </row>
    <row r="50" spans="2:4">
      <c r="C50"/>
      <c r="D50"/>
    </row>
    <row r="51" spans="2:4">
      <c r="C51"/>
      <c r="D51"/>
    </row>
    <row r="63" spans="2:4">
      <c r="B63" s="666" t="s">
        <v>285</v>
      </c>
      <c r="C63" s="687" t="s">
        <v>286</v>
      </c>
      <c r="D63" s="687"/>
    </row>
    <row r="64" spans="2:4">
      <c r="C64" s="362" t="s">
        <v>287</v>
      </c>
      <c r="D64" s="140" t="s">
        <v>288</v>
      </c>
    </row>
    <row r="65" spans="3:4">
      <c r="C65" s="365" t="s">
        <v>289</v>
      </c>
      <c r="D65" s="141">
        <v>1</v>
      </c>
    </row>
    <row r="66" spans="3:4">
      <c r="C66" s="365" t="s">
        <v>290</v>
      </c>
      <c r="D66" s="141">
        <v>0.8</v>
      </c>
    </row>
    <row r="67" spans="3:4">
      <c r="C67" s="365" t="s">
        <v>291</v>
      </c>
      <c r="D67" s="141">
        <v>0.6</v>
      </c>
    </row>
    <row r="68" spans="3:4">
      <c r="C68" s="365" t="s">
        <v>292</v>
      </c>
      <c r="D68" s="141">
        <v>0</v>
      </c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</sheetData>
  <mergeCells count="11">
    <mergeCell ref="AO1:AO2"/>
    <mergeCell ref="AO8:AO9"/>
    <mergeCell ref="AP8:AP9"/>
    <mergeCell ref="AN12:AO12"/>
    <mergeCell ref="X1:AM1"/>
    <mergeCell ref="X8:AM8"/>
    <mergeCell ref="C63:D63"/>
    <mergeCell ref="B1:G1"/>
    <mergeCell ref="B8:G8"/>
    <mergeCell ref="AN1:AN2"/>
    <mergeCell ref="AN8:AN9"/>
  </mergeCells>
  <conditionalFormatting sqref="AN3:AN5">
    <cfRule type="cellIs" dxfId="39" priority="5" operator="lessThan">
      <formula>0.8</formula>
    </cfRule>
  </conditionalFormatting>
  <conditionalFormatting sqref="AO3:AO5">
    <cfRule type="cellIs" dxfId="38" priority="3" operator="equal">
      <formula>1</formula>
    </cfRule>
  </conditionalFormatting>
  <conditionalFormatting sqref="AN10">
    <cfRule type="cellIs" dxfId="37" priority="2" operator="lessThan">
      <formula>0.8</formula>
    </cfRule>
  </conditionalFormatting>
  <conditionalFormatting sqref="AN11">
    <cfRule type="cellIs" dxfId="36" priority="1" operator="lessThan">
      <formula>0.8</formula>
    </cfRule>
  </conditionalFormatting>
  <pageMargins left="0.7" right="0.7" top="0.75" bottom="0.75" header="0.3" footer="0.3"/>
  <pageSetup paperSize="9" orientation="portrait" r:id="rId1"/>
  <ignoredErrors>
    <ignoredError sqref="AJ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F0"/>
  </sheetPr>
  <dimension ref="A1:N39"/>
  <sheetViews>
    <sheetView zoomScale="85" zoomScaleNormal="85" workbookViewId="0"/>
  </sheetViews>
  <sheetFormatPr defaultColWidth="15.28515625" defaultRowHeight="15"/>
  <cols>
    <col min="1" max="1" width="3.7109375" style="106" bestFit="1" customWidth="1"/>
    <col min="2" max="2" width="15.28515625" style="106"/>
    <col min="3" max="3" width="17" style="106" bestFit="1" customWidth="1"/>
    <col min="4" max="4" width="42.85546875" style="106" customWidth="1"/>
    <col min="5" max="5" width="18.28515625" style="106" bestFit="1" customWidth="1"/>
    <col min="6" max="8" width="15.28515625" style="106"/>
    <col min="9" max="9" width="23.7109375" style="106" bestFit="1" customWidth="1"/>
    <col min="10" max="11" width="15.28515625" style="106"/>
    <col min="12" max="12" width="26.7109375" style="139" bestFit="1" customWidth="1"/>
    <col min="13" max="13" width="15.28515625" style="106"/>
    <col min="15" max="16384" width="15.28515625" style="106"/>
  </cols>
  <sheetData>
    <row r="1" spans="1:13" ht="30">
      <c r="A1" s="104" t="s">
        <v>293</v>
      </c>
      <c r="B1" s="105" t="s">
        <v>294</v>
      </c>
      <c r="C1" s="104" t="s">
        <v>295</v>
      </c>
      <c r="D1" s="104" t="s">
        <v>296</v>
      </c>
      <c r="E1" s="104" t="s">
        <v>297</v>
      </c>
      <c r="F1" s="104" t="s">
        <v>298</v>
      </c>
      <c r="G1" s="104" t="s">
        <v>287</v>
      </c>
      <c r="H1" s="105" t="s">
        <v>299</v>
      </c>
      <c r="I1" s="104" t="s">
        <v>300</v>
      </c>
    </row>
    <row r="2" spans="1:13" ht="30">
      <c r="A2" s="288">
        <v>1</v>
      </c>
      <c r="B2" s="703" t="s">
        <v>301</v>
      </c>
      <c r="C2" s="705" t="s">
        <v>302</v>
      </c>
      <c r="D2" s="108" t="s">
        <v>303</v>
      </c>
      <c r="E2" s="109" t="s">
        <v>304</v>
      </c>
      <c r="F2" s="109">
        <v>0.2</v>
      </c>
      <c r="G2" s="111">
        <f>IF($J2&gt;=3.5,100%,IF($J2&gt;=2.75,80%,IF($J2&gt;=2,60%,IF($J2&gt;=1.5,40%,0%))))</f>
        <v>1</v>
      </c>
      <c r="H2" s="704">
        <f>SUMPRODUCT(G2:G12,F2:F12)/SUM(F2:F12)</f>
        <v>0.90049669399629706</v>
      </c>
      <c r="I2" s="710">
        <f>SUMPRODUCT(G2:G13,F2:F13)/SUM(F2:F13)</f>
        <v>0.90049669399629706</v>
      </c>
      <c r="J2" s="509">
        <v>3.78</v>
      </c>
    </row>
    <row r="3" spans="1:13" ht="14.25" hidden="1" customHeight="1">
      <c r="A3" s="288"/>
      <c r="B3" s="703"/>
      <c r="C3" s="706"/>
      <c r="D3" s="110" t="s">
        <v>305</v>
      </c>
      <c r="E3" s="107" t="s">
        <v>306</v>
      </c>
      <c r="F3" s="109"/>
      <c r="G3" s="109"/>
      <c r="H3" s="704"/>
      <c r="I3" s="710"/>
    </row>
    <row r="4" spans="1:13" ht="14.25" customHeight="1">
      <c r="A4" s="288">
        <f>A2+1</f>
        <v>2</v>
      </c>
      <c r="B4" s="703"/>
      <c r="C4" s="706"/>
      <c r="D4" s="110" t="s">
        <v>307</v>
      </c>
      <c r="E4" s="107" t="s">
        <v>308</v>
      </c>
      <c r="F4" s="109">
        <v>0.1</v>
      </c>
      <c r="G4" s="111">
        <f>IFERROR(VLOOKUP($L4,'FCR RAW'!$B:$G,6,FALSE),"-")</f>
        <v>0.99371859296482412</v>
      </c>
      <c r="H4" s="704"/>
      <c r="I4" s="710"/>
      <c r="L4" s="139" t="s">
        <v>58</v>
      </c>
    </row>
    <row r="5" spans="1:13" ht="14.25" customHeight="1">
      <c r="A5" s="288">
        <f>A4+1</f>
        <v>3</v>
      </c>
      <c r="B5" s="703"/>
      <c r="C5" s="706"/>
      <c r="D5" s="112" t="s">
        <v>309</v>
      </c>
      <c r="E5" s="107" t="s">
        <v>308</v>
      </c>
      <c r="F5" s="109">
        <v>0.15</v>
      </c>
      <c r="G5" s="111">
        <f>IFERROR(VLOOKUP($L5,'CE RAW'!$J:$P,7,FALSE),"-")</f>
        <v>0.97399999999999998</v>
      </c>
      <c r="H5" s="704"/>
      <c r="I5" s="710"/>
      <c r="L5" s="139" t="s">
        <v>274</v>
      </c>
    </row>
    <row r="6" spans="1:13" ht="14.25" customHeight="1">
      <c r="A6" s="288">
        <f t="shared" ref="A6:A13" si="0">A5+1</f>
        <v>4</v>
      </c>
      <c r="B6" s="703"/>
      <c r="C6" s="706"/>
      <c r="D6" s="112" t="s">
        <v>310</v>
      </c>
      <c r="E6" s="107" t="s">
        <v>311</v>
      </c>
      <c r="F6" s="109">
        <v>0.15</v>
      </c>
      <c r="G6" s="111">
        <f>IF(J6="","-",IF(J6&gt;=100%,100%,IF(J6&gt;=90%,90%,IF(J6&gt;=80%,80%,IF(J6&gt;=70%,70%,IF(J6&gt;=60%,60%,0%))))))</f>
        <v>0.8</v>
      </c>
      <c r="H6" s="704"/>
      <c r="I6" s="710"/>
      <c r="J6" s="505">
        <v>0.88329999999999997</v>
      </c>
    </row>
    <row r="7" spans="1:13" ht="14.25" customHeight="1">
      <c r="A7" s="288">
        <f t="shared" si="0"/>
        <v>5</v>
      </c>
      <c r="B7" s="703"/>
      <c r="C7" s="707"/>
      <c r="D7" s="112" t="s">
        <v>312</v>
      </c>
      <c r="E7" s="107" t="s">
        <v>313</v>
      </c>
      <c r="F7" s="109">
        <v>0.05</v>
      </c>
      <c r="G7" s="111">
        <f>IFERROR(VLOOKUP($L7,'CHURN RAW'!$J:$N,5,FALSE),"-")</f>
        <v>1</v>
      </c>
      <c r="H7" s="704"/>
      <c r="I7" s="710"/>
      <c r="L7" s="139" t="s">
        <v>313</v>
      </c>
    </row>
    <row r="8" spans="1:13" ht="14.25" customHeight="1">
      <c r="A8" s="288">
        <f t="shared" si="0"/>
        <v>6</v>
      </c>
      <c r="B8" s="703"/>
      <c r="C8" s="661" t="s">
        <v>314</v>
      </c>
      <c r="D8" s="112" t="s">
        <v>315</v>
      </c>
      <c r="E8" s="109" t="s">
        <v>316</v>
      </c>
      <c r="F8" s="109">
        <v>0.05</v>
      </c>
      <c r="G8" s="111">
        <f>IFERROR(VLOOKUP($L8,'ATTENDANCE RAW'!$E:$R,13,FALSE),"-")</f>
        <v>1</v>
      </c>
      <c r="H8" s="704"/>
      <c r="I8" s="710"/>
      <c r="L8" s="139">
        <v>10072608</v>
      </c>
    </row>
    <row r="9" spans="1:13" ht="14.25" customHeight="1">
      <c r="A9" s="288">
        <f t="shared" si="0"/>
        <v>7</v>
      </c>
      <c r="B9" s="703"/>
      <c r="C9" s="113" t="s">
        <v>317</v>
      </c>
      <c r="D9" s="110" t="s">
        <v>318</v>
      </c>
      <c r="E9" s="109" t="s">
        <v>316</v>
      </c>
      <c r="F9" s="109">
        <v>0.05</v>
      </c>
      <c r="G9" s="111">
        <f>IFERROR(AVERAGEIFS('KC RAW'!$H:$H,'KC RAW'!$B:$B,'QA CE Coach - Santy Lazaro'!$L9),"-")</f>
        <v>0.8</v>
      </c>
      <c r="H9" s="704"/>
      <c r="I9" s="710"/>
      <c r="L9" s="139">
        <v>10072608</v>
      </c>
    </row>
    <row r="10" spans="1:13" ht="14.25" customHeight="1">
      <c r="A10" s="288">
        <f t="shared" si="0"/>
        <v>8</v>
      </c>
      <c r="B10" s="703"/>
      <c r="C10" s="711" t="s">
        <v>319</v>
      </c>
      <c r="D10" s="110" t="s">
        <v>320</v>
      </c>
      <c r="E10" s="109" t="s">
        <v>316</v>
      </c>
      <c r="F10" s="109">
        <v>0.1</v>
      </c>
      <c r="G10" s="111">
        <f>J10</f>
        <v>1</v>
      </c>
      <c r="H10" s="704"/>
      <c r="I10" s="710"/>
      <c r="J10" s="155">
        <v>1</v>
      </c>
      <c r="K10" s="289"/>
      <c r="L10" s="289"/>
    </row>
    <row r="11" spans="1:13" ht="14.25" customHeight="1">
      <c r="A11" s="288">
        <f t="shared" si="0"/>
        <v>9</v>
      </c>
      <c r="B11" s="703"/>
      <c r="C11" s="711"/>
      <c r="D11" s="110" t="s">
        <v>321</v>
      </c>
      <c r="E11" s="107" t="s">
        <v>322</v>
      </c>
      <c r="F11" s="109">
        <v>0.05</v>
      </c>
      <c r="G11" s="111">
        <f>IF(J11=0,100%,IF(J11=1,80%,0%))</f>
        <v>1</v>
      </c>
      <c r="H11" s="704"/>
      <c r="I11" s="710"/>
      <c r="J11" s="323">
        <v>0</v>
      </c>
      <c r="K11" s="289"/>
      <c r="L11" s="289"/>
    </row>
    <row r="12" spans="1:13" ht="70.5" customHeight="1">
      <c r="A12" s="288">
        <f t="shared" si="0"/>
        <v>10</v>
      </c>
      <c r="B12" s="703"/>
      <c r="C12" s="711"/>
      <c r="D12" s="632" t="s">
        <v>323</v>
      </c>
      <c r="E12" s="107" t="s">
        <v>322</v>
      </c>
      <c r="F12" s="109">
        <v>0.05</v>
      </c>
      <c r="G12" s="111">
        <f>IF(J12="Met",100%,0%)</f>
        <v>0</v>
      </c>
      <c r="H12" s="704"/>
      <c r="I12" s="710"/>
      <c r="J12" s="155">
        <v>0</v>
      </c>
      <c r="K12" s="289"/>
      <c r="L12" s="289"/>
    </row>
    <row r="13" spans="1:13" ht="85.5">
      <c r="A13" s="288">
        <f t="shared" si="0"/>
        <v>11</v>
      </c>
      <c r="B13" s="107" t="s">
        <v>324</v>
      </c>
      <c r="C13" s="114" t="s">
        <v>325</v>
      </c>
      <c r="D13" s="115" t="s">
        <v>326</v>
      </c>
      <c r="E13" s="107" t="s">
        <v>327</v>
      </c>
      <c r="F13" s="116" t="str">
        <f>IF(OR($G13=0,$G13="-"),"-",M13)</f>
        <v>-</v>
      </c>
      <c r="G13" s="117">
        <f>IFERROR(VLOOKUP($L13,'BONUS RAW'!$D:$I,6,FALSE),0)</f>
        <v>0</v>
      </c>
      <c r="H13" s="660" t="str">
        <f>IF(OR($G13=0,$G13="-"),"-",G13)</f>
        <v>-</v>
      </c>
      <c r="I13" s="710"/>
      <c r="L13" s="139">
        <v>10072608</v>
      </c>
      <c r="M13" s="289">
        <v>0.05</v>
      </c>
    </row>
    <row r="14" spans="1:13">
      <c r="A14" s="118"/>
      <c r="C14" s="119"/>
      <c r="D14" s="119"/>
      <c r="E14" s="119"/>
      <c r="F14" s="119"/>
      <c r="G14" s="118"/>
      <c r="H14" s="118"/>
      <c r="I14" s="118"/>
      <c r="J14" s="118"/>
    </row>
    <row r="15" spans="1:13">
      <c r="A15" s="120"/>
      <c r="B15" s="118"/>
      <c r="C15" s="121" t="s">
        <v>328</v>
      </c>
      <c r="D15" s="120"/>
      <c r="E15" s="119"/>
      <c r="F15" s="122">
        <f>SUM(F2:F13)</f>
        <v>0.95000000000000029</v>
      </c>
      <c r="G15" s="123"/>
      <c r="H15" s="118"/>
      <c r="I15" s="118"/>
    </row>
    <row r="16" spans="1:13" ht="31.5" customHeight="1">
      <c r="A16" s="118"/>
      <c r="B16" s="118"/>
      <c r="C16" s="708" t="s">
        <v>329</v>
      </c>
      <c r="D16" s="709"/>
      <c r="E16" s="118"/>
      <c r="F16" s="123"/>
      <c r="G16" s="123"/>
      <c r="H16" s="118"/>
      <c r="I16" s="118"/>
    </row>
    <row r="17" spans="1:9">
      <c r="A17" s="118"/>
      <c r="B17" s="118"/>
      <c r="C17" s="298" t="s">
        <v>287</v>
      </c>
      <c r="D17" s="298" t="s">
        <v>288</v>
      </c>
      <c r="E17" s="118"/>
      <c r="F17" s="123"/>
      <c r="G17" s="123"/>
      <c r="H17" s="123"/>
      <c r="I17" s="123"/>
    </row>
    <row r="18" spans="1:9">
      <c r="A18" s="118"/>
      <c r="B18" s="118"/>
      <c r="C18" s="368" t="s">
        <v>330</v>
      </c>
      <c r="D18" s="369">
        <v>1</v>
      </c>
      <c r="E18" s="118"/>
      <c r="F18" s="127"/>
      <c r="G18" s="123"/>
      <c r="H18" s="123"/>
      <c r="I18" s="123"/>
    </row>
    <row r="19" spans="1:9">
      <c r="A19" s="118"/>
      <c r="B19" s="118"/>
      <c r="C19" s="368" t="s">
        <v>331</v>
      </c>
      <c r="D19" s="369">
        <v>0.8</v>
      </c>
      <c r="E19" s="118"/>
      <c r="F19" s="127"/>
      <c r="G19" s="123"/>
      <c r="H19" s="123"/>
      <c r="I19" s="123"/>
    </row>
    <row r="20" spans="1:9">
      <c r="A20" s="118"/>
      <c r="B20" s="118"/>
      <c r="C20" s="368" t="s">
        <v>332</v>
      </c>
      <c r="D20" s="369">
        <v>0.6</v>
      </c>
      <c r="E20" s="118"/>
      <c r="F20" s="123"/>
      <c r="G20" s="123"/>
      <c r="H20" s="123"/>
      <c r="I20" s="123"/>
    </row>
    <row r="21" spans="1:9">
      <c r="A21" s="118"/>
      <c r="B21" s="118"/>
      <c r="C21" s="368" t="s">
        <v>333</v>
      </c>
      <c r="D21" s="369">
        <v>0.4</v>
      </c>
      <c r="E21" s="118"/>
      <c r="F21" s="123"/>
      <c r="G21" s="123"/>
      <c r="H21" s="123"/>
      <c r="I21" s="123"/>
    </row>
    <row r="22" spans="1:9">
      <c r="A22" s="118"/>
      <c r="B22" s="118"/>
      <c r="C22" s="368" t="s">
        <v>334</v>
      </c>
      <c r="D22" s="369">
        <v>0</v>
      </c>
      <c r="E22" s="118"/>
      <c r="F22" s="123"/>
      <c r="G22" s="123"/>
      <c r="H22" s="123"/>
      <c r="I22" s="123"/>
    </row>
    <row r="23" spans="1:9">
      <c r="A23" s="118"/>
      <c r="B23" s="118"/>
      <c r="C23" s="130"/>
      <c r="D23" s="131"/>
      <c r="E23" s="118"/>
      <c r="F23" s="123"/>
      <c r="G23" s="123"/>
      <c r="H23" s="123"/>
      <c r="I23" s="123"/>
    </row>
    <row r="24" spans="1:9">
      <c r="A24" s="118"/>
      <c r="B24" s="118"/>
      <c r="C24" s="118"/>
      <c r="D24" s="118"/>
      <c r="E24" s="118"/>
      <c r="F24" s="123"/>
      <c r="G24" s="123"/>
      <c r="H24" s="123"/>
      <c r="I24" s="123"/>
    </row>
    <row r="25" spans="1:9" ht="14.1" customHeight="1">
      <c r="A25" s="118"/>
      <c r="B25" s="118"/>
      <c r="C25" s="708" t="s">
        <v>321</v>
      </c>
      <c r="D25" s="709"/>
      <c r="E25" s="118"/>
      <c r="F25" s="118"/>
      <c r="G25" s="118"/>
      <c r="H25" s="123"/>
      <c r="I25" s="123"/>
    </row>
    <row r="26" spans="1:9">
      <c r="A26" s="118"/>
      <c r="B26" s="118"/>
      <c r="C26" s="297" t="s">
        <v>287</v>
      </c>
      <c r="D26" s="298" t="s">
        <v>288</v>
      </c>
      <c r="E26" s="118"/>
      <c r="F26" s="118"/>
      <c r="G26" s="118"/>
      <c r="H26" s="118"/>
      <c r="I26" s="118"/>
    </row>
    <row r="27" spans="1:9">
      <c r="A27" s="118"/>
      <c r="B27" s="118"/>
      <c r="C27" s="299" t="s">
        <v>335</v>
      </c>
      <c r="D27" s="300">
        <v>1</v>
      </c>
      <c r="E27" s="118"/>
      <c r="F27" s="118"/>
      <c r="G27" s="132"/>
      <c r="H27" s="118"/>
      <c r="I27" s="118"/>
    </row>
    <row r="28" spans="1:9">
      <c r="A28" s="118"/>
      <c r="B28" s="118"/>
      <c r="C28" s="299" t="s">
        <v>336</v>
      </c>
      <c r="D28" s="300">
        <v>0.8</v>
      </c>
      <c r="E28" s="118"/>
      <c r="F28" s="118"/>
      <c r="G28" s="132"/>
      <c r="H28" s="118"/>
      <c r="I28" s="118"/>
    </row>
    <row r="29" spans="1:9">
      <c r="A29" s="118"/>
      <c r="B29" s="118"/>
      <c r="C29" s="299" t="s">
        <v>337</v>
      </c>
      <c r="D29" s="300">
        <v>0</v>
      </c>
      <c r="E29" s="118"/>
      <c r="F29" s="118"/>
      <c r="G29" s="132"/>
      <c r="H29" s="118"/>
      <c r="I29" s="118"/>
    </row>
    <row r="30" spans="1:9">
      <c r="A30" s="118"/>
      <c r="B30" s="118"/>
      <c r="C30" s="118"/>
      <c r="D30" s="118"/>
      <c r="E30" s="118"/>
      <c r="F30" s="118"/>
      <c r="G30" s="118"/>
      <c r="H30" s="118"/>
      <c r="I30" s="118"/>
    </row>
    <row r="31" spans="1:9" ht="15" customHeight="1">
      <c r="A31" s="118"/>
      <c r="B31" s="118"/>
      <c r="C31" s="118"/>
      <c r="D31" s="118"/>
      <c r="H31" s="118"/>
      <c r="I31" s="118"/>
    </row>
    <row r="32" spans="1:9">
      <c r="C32" s="708" t="s">
        <v>338</v>
      </c>
      <c r="D32" s="709"/>
    </row>
    <row r="33" spans="3:4">
      <c r="C33" s="298" t="s">
        <v>287</v>
      </c>
      <c r="D33" s="298" t="s">
        <v>288</v>
      </c>
    </row>
    <row r="34" spans="3:4">
      <c r="C34" s="503">
        <v>1</v>
      </c>
      <c r="D34" s="503">
        <v>1</v>
      </c>
    </row>
    <row r="35" spans="3:4">
      <c r="C35" s="504" t="s">
        <v>339</v>
      </c>
      <c r="D35" s="503">
        <v>0.9</v>
      </c>
    </row>
    <row r="36" spans="3:4">
      <c r="C36" s="504" t="s">
        <v>340</v>
      </c>
      <c r="D36" s="503">
        <v>0.8</v>
      </c>
    </row>
    <row r="37" spans="3:4">
      <c r="C37" s="504" t="s">
        <v>341</v>
      </c>
      <c r="D37" s="503">
        <v>0.7</v>
      </c>
    </row>
    <row r="38" spans="3:4">
      <c r="C38" s="504" t="s">
        <v>342</v>
      </c>
      <c r="D38" s="503">
        <v>0.6</v>
      </c>
    </row>
    <row r="39" spans="3:4">
      <c r="C39" s="504" t="s">
        <v>343</v>
      </c>
      <c r="D39" s="503">
        <v>0</v>
      </c>
    </row>
  </sheetData>
  <mergeCells count="8">
    <mergeCell ref="B2:B12"/>
    <mergeCell ref="H2:H12"/>
    <mergeCell ref="C2:C7"/>
    <mergeCell ref="C32:D32"/>
    <mergeCell ref="I2:I13"/>
    <mergeCell ref="C10:C12"/>
    <mergeCell ref="C25:D25"/>
    <mergeCell ref="C16:D1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F0"/>
  </sheetPr>
  <dimension ref="A1:O22"/>
  <sheetViews>
    <sheetView zoomScaleNormal="100" workbookViewId="0"/>
  </sheetViews>
  <sheetFormatPr defaultColWidth="11.42578125" defaultRowHeight="15"/>
  <cols>
    <col min="1" max="1" width="3.42578125" style="303" bestFit="1" customWidth="1"/>
    <col min="2" max="2" width="23" style="303" bestFit="1" customWidth="1"/>
    <col min="3" max="3" width="19.85546875" style="303" bestFit="1" customWidth="1"/>
    <col min="4" max="4" width="39.85546875" style="303" bestFit="1" customWidth="1"/>
    <col min="5" max="6" width="7.140625" style="303" bestFit="1" customWidth="1"/>
    <col min="7" max="7" width="8.140625" style="303" bestFit="1" customWidth="1"/>
    <col min="8" max="8" width="16.85546875" style="303" bestFit="1" customWidth="1"/>
    <col min="9" max="9" width="12.42578125" bestFit="1" customWidth="1"/>
    <col min="10" max="16384" width="11.42578125" style="303"/>
  </cols>
  <sheetData>
    <row r="1" spans="1:15" ht="25.5">
      <c r="A1" s="301" t="s">
        <v>293</v>
      </c>
      <c r="B1" s="302" t="s">
        <v>294</v>
      </c>
      <c r="C1" s="301" t="s">
        <v>295</v>
      </c>
      <c r="D1" s="301" t="s">
        <v>296</v>
      </c>
      <c r="E1" s="301" t="s">
        <v>297</v>
      </c>
      <c r="F1" s="301" t="s">
        <v>298</v>
      </c>
      <c r="G1" s="301" t="s">
        <v>287</v>
      </c>
      <c r="H1" s="302" t="s">
        <v>299</v>
      </c>
      <c r="K1" s="304"/>
    </row>
    <row r="2" spans="1:15" ht="12.95" customHeight="1">
      <c r="A2" s="305">
        <v>1</v>
      </c>
      <c r="B2" s="712" t="s">
        <v>301</v>
      </c>
      <c r="C2" s="714" t="s">
        <v>302</v>
      </c>
      <c r="D2" s="306" t="s">
        <v>344</v>
      </c>
      <c r="E2" s="307">
        <v>1</v>
      </c>
      <c r="F2" s="308">
        <v>0.3</v>
      </c>
      <c r="G2" s="321">
        <f>M2</f>
        <v>0</v>
      </c>
      <c r="H2" s="717">
        <f>SUMPRODUCT(G2:G6,F2:F6)/SUM(F2:F6)</f>
        <v>0.2105263157894737</v>
      </c>
      <c r="M2" s="643">
        <v>0</v>
      </c>
    </row>
    <row r="3" spans="1:15" ht="12.95" customHeight="1">
      <c r="A3" s="305">
        <v>2</v>
      </c>
      <c r="B3" s="713"/>
      <c r="C3" s="714"/>
      <c r="D3" s="306" t="s">
        <v>345</v>
      </c>
      <c r="E3" s="307">
        <v>1</v>
      </c>
      <c r="F3" s="308">
        <v>0.35</v>
      </c>
      <c r="G3" s="321">
        <f>M3</f>
        <v>0</v>
      </c>
      <c r="H3" s="718"/>
      <c r="M3" s="643">
        <v>0</v>
      </c>
    </row>
    <row r="4" spans="1:15" ht="26.25">
      <c r="A4" s="305">
        <v>3</v>
      </c>
      <c r="B4" s="713"/>
      <c r="C4" s="714"/>
      <c r="D4" s="309" t="s">
        <v>346</v>
      </c>
      <c r="E4" s="129">
        <v>0.85</v>
      </c>
      <c r="F4" s="308">
        <v>0.25</v>
      </c>
      <c r="G4" s="321">
        <f>IF($M4&gt;=3.5,100%,IF($M4&gt;=2.75,80%,IF($M4&gt;=2,60%,IF($M4&gt;=1.5,40%,0%))))</f>
        <v>0.6</v>
      </c>
      <c r="H4" s="718"/>
      <c r="J4" s="322"/>
      <c r="M4" s="377">
        <v>2.7</v>
      </c>
    </row>
    <row r="5" spans="1:15">
      <c r="A5" s="305">
        <v>4</v>
      </c>
      <c r="B5" s="713"/>
      <c r="C5" s="310" t="s">
        <v>347</v>
      </c>
      <c r="D5" s="311" t="s">
        <v>348</v>
      </c>
      <c r="E5" s="129">
        <v>0.95</v>
      </c>
      <c r="F5" s="312">
        <v>0.05</v>
      </c>
      <c r="G5" s="321">
        <f>IFERROR(INDEX('ATTENDANCE RAW'!$Q:$Q,MATCH('RDA - Larry Somera'!$M5,'ATTENDANCE RAW'!$E:$E,0)),"-")</f>
        <v>1</v>
      </c>
      <c r="H5" s="718"/>
      <c r="M5" s="376">
        <v>10072818</v>
      </c>
    </row>
    <row r="6" spans="1:15" ht="76.5">
      <c r="A6" s="305">
        <v>5</v>
      </c>
      <c r="B6" s="305" t="s">
        <v>324</v>
      </c>
      <c r="C6" s="662" t="s">
        <v>349</v>
      </c>
      <c r="D6" s="313" t="s">
        <v>350</v>
      </c>
      <c r="E6" s="305" t="s">
        <v>327</v>
      </c>
      <c r="F6" s="307" t="str">
        <f>IF(OR($G6=0,$G6="-"),"-",$O6)</f>
        <v>-</v>
      </c>
      <c r="G6" s="321">
        <f>IFERROR(VLOOKUP($M6,'BONUS RAW'!$D:$I,6,FALSE),0%)</f>
        <v>0</v>
      </c>
      <c r="H6" s="719"/>
      <c r="M6" s="376">
        <v>10072818</v>
      </c>
      <c r="O6" s="458">
        <v>0.05</v>
      </c>
    </row>
    <row r="7" spans="1:15">
      <c r="A7" s="304"/>
      <c r="C7" s="314"/>
      <c r="D7" s="314"/>
      <c r="E7" s="314"/>
      <c r="F7" s="314"/>
    </row>
    <row r="8" spans="1:15">
      <c r="C8" s="315" t="s">
        <v>328</v>
      </c>
      <c r="D8" s="316"/>
      <c r="E8" s="317"/>
      <c r="F8" s="317"/>
    </row>
    <row r="9" spans="1:15">
      <c r="C9" s="715" t="s">
        <v>351</v>
      </c>
      <c r="D9" s="716"/>
      <c r="E9" s="317"/>
      <c r="F9" s="317"/>
    </row>
    <row r="10" spans="1:15">
      <c r="C10" s="318" t="s">
        <v>287</v>
      </c>
      <c r="D10" s="124" t="s">
        <v>288</v>
      </c>
      <c r="E10" s="317"/>
      <c r="F10" s="317"/>
    </row>
    <row r="11" spans="1:15">
      <c r="C11" s="319" t="s">
        <v>352</v>
      </c>
      <c r="D11" s="308">
        <v>1</v>
      </c>
      <c r="E11" s="317"/>
      <c r="F11" s="317"/>
    </row>
    <row r="12" spans="1:15">
      <c r="C12" s="319" t="s">
        <v>353</v>
      </c>
      <c r="D12" s="308">
        <v>0.8</v>
      </c>
      <c r="E12" s="317"/>
      <c r="F12" s="317"/>
    </row>
    <row r="13" spans="1:15">
      <c r="C13" s="319" t="s">
        <v>354</v>
      </c>
      <c r="D13" s="308">
        <v>0</v>
      </c>
      <c r="E13" s="317"/>
      <c r="F13" s="317"/>
    </row>
    <row r="14" spans="1:15">
      <c r="C14" s="315"/>
      <c r="D14" s="316"/>
      <c r="E14" s="317"/>
      <c r="F14" s="317"/>
    </row>
    <row r="15" spans="1:15">
      <c r="D15" s="320"/>
    </row>
    <row r="16" spans="1:15" ht="24.95" customHeight="1">
      <c r="C16" s="708" t="s">
        <v>329</v>
      </c>
      <c r="D16" s="709"/>
    </row>
    <row r="17" spans="3:4">
      <c r="C17" s="298" t="s">
        <v>287</v>
      </c>
      <c r="D17" s="298" t="s">
        <v>288</v>
      </c>
    </row>
    <row r="18" spans="3:4">
      <c r="C18" s="368" t="s">
        <v>330</v>
      </c>
      <c r="D18" s="369">
        <v>1</v>
      </c>
    </row>
    <row r="19" spans="3:4">
      <c r="C19" s="368" t="s">
        <v>331</v>
      </c>
      <c r="D19" s="369">
        <v>0.8</v>
      </c>
    </row>
    <row r="20" spans="3:4">
      <c r="C20" s="368" t="s">
        <v>332</v>
      </c>
      <c r="D20" s="369">
        <v>0.6</v>
      </c>
    </row>
    <row r="21" spans="3:4">
      <c r="C21" s="368" t="s">
        <v>333</v>
      </c>
      <c r="D21" s="369">
        <v>0.4</v>
      </c>
    </row>
    <row r="22" spans="3:4">
      <c r="C22" s="368" t="s">
        <v>334</v>
      </c>
      <c r="D22" s="369">
        <v>0</v>
      </c>
    </row>
  </sheetData>
  <mergeCells count="5">
    <mergeCell ref="C16:D16"/>
    <mergeCell ref="B2:B5"/>
    <mergeCell ref="C2:C4"/>
    <mergeCell ref="C9:D9"/>
    <mergeCell ref="H2:H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K25"/>
  <sheetViews>
    <sheetView zoomScale="85" zoomScaleNormal="85" workbookViewId="0"/>
  </sheetViews>
  <sheetFormatPr defaultColWidth="12.42578125" defaultRowHeight="15"/>
  <cols>
    <col min="1" max="1" width="2.7109375" style="101" customWidth="1"/>
    <col min="2" max="2" width="9" style="100" bestFit="1" customWidth="1"/>
    <col min="3" max="3" width="27.42578125" style="101" bestFit="1" customWidth="1"/>
    <col min="4" max="4" width="23.28515625" style="102" customWidth="1"/>
    <col min="5" max="5" width="43.5703125" style="102" customWidth="1"/>
    <col min="6" max="6" width="23.42578125" style="100" customWidth="1"/>
    <col min="7" max="8" width="13.7109375" style="101" customWidth="1"/>
    <col min="9" max="9" width="20.5703125" style="101" customWidth="1"/>
    <col min="10" max="16384" width="12.42578125" style="101"/>
  </cols>
  <sheetData>
    <row r="1" spans="1:11" ht="17.100000000000001" customHeight="1">
      <c r="B1" s="358">
        <v>10072219</v>
      </c>
      <c r="C1" s="359" t="s">
        <v>355</v>
      </c>
    </row>
    <row r="2" spans="1:11" s="100" customFormat="1" ht="36" customHeight="1">
      <c r="B2" s="103" t="s">
        <v>356</v>
      </c>
      <c r="C2" s="103" t="s">
        <v>357</v>
      </c>
      <c r="D2" s="103" t="s">
        <v>358</v>
      </c>
      <c r="E2" s="103" t="s">
        <v>359</v>
      </c>
      <c r="F2" s="103" t="s">
        <v>360</v>
      </c>
      <c r="G2" s="103" t="s">
        <v>64</v>
      </c>
      <c r="H2" s="103" t="s">
        <v>361</v>
      </c>
      <c r="I2" s="103" t="s">
        <v>299</v>
      </c>
      <c r="J2" s="103" t="s">
        <v>300</v>
      </c>
    </row>
    <row r="3" spans="1:11" ht="15" customHeight="1">
      <c r="B3" s="349">
        <v>1</v>
      </c>
      <c r="C3" s="722" t="s">
        <v>301</v>
      </c>
      <c r="D3" s="724" t="s">
        <v>302</v>
      </c>
      <c r="E3" s="350" t="s">
        <v>362</v>
      </c>
      <c r="F3" s="126">
        <v>1</v>
      </c>
      <c r="G3" s="126">
        <v>0.3</v>
      </c>
      <c r="H3" s="361">
        <v>1</v>
      </c>
      <c r="I3" s="725">
        <f>SUMPRODUCT(H3:H6,G3:G6)/SUM(G3:G6)</f>
        <v>1</v>
      </c>
      <c r="J3" s="727">
        <f>(I3*100%)+(I7*5%)</f>
        <v>1</v>
      </c>
    </row>
    <row r="4" spans="1:11">
      <c r="B4" s="349">
        <v>2</v>
      </c>
      <c r="C4" s="723"/>
      <c r="D4" s="724"/>
      <c r="E4" s="350" t="s">
        <v>363</v>
      </c>
      <c r="F4" s="126">
        <v>1</v>
      </c>
      <c r="G4" s="126">
        <v>0.3</v>
      </c>
      <c r="H4" s="361">
        <v>1</v>
      </c>
      <c r="I4" s="726"/>
      <c r="J4" s="727"/>
    </row>
    <row r="5" spans="1:11">
      <c r="B5" s="349">
        <v>3</v>
      </c>
      <c r="C5" s="723"/>
      <c r="D5" s="724"/>
      <c r="E5" s="351" t="s">
        <v>364</v>
      </c>
      <c r="F5" s="129">
        <v>0.85</v>
      </c>
      <c r="G5" s="126">
        <v>0.2</v>
      </c>
      <c r="H5" s="361">
        <f>IF($K5&gt;=3,100%,IF($K5&gt;=2,80%,IF($K5&gt;=1,50%,0%)))</f>
        <v>1</v>
      </c>
      <c r="I5" s="726"/>
      <c r="J5" s="727"/>
      <c r="K5" s="642">
        <v>4</v>
      </c>
    </row>
    <row r="6" spans="1:11">
      <c r="B6" s="349">
        <v>4</v>
      </c>
      <c r="C6" s="723"/>
      <c r="D6" s="352" t="s">
        <v>347</v>
      </c>
      <c r="E6" s="353" t="s">
        <v>348</v>
      </c>
      <c r="F6" s="129">
        <v>0.95</v>
      </c>
      <c r="G6" s="126">
        <v>0.2</v>
      </c>
      <c r="H6" s="360">
        <f>IFERROR(INDEX('ATTENDANCE RAW'!$Q:$Q,MATCH('Sharepoint - Jewelson Capuno'!$B1,'ATTENDANCE RAW'!$E:$E,0)),"-")</f>
        <v>1</v>
      </c>
      <c r="I6" s="726"/>
      <c r="J6" s="727"/>
    </row>
    <row r="7" spans="1:11" ht="76.5">
      <c r="B7" s="349">
        <v>5</v>
      </c>
      <c r="C7" s="349" t="s">
        <v>324</v>
      </c>
      <c r="D7" s="663" t="s">
        <v>349</v>
      </c>
      <c r="E7" s="354" t="s">
        <v>350</v>
      </c>
      <c r="F7" s="349" t="s">
        <v>327</v>
      </c>
      <c r="G7" s="355">
        <v>0.05</v>
      </c>
      <c r="H7" s="360" t="str">
        <f>IFERROR(VLOOKUP($B1,'BONUS RAW'!$D:$I,6,FALSE),"-")</f>
        <v>-</v>
      </c>
      <c r="I7" s="129">
        <f>IF(H7="-",0%,H7)</f>
        <v>0</v>
      </c>
      <c r="J7" s="727"/>
    </row>
    <row r="8" spans="1:11">
      <c r="A8" s="102"/>
      <c r="B8" s="102"/>
      <c r="C8" s="102"/>
      <c r="E8" s="101"/>
      <c r="F8" s="101"/>
    </row>
    <row r="9" spans="1:11" ht="15" customHeight="1">
      <c r="C9" s="356" t="s">
        <v>328</v>
      </c>
      <c r="D9" s="357"/>
    </row>
    <row r="10" spans="1:11">
      <c r="C10" s="715" t="s">
        <v>351</v>
      </c>
      <c r="D10" s="716"/>
      <c r="F10" s="101"/>
    </row>
    <row r="11" spans="1:11" ht="15" customHeight="1">
      <c r="C11" s="124" t="s">
        <v>287</v>
      </c>
      <c r="D11" s="124" t="s">
        <v>288</v>
      </c>
      <c r="F11" s="101"/>
    </row>
    <row r="12" spans="1:11">
      <c r="C12" s="125" t="s">
        <v>352</v>
      </c>
      <c r="D12" s="126">
        <v>1</v>
      </c>
      <c r="F12" s="101"/>
    </row>
    <row r="13" spans="1:11">
      <c r="C13" s="125" t="s">
        <v>353</v>
      </c>
      <c r="D13" s="126">
        <v>0.8</v>
      </c>
      <c r="F13" s="101"/>
    </row>
    <row r="14" spans="1:11" s="102" customFormat="1">
      <c r="B14" s="100"/>
      <c r="C14" s="125" t="s">
        <v>354</v>
      </c>
      <c r="D14" s="126">
        <v>0</v>
      </c>
      <c r="F14" s="101"/>
      <c r="G14" s="101"/>
      <c r="H14" s="101"/>
      <c r="I14" s="101"/>
    </row>
    <row r="15" spans="1:11" s="102" customFormat="1">
      <c r="B15" s="100"/>
      <c r="F15" s="101"/>
      <c r="G15" s="101"/>
      <c r="H15" s="101"/>
      <c r="I15" s="101"/>
    </row>
    <row r="16" spans="1:11" s="102" customFormat="1">
      <c r="B16" s="100"/>
      <c r="F16" s="100"/>
      <c r="G16" s="101"/>
      <c r="H16" s="101"/>
      <c r="I16" s="101"/>
    </row>
    <row r="17" spans="3:4" ht="15.95" customHeight="1">
      <c r="C17" s="102"/>
    </row>
    <row r="18" spans="3:4" ht="23.1" customHeight="1">
      <c r="C18" s="720" t="s">
        <v>365</v>
      </c>
      <c r="D18" s="721"/>
    </row>
    <row r="19" spans="3:4">
      <c r="C19" s="124" t="s">
        <v>287</v>
      </c>
      <c r="D19" s="124" t="s">
        <v>288</v>
      </c>
    </row>
    <row r="20" spans="3:4">
      <c r="C20" s="125" t="s">
        <v>366</v>
      </c>
      <c r="D20" s="126">
        <v>1</v>
      </c>
    </row>
    <row r="21" spans="3:4">
      <c r="C21" s="125" t="s">
        <v>367</v>
      </c>
      <c r="D21" s="126">
        <v>0.8</v>
      </c>
    </row>
    <row r="22" spans="3:4">
      <c r="C22" s="125" t="s">
        <v>368</v>
      </c>
      <c r="D22" s="126">
        <v>0.5</v>
      </c>
    </row>
    <row r="23" spans="3:4">
      <c r="C23" s="128" t="s">
        <v>369</v>
      </c>
      <c r="D23" s="129">
        <v>0</v>
      </c>
    </row>
    <row r="24" spans="3:4">
      <c r="C24"/>
      <c r="D24"/>
    </row>
    <row r="25" spans="3:4" ht="15.95" customHeight="1">
      <c r="C25" s="102"/>
    </row>
  </sheetData>
  <mergeCells count="6">
    <mergeCell ref="C18:D18"/>
    <mergeCell ref="C3:C6"/>
    <mergeCell ref="D3:D5"/>
    <mergeCell ref="I3:I6"/>
    <mergeCell ref="J3:J7"/>
    <mergeCell ref="C10:D10"/>
  </mergeCells>
  <pageMargins left="0.7" right="0.7" top="0.75" bottom="0.75" header="0.3" footer="0.3"/>
  <pageSetup paperSize="9" orientation="portrait" horizontalDpi="4294967295" verticalDpi="4294967295" r:id="rId1"/>
  <ignoredErrors>
    <ignoredError sqref="I3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17A978CB9584D8B526D7B20994FE5" ma:contentTypeVersion="11" ma:contentTypeDescription="Create a new document." ma:contentTypeScope="" ma:versionID="82b11e7c10f475346e8d643d723f2035">
  <xsd:schema xmlns:xsd="http://www.w3.org/2001/XMLSchema" xmlns:xs="http://www.w3.org/2001/XMLSchema" xmlns:p="http://schemas.microsoft.com/office/2006/metadata/properties" xmlns:ns3="3ac52890-05ba-4d4d-8c38-3e28725c17b1" xmlns:ns4="45edb51b-6758-4153-b1e3-1410e4b4167d" targetNamespace="http://schemas.microsoft.com/office/2006/metadata/properties" ma:root="true" ma:fieldsID="b8ffc3247cb52511345550ca814c58d7" ns3:_="" ns4:_="">
    <xsd:import namespace="3ac52890-05ba-4d4d-8c38-3e28725c17b1"/>
    <xsd:import namespace="45edb51b-6758-4153-b1e3-1410e4b416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2890-05ba-4d4d-8c38-3e28725c1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db51b-6758-4153-b1e3-1410e4b416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A6CAB-4560-4071-B7E6-064891D54988}">
  <ds:schemaRefs>
    <ds:schemaRef ds:uri="http://purl.org/dc/elements/1.1/"/>
    <ds:schemaRef ds:uri="http://schemas.microsoft.com/office/2006/documentManagement/types"/>
    <ds:schemaRef ds:uri="http://purl.org/dc/dcmitype/"/>
    <ds:schemaRef ds:uri="45edb51b-6758-4153-b1e3-1410e4b4167d"/>
    <ds:schemaRef ds:uri="http://schemas.microsoft.com/office/2006/metadata/properties"/>
    <ds:schemaRef ds:uri="3ac52890-05ba-4d4d-8c38-3e28725c17b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8F34A3-756C-4300-A1B6-0279FE6D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62372-A087-488A-8647-ACCA93FD7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52890-05ba-4d4d-8c38-3e28725c17b1"/>
    <ds:schemaRef ds:uri="45edb51b-6758-4153-b1e3-1410e4b41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BIDWARS</vt:lpstr>
      <vt:lpstr>HOME</vt:lpstr>
      <vt:lpstr>RESOURCES</vt:lpstr>
      <vt:lpstr>SUPERVISORS</vt:lpstr>
      <vt:lpstr>QA CE Coach - Santy Lazaro</vt:lpstr>
      <vt:lpstr>RDA - Larry Somera</vt:lpstr>
      <vt:lpstr>Sharepoint - Jewelson Capuno</vt:lpstr>
      <vt:lpstr>Logistics Executives</vt:lpstr>
      <vt:lpstr>KPI</vt:lpstr>
      <vt:lpstr>for coaching</vt:lpstr>
      <vt:lpstr>ATTRITION RAW</vt:lpstr>
      <vt:lpstr>TL CALIBRATION RAW</vt:lpstr>
      <vt:lpstr>PR CALIBRATION RAW</vt:lpstr>
      <vt:lpstr>PRODUCTIVITY RAW</vt:lpstr>
      <vt:lpstr>ATTENDANCE RAW</vt:lpstr>
      <vt:lpstr>QA RAW</vt:lpstr>
      <vt:lpstr>CE RAW</vt:lpstr>
      <vt:lpstr>COACHING RAW</vt:lpstr>
      <vt:lpstr>KC RAW</vt:lpstr>
      <vt:lpstr>DISPUTES RAW (VQA)</vt:lpstr>
      <vt:lpstr>BONUS RAW</vt:lpstr>
      <vt:lpstr>FCR RAW</vt:lpstr>
      <vt:lpstr>CHURN RAW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D.. Solicito</dc:creator>
  <cp:lastModifiedBy>Ivan</cp:lastModifiedBy>
  <cp:revision/>
  <dcterms:created xsi:type="dcterms:W3CDTF">2019-01-23T11:08:02Z</dcterms:created>
  <dcterms:modified xsi:type="dcterms:W3CDTF">2020-02-17T00:11:27Z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0x01010063717A978CB9584D8B526D7B20994FE5</vt:lpwstr>
  </property>
</Properties>
</file>