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My Drive\Banfield\WaterYear\SIP\data\fractionation\"/>
    </mc:Choice>
  </mc:AlternateContent>
  <xr:revisionPtr revIDLastSave="0" documentId="13_ncr:1_{B58BA4B6-0F69-4B47-8B35-65E728F889D3}" xr6:coauthVersionLast="47" xr6:coauthVersionMax="47" xr10:uidLastSave="{00000000-0000-0000-0000-000000000000}"/>
  <bookViews>
    <workbookView xWindow="-110" yWindow="-110" windowWidth="38620" windowHeight="21100" tabRatio="622" activeTab="2" xr2:uid="{00000000-000D-0000-FFFF-FFFF00000000}"/>
  </bookViews>
  <sheets>
    <sheet name="Table of Contents" sheetId="22" r:id="rId1"/>
    <sheet name="Summary" sheetId="21" r:id="rId2"/>
    <sheet name="TubeLoading" sheetId="3" r:id="rId3"/>
    <sheet name="Tube A" sheetId="6" r:id="rId4"/>
    <sheet name="Tube B" sheetId="5" r:id="rId5"/>
    <sheet name="Tube C" sheetId="9" r:id="rId6"/>
    <sheet name="Tube D" sheetId="7" r:id="rId7"/>
    <sheet name="Tube E" sheetId="8" r:id="rId8"/>
    <sheet name="Tube F" sheetId="11" r:id="rId9"/>
    <sheet name="Tube G" sheetId="10" r:id="rId10"/>
    <sheet name="Tube H" sheetId="13" r:id="rId11"/>
    <sheet name="Tube I" sheetId="14" r:id="rId12"/>
    <sheet name="Tube J" sheetId="15" r:id="rId13"/>
    <sheet name="Tube K" sheetId="16" r:id="rId14"/>
    <sheet name="Tube L" sheetId="17" r:id="rId15"/>
    <sheet name="Tube M" sheetId="18" r:id="rId16"/>
    <sheet name="Tube N" sheetId="4" r:id="rId17"/>
    <sheet name="Tube O" sheetId="12" r:id="rId18"/>
    <sheet name="Tube P" sheetId="19" r:id="rId19"/>
    <sheet name="time" sheetId="1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3" i="3" l="1"/>
  <c r="G9" i="22"/>
  <c r="L30" i="3" l="1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29" i="3"/>
  <c r="H30" i="3"/>
  <c r="H31" i="3"/>
  <c r="J31" i="3" s="1"/>
  <c r="H32" i="3"/>
  <c r="J32" i="3" s="1"/>
  <c r="H33" i="3"/>
  <c r="H34" i="3"/>
  <c r="J34" i="3" s="1"/>
  <c r="H35" i="3"/>
  <c r="J35" i="3" s="1"/>
  <c r="H36" i="3"/>
  <c r="H37" i="3"/>
  <c r="H38" i="3"/>
  <c r="H39" i="3"/>
  <c r="H40" i="3"/>
  <c r="H41" i="3"/>
  <c r="H42" i="3"/>
  <c r="H43" i="3"/>
  <c r="H44" i="3"/>
  <c r="H29" i="3"/>
  <c r="C1" i="21"/>
  <c r="P1" i="21"/>
  <c r="O1" i="21"/>
  <c r="M1" i="21"/>
  <c r="L1" i="21"/>
  <c r="K1" i="21"/>
  <c r="J1" i="21"/>
  <c r="I1" i="21"/>
  <c r="H1" i="21"/>
  <c r="E1" i="21"/>
  <c r="G1" i="21"/>
  <c r="F1" i="21"/>
  <c r="D1" i="21"/>
  <c r="N1" i="21"/>
  <c r="I30" i="3"/>
  <c r="B1" i="21"/>
  <c r="E23" i="19"/>
  <c r="F23" i="19" s="1"/>
  <c r="F22" i="19"/>
  <c r="E22" i="19"/>
  <c r="E21" i="19"/>
  <c r="F21" i="19" s="1"/>
  <c r="E20" i="19"/>
  <c r="F20" i="19" s="1"/>
  <c r="E19" i="19"/>
  <c r="F19" i="19" s="1"/>
  <c r="F18" i="19"/>
  <c r="E18" i="19"/>
  <c r="E17" i="19"/>
  <c r="F17" i="19" s="1"/>
  <c r="E16" i="19"/>
  <c r="F16" i="19" s="1"/>
  <c r="E15" i="19"/>
  <c r="F15" i="19" s="1"/>
  <c r="F14" i="19"/>
  <c r="E14" i="19"/>
  <c r="E13" i="19"/>
  <c r="F13" i="19" s="1"/>
  <c r="E12" i="19"/>
  <c r="F12" i="19" s="1"/>
  <c r="E11" i="19"/>
  <c r="F11" i="19" s="1"/>
  <c r="F10" i="19"/>
  <c r="E10" i="19"/>
  <c r="E9" i="19"/>
  <c r="F9" i="19" s="1"/>
  <c r="E8" i="19"/>
  <c r="F8" i="19" s="1"/>
  <c r="E7" i="19"/>
  <c r="F7" i="19" s="1"/>
  <c r="F6" i="19"/>
  <c r="E6" i="19"/>
  <c r="E5" i="19"/>
  <c r="F5" i="19" s="1"/>
  <c r="E4" i="19"/>
  <c r="F4" i="19" s="1"/>
  <c r="E3" i="19"/>
  <c r="F3" i="19" s="1"/>
  <c r="F2" i="19"/>
  <c r="E2" i="19"/>
  <c r="E23" i="12"/>
  <c r="F23" i="12" s="1"/>
  <c r="E22" i="12"/>
  <c r="F22" i="12" s="1"/>
  <c r="E21" i="12"/>
  <c r="F21" i="12" s="1"/>
  <c r="E20" i="12"/>
  <c r="F20" i="12" s="1"/>
  <c r="E19" i="12"/>
  <c r="F19" i="12" s="1"/>
  <c r="E18" i="12"/>
  <c r="F18" i="12" s="1"/>
  <c r="E17" i="12"/>
  <c r="F17" i="12" s="1"/>
  <c r="E16" i="12"/>
  <c r="F16" i="12" s="1"/>
  <c r="E15" i="12"/>
  <c r="F15" i="12" s="1"/>
  <c r="E14" i="12"/>
  <c r="F14" i="12" s="1"/>
  <c r="E13" i="12"/>
  <c r="F13" i="12" s="1"/>
  <c r="E12" i="12"/>
  <c r="F12" i="12" s="1"/>
  <c r="E11" i="12"/>
  <c r="F11" i="12" s="1"/>
  <c r="E10" i="12"/>
  <c r="F10" i="12" s="1"/>
  <c r="E9" i="12"/>
  <c r="F9" i="12" s="1"/>
  <c r="E8" i="12"/>
  <c r="F8" i="12" s="1"/>
  <c r="E7" i="12"/>
  <c r="F7" i="12" s="1"/>
  <c r="E6" i="12"/>
  <c r="F6" i="12" s="1"/>
  <c r="E5" i="12"/>
  <c r="F5" i="12" s="1"/>
  <c r="E4" i="12"/>
  <c r="F4" i="12" s="1"/>
  <c r="E3" i="12"/>
  <c r="F3" i="12" s="1"/>
  <c r="E2" i="12"/>
  <c r="F2" i="12" s="1"/>
  <c r="E23" i="4"/>
  <c r="F23" i="4" s="1"/>
  <c r="F22" i="4"/>
  <c r="E22" i="4"/>
  <c r="E21" i="4"/>
  <c r="F21" i="4" s="1"/>
  <c r="E20" i="4"/>
  <c r="F20" i="4" s="1"/>
  <c r="E19" i="4"/>
  <c r="F19" i="4" s="1"/>
  <c r="F18" i="4"/>
  <c r="E18" i="4"/>
  <c r="E17" i="4"/>
  <c r="F17" i="4" s="1"/>
  <c r="E16" i="4"/>
  <c r="F16" i="4" s="1"/>
  <c r="E15" i="4"/>
  <c r="F15" i="4" s="1"/>
  <c r="F14" i="4"/>
  <c r="E14" i="4"/>
  <c r="E13" i="4"/>
  <c r="F13" i="4" s="1"/>
  <c r="E12" i="4"/>
  <c r="F12" i="4" s="1"/>
  <c r="E11" i="4"/>
  <c r="F11" i="4" s="1"/>
  <c r="F10" i="4"/>
  <c r="E10" i="4"/>
  <c r="E9" i="4"/>
  <c r="F9" i="4" s="1"/>
  <c r="E8" i="4"/>
  <c r="F8" i="4" s="1"/>
  <c r="E7" i="4"/>
  <c r="F7" i="4" s="1"/>
  <c r="F6" i="4"/>
  <c r="E6" i="4"/>
  <c r="E5" i="4"/>
  <c r="F5" i="4" s="1"/>
  <c r="E4" i="4"/>
  <c r="F4" i="4" s="1"/>
  <c r="E3" i="4"/>
  <c r="F3" i="4" s="1"/>
  <c r="F2" i="4"/>
  <c r="E2" i="4"/>
  <c r="I31" i="3" l="1"/>
  <c r="J30" i="3"/>
  <c r="B6" i="22"/>
  <c r="B7" i="22"/>
  <c r="B8" i="22"/>
  <c r="B9" i="22"/>
  <c r="B5" i="22"/>
  <c r="A6" i="22"/>
  <c r="A7" i="22"/>
  <c r="A8" i="22"/>
  <c r="A9" i="22"/>
  <c r="A5" i="22"/>
  <c r="E23" i="17"/>
  <c r="F23" i="17" s="1"/>
  <c r="E22" i="17"/>
  <c r="F22" i="17" s="1"/>
  <c r="E21" i="17"/>
  <c r="F21" i="17" s="1"/>
  <c r="E20" i="17"/>
  <c r="F20" i="17" s="1"/>
  <c r="E19" i="17"/>
  <c r="F19" i="17" s="1"/>
  <c r="E18" i="17"/>
  <c r="F18" i="17" s="1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E6" i="17"/>
  <c r="F6" i="17" s="1"/>
  <c r="E5" i="17"/>
  <c r="F5" i="17" s="1"/>
  <c r="E4" i="17"/>
  <c r="F4" i="17" s="1"/>
  <c r="E3" i="17"/>
  <c r="F3" i="17" s="1"/>
  <c r="E2" i="17"/>
  <c r="F2" i="17" s="1"/>
  <c r="E23" i="16"/>
  <c r="F23" i="16" s="1"/>
  <c r="E22" i="16"/>
  <c r="F22" i="16" s="1"/>
  <c r="E21" i="16"/>
  <c r="F21" i="16" s="1"/>
  <c r="E20" i="16"/>
  <c r="F20" i="16" s="1"/>
  <c r="E19" i="16"/>
  <c r="F19" i="16" s="1"/>
  <c r="E18" i="16"/>
  <c r="F18" i="16" s="1"/>
  <c r="E17" i="16"/>
  <c r="F17" i="16" s="1"/>
  <c r="E16" i="16"/>
  <c r="F16" i="16" s="1"/>
  <c r="E15" i="16"/>
  <c r="F15" i="16" s="1"/>
  <c r="E14" i="16"/>
  <c r="F14" i="16" s="1"/>
  <c r="E13" i="16"/>
  <c r="F13" i="16" s="1"/>
  <c r="E12" i="16"/>
  <c r="F12" i="16" s="1"/>
  <c r="E11" i="16"/>
  <c r="F11" i="16" s="1"/>
  <c r="F10" i="16"/>
  <c r="E10" i="16"/>
  <c r="E9" i="16"/>
  <c r="F9" i="16" s="1"/>
  <c r="E8" i="16"/>
  <c r="F8" i="16" s="1"/>
  <c r="E7" i="16"/>
  <c r="F7" i="16" s="1"/>
  <c r="E6" i="16"/>
  <c r="F6" i="16" s="1"/>
  <c r="E5" i="16"/>
  <c r="F5" i="16" s="1"/>
  <c r="E4" i="16"/>
  <c r="F4" i="16" s="1"/>
  <c r="E3" i="16"/>
  <c r="F3" i="16" s="1"/>
  <c r="E2" i="16"/>
  <c r="F2" i="16" s="1"/>
  <c r="E23" i="15"/>
  <c r="F23" i="15" s="1"/>
  <c r="E22" i="15"/>
  <c r="F22" i="15" s="1"/>
  <c r="E21" i="15"/>
  <c r="F21" i="15" s="1"/>
  <c r="E20" i="15"/>
  <c r="F20" i="15" s="1"/>
  <c r="E19" i="15"/>
  <c r="F19" i="15" s="1"/>
  <c r="E18" i="15"/>
  <c r="F18" i="15" s="1"/>
  <c r="E17" i="15"/>
  <c r="F17" i="15" s="1"/>
  <c r="F16" i="15"/>
  <c r="E16" i="15"/>
  <c r="E15" i="15"/>
  <c r="F15" i="15" s="1"/>
  <c r="E14" i="15"/>
  <c r="F14" i="15" s="1"/>
  <c r="E13" i="15"/>
  <c r="F13" i="15" s="1"/>
  <c r="E12" i="15"/>
  <c r="F12" i="15" s="1"/>
  <c r="E11" i="15"/>
  <c r="F11" i="15" s="1"/>
  <c r="E10" i="15"/>
  <c r="F10" i="15" s="1"/>
  <c r="E9" i="15"/>
  <c r="F9" i="15" s="1"/>
  <c r="E8" i="15"/>
  <c r="F8" i="15" s="1"/>
  <c r="E7" i="15"/>
  <c r="F7" i="15" s="1"/>
  <c r="E6" i="15"/>
  <c r="F6" i="15" s="1"/>
  <c r="E5" i="15"/>
  <c r="F5" i="15" s="1"/>
  <c r="E4" i="15"/>
  <c r="F4" i="15" s="1"/>
  <c r="E3" i="15"/>
  <c r="F3" i="15" s="1"/>
  <c r="E2" i="15"/>
  <c r="F2" i="15" s="1"/>
  <c r="E23" i="14"/>
  <c r="F23" i="14" s="1"/>
  <c r="E22" i="14"/>
  <c r="F22" i="14" s="1"/>
  <c r="E21" i="14"/>
  <c r="F21" i="14" s="1"/>
  <c r="E20" i="14"/>
  <c r="F20" i="14" s="1"/>
  <c r="E19" i="14"/>
  <c r="F19" i="14" s="1"/>
  <c r="E18" i="14"/>
  <c r="F18" i="14" s="1"/>
  <c r="E17" i="14"/>
  <c r="F17" i="14" s="1"/>
  <c r="E16" i="14"/>
  <c r="F16" i="14" s="1"/>
  <c r="E15" i="14"/>
  <c r="F15" i="14" s="1"/>
  <c r="E14" i="14"/>
  <c r="F14" i="14" s="1"/>
  <c r="E13" i="14"/>
  <c r="F13" i="14" s="1"/>
  <c r="E12" i="14"/>
  <c r="F12" i="14" s="1"/>
  <c r="E11" i="14"/>
  <c r="F11" i="14" s="1"/>
  <c r="E10" i="14"/>
  <c r="F10" i="14" s="1"/>
  <c r="E9" i="14"/>
  <c r="F9" i="14" s="1"/>
  <c r="E8" i="14"/>
  <c r="F8" i="14" s="1"/>
  <c r="E7" i="14"/>
  <c r="F7" i="14" s="1"/>
  <c r="E6" i="14"/>
  <c r="F6" i="14" s="1"/>
  <c r="E5" i="14"/>
  <c r="F5" i="14" s="1"/>
  <c r="E4" i="14"/>
  <c r="F4" i="14" s="1"/>
  <c r="E3" i="14"/>
  <c r="F3" i="14" s="1"/>
  <c r="E2" i="14"/>
  <c r="F2" i="14" s="1"/>
  <c r="N5" i="21" l="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4" i="21"/>
  <c r="B5" i="21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4" i="21"/>
  <c r="E3" i="13"/>
  <c r="F3" i="13" s="1"/>
  <c r="J37" i="3"/>
  <c r="E23" i="13"/>
  <c r="F23" i="13" s="1"/>
  <c r="E22" i="13"/>
  <c r="F22" i="13" s="1"/>
  <c r="E21" i="13"/>
  <c r="F21" i="13" s="1"/>
  <c r="E20" i="13"/>
  <c r="F20" i="13" s="1"/>
  <c r="E19" i="13"/>
  <c r="F19" i="13" s="1"/>
  <c r="E18" i="13"/>
  <c r="F18" i="13" s="1"/>
  <c r="E17" i="13"/>
  <c r="F17" i="13" s="1"/>
  <c r="E16" i="13"/>
  <c r="F16" i="13" s="1"/>
  <c r="E15" i="13"/>
  <c r="F15" i="13" s="1"/>
  <c r="E14" i="13"/>
  <c r="F14" i="13" s="1"/>
  <c r="E13" i="13"/>
  <c r="F13" i="13" s="1"/>
  <c r="E12" i="13"/>
  <c r="F12" i="13" s="1"/>
  <c r="E11" i="13"/>
  <c r="F11" i="13" s="1"/>
  <c r="E10" i="13"/>
  <c r="F10" i="13" s="1"/>
  <c r="E9" i="13"/>
  <c r="F9" i="13" s="1"/>
  <c r="E8" i="13"/>
  <c r="F8" i="13" s="1"/>
  <c r="E7" i="13"/>
  <c r="F7" i="13" s="1"/>
  <c r="E6" i="13"/>
  <c r="F6" i="13" s="1"/>
  <c r="E5" i="13"/>
  <c r="F5" i="13" s="1"/>
  <c r="E4" i="13"/>
  <c r="F4" i="13" s="1"/>
  <c r="E2" i="13"/>
  <c r="F2" i="13" s="1"/>
  <c r="E23" i="10"/>
  <c r="F23" i="10" s="1"/>
  <c r="E22" i="10"/>
  <c r="F22" i="10" s="1"/>
  <c r="E21" i="10"/>
  <c r="F21" i="10" s="1"/>
  <c r="E20" i="10"/>
  <c r="F20" i="10" s="1"/>
  <c r="E19" i="10"/>
  <c r="F19" i="10" s="1"/>
  <c r="E18" i="10"/>
  <c r="F18" i="10" s="1"/>
  <c r="E17" i="10"/>
  <c r="F17" i="10" s="1"/>
  <c r="E16" i="10"/>
  <c r="F16" i="10" s="1"/>
  <c r="E15" i="10"/>
  <c r="F15" i="10" s="1"/>
  <c r="E14" i="10"/>
  <c r="F14" i="10" s="1"/>
  <c r="E13" i="10"/>
  <c r="F13" i="10" s="1"/>
  <c r="E12" i="10"/>
  <c r="F12" i="10" s="1"/>
  <c r="E11" i="10"/>
  <c r="F11" i="10" s="1"/>
  <c r="E10" i="10"/>
  <c r="F10" i="10" s="1"/>
  <c r="E9" i="10"/>
  <c r="F9" i="10" s="1"/>
  <c r="E8" i="10"/>
  <c r="F8" i="10" s="1"/>
  <c r="E7" i="10"/>
  <c r="F7" i="10" s="1"/>
  <c r="E6" i="10"/>
  <c r="F6" i="10" s="1"/>
  <c r="E5" i="10"/>
  <c r="F5" i="10" s="1"/>
  <c r="E4" i="10"/>
  <c r="F4" i="10" s="1"/>
  <c r="E3" i="10"/>
  <c r="F3" i="10" s="1"/>
  <c r="E2" i="10"/>
  <c r="F2" i="10" s="1"/>
  <c r="E23" i="11"/>
  <c r="F23" i="11" s="1"/>
  <c r="E22" i="11"/>
  <c r="F22" i="11" s="1"/>
  <c r="E21" i="11"/>
  <c r="F21" i="11" s="1"/>
  <c r="E20" i="11"/>
  <c r="F20" i="11" s="1"/>
  <c r="E19" i="11"/>
  <c r="F19" i="11" s="1"/>
  <c r="E18" i="11"/>
  <c r="F18" i="11" s="1"/>
  <c r="E17" i="11"/>
  <c r="F17" i="11" s="1"/>
  <c r="E16" i="11"/>
  <c r="F16" i="11" s="1"/>
  <c r="E15" i="11"/>
  <c r="F15" i="11" s="1"/>
  <c r="E14" i="11"/>
  <c r="F14" i="11" s="1"/>
  <c r="E13" i="11"/>
  <c r="F13" i="11" s="1"/>
  <c r="E12" i="11"/>
  <c r="F12" i="11" s="1"/>
  <c r="E11" i="11"/>
  <c r="F11" i="11" s="1"/>
  <c r="E10" i="11"/>
  <c r="F10" i="11" s="1"/>
  <c r="E9" i="11"/>
  <c r="F9" i="11" s="1"/>
  <c r="E8" i="11"/>
  <c r="F8" i="11" s="1"/>
  <c r="E7" i="11"/>
  <c r="F7" i="11" s="1"/>
  <c r="E6" i="11"/>
  <c r="F6" i="11" s="1"/>
  <c r="E5" i="11"/>
  <c r="F5" i="11" s="1"/>
  <c r="E4" i="11"/>
  <c r="F4" i="11" s="1"/>
  <c r="E3" i="11"/>
  <c r="F3" i="11" s="1"/>
  <c r="E2" i="11"/>
  <c r="F2" i="11" s="1"/>
  <c r="E23" i="8"/>
  <c r="F23" i="8" s="1"/>
  <c r="O25" i="21" s="1"/>
  <c r="E22" i="8"/>
  <c r="F22" i="8" s="1"/>
  <c r="O24" i="21" s="1"/>
  <c r="E21" i="8"/>
  <c r="F21" i="8" s="1"/>
  <c r="O23" i="21" s="1"/>
  <c r="E20" i="8"/>
  <c r="F20" i="8" s="1"/>
  <c r="O22" i="21" s="1"/>
  <c r="E19" i="8"/>
  <c r="F19" i="8" s="1"/>
  <c r="O21" i="21" s="1"/>
  <c r="E18" i="8"/>
  <c r="F18" i="8" s="1"/>
  <c r="O20" i="21" s="1"/>
  <c r="E17" i="8"/>
  <c r="F17" i="8" s="1"/>
  <c r="O19" i="21" s="1"/>
  <c r="E16" i="8"/>
  <c r="F16" i="8" s="1"/>
  <c r="O18" i="21" s="1"/>
  <c r="E15" i="8"/>
  <c r="F15" i="8" s="1"/>
  <c r="O17" i="21" s="1"/>
  <c r="E14" i="8"/>
  <c r="F14" i="8" s="1"/>
  <c r="O16" i="21" s="1"/>
  <c r="E13" i="8"/>
  <c r="F13" i="8" s="1"/>
  <c r="O15" i="21" s="1"/>
  <c r="E12" i="8"/>
  <c r="F12" i="8" s="1"/>
  <c r="O14" i="21" s="1"/>
  <c r="E11" i="8"/>
  <c r="F11" i="8" s="1"/>
  <c r="O13" i="21" s="1"/>
  <c r="E10" i="8"/>
  <c r="F10" i="8" s="1"/>
  <c r="O12" i="21" s="1"/>
  <c r="E9" i="8"/>
  <c r="F9" i="8" s="1"/>
  <c r="O11" i="21" s="1"/>
  <c r="E8" i="8"/>
  <c r="F8" i="8" s="1"/>
  <c r="O10" i="21" s="1"/>
  <c r="E7" i="8"/>
  <c r="F7" i="8" s="1"/>
  <c r="O9" i="21" s="1"/>
  <c r="E6" i="8"/>
  <c r="F6" i="8" s="1"/>
  <c r="O8" i="21" s="1"/>
  <c r="E5" i="8"/>
  <c r="F5" i="8" s="1"/>
  <c r="O7" i="21" s="1"/>
  <c r="E4" i="8"/>
  <c r="F4" i="8" s="1"/>
  <c r="O6" i="21" s="1"/>
  <c r="E3" i="8"/>
  <c r="F3" i="8" s="1"/>
  <c r="O5" i="21" s="1"/>
  <c r="E2" i="8"/>
  <c r="F2" i="8" s="1"/>
  <c r="O4" i="21" s="1"/>
  <c r="I29" i="3" l="1"/>
  <c r="J29" i="3"/>
  <c r="J44" i="3"/>
  <c r="D44" i="3"/>
  <c r="E44" i="3" s="1"/>
  <c r="D43" i="3"/>
  <c r="E43" i="3" s="1"/>
  <c r="D42" i="3"/>
  <c r="E42" i="3" s="1"/>
  <c r="D41" i="3"/>
  <c r="E41" i="3" s="1"/>
  <c r="I37" i="3"/>
  <c r="E81" i="19"/>
  <c r="F81" i="19" s="1"/>
  <c r="E80" i="19"/>
  <c r="F80" i="19"/>
  <c r="E79" i="19"/>
  <c r="F79" i="19" s="1"/>
  <c r="E78" i="19"/>
  <c r="F78" i="19"/>
  <c r="E77" i="19"/>
  <c r="F77" i="19" s="1"/>
  <c r="E76" i="19"/>
  <c r="F76" i="19"/>
  <c r="E75" i="19"/>
  <c r="F75" i="19" s="1"/>
  <c r="E74" i="19"/>
  <c r="F74" i="19"/>
  <c r="E73" i="19"/>
  <c r="F73" i="19" s="1"/>
  <c r="E72" i="19"/>
  <c r="F72" i="19"/>
  <c r="E71" i="19"/>
  <c r="F71" i="19" s="1"/>
  <c r="E70" i="19"/>
  <c r="F70" i="19"/>
  <c r="E69" i="19"/>
  <c r="F69" i="19" s="1"/>
  <c r="E68" i="19"/>
  <c r="F68" i="19"/>
  <c r="E67" i="19"/>
  <c r="F67" i="19" s="1"/>
  <c r="E66" i="19"/>
  <c r="F66" i="19"/>
  <c r="E65" i="19"/>
  <c r="F65" i="19" s="1"/>
  <c r="E64" i="19"/>
  <c r="F64" i="19"/>
  <c r="E63" i="19"/>
  <c r="F63" i="19" s="1"/>
  <c r="E62" i="19"/>
  <c r="F62" i="19"/>
  <c r="E61" i="19"/>
  <c r="F61" i="19" s="1"/>
  <c r="E60" i="19"/>
  <c r="F60" i="19"/>
  <c r="E59" i="19"/>
  <c r="F59" i="19" s="1"/>
  <c r="E58" i="19"/>
  <c r="F58" i="19"/>
  <c r="E57" i="19"/>
  <c r="F57" i="19" s="1"/>
  <c r="E56" i="19"/>
  <c r="F56" i="19"/>
  <c r="E55" i="19"/>
  <c r="F55" i="19" s="1"/>
  <c r="E54" i="19"/>
  <c r="F54" i="19"/>
  <c r="E53" i="19"/>
  <c r="F53" i="19" s="1"/>
  <c r="E52" i="19"/>
  <c r="F52" i="19"/>
  <c r="E51" i="19"/>
  <c r="F51" i="19" s="1"/>
  <c r="E50" i="19"/>
  <c r="F50" i="19"/>
  <c r="E49" i="19"/>
  <c r="F49" i="19" s="1"/>
  <c r="E48" i="19"/>
  <c r="F48" i="19"/>
  <c r="E47" i="19"/>
  <c r="F47" i="19" s="1"/>
  <c r="E46" i="19"/>
  <c r="F46" i="19"/>
  <c r="E45" i="19"/>
  <c r="F45" i="19" s="1"/>
  <c r="E44" i="19"/>
  <c r="F44" i="19"/>
  <c r="E43" i="19"/>
  <c r="F43" i="19" s="1"/>
  <c r="E42" i="19"/>
  <c r="F42" i="19"/>
  <c r="E41" i="19"/>
  <c r="F41" i="19" s="1"/>
  <c r="E40" i="19"/>
  <c r="F40" i="19"/>
  <c r="E39" i="19"/>
  <c r="F39" i="19" s="1"/>
  <c r="E38" i="19"/>
  <c r="F38" i="19"/>
  <c r="E37" i="19"/>
  <c r="F37" i="19" s="1"/>
  <c r="E36" i="19"/>
  <c r="F36" i="19"/>
  <c r="E35" i="19"/>
  <c r="F35" i="19" s="1"/>
  <c r="E34" i="19"/>
  <c r="F34" i="19"/>
  <c r="E33" i="19"/>
  <c r="F33" i="19" s="1"/>
  <c r="E32" i="19"/>
  <c r="F32" i="19"/>
  <c r="E31" i="19"/>
  <c r="F31" i="19" s="1"/>
  <c r="E30" i="19"/>
  <c r="F30" i="19"/>
  <c r="E29" i="19"/>
  <c r="F29" i="19" s="1"/>
  <c r="E28" i="19"/>
  <c r="F28" i="19"/>
  <c r="E27" i="19"/>
  <c r="F27" i="19" s="1"/>
  <c r="E26" i="19"/>
  <c r="F26" i="19"/>
  <c r="E25" i="19"/>
  <c r="F25" i="19" s="1"/>
  <c r="E24" i="19"/>
  <c r="F24" i="19"/>
  <c r="E81" i="4"/>
  <c r="F81" i="4" s="1"/>
  <c r="E80" i="4"/>
  <c r="F80" i="4" s="1"/>
  <c r="E79" i="4"/>
  <c r="F79" i="4" s="1"/>
  <c r="E78" i="4"/>
  <c r="F78" i="4"/>
  <c r="E77" i="4"/>
  <c r="F77" i="4" s="1"/>
  <c r="E76" i="4"/>
  <c r="F76" i="4" s="1"/>
  <c r="E75" i="4"/>
  <c r="F75" i="4" s="1"/>
  <c r="E74" i="4"/>
  <c r="F74" i="4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/>
  <c r="E67" i="4"/>
  <c r="F67" i="4" s="1"/>
  <c r="E66" i="4"/>
  <c r="F66" i="4"/>
  <c r="E65" i="4"/>
  <c r="F65" i="4" s="1"/>
  <c r="E64" i="4"/>
  <c r="F64" i="4" s="1"/>
  <c r="E63" i="4"/>
  <c r="F63" i="4" s="1"/>
  <c r="E62" i="4"/>
  <c r="F62" i="4"/>
  <c r="E61" i="4"/>
  <c r="F61" i="4" s="1"/>
  <c r="E60" i="4"/>
  <c r="F60" i="4" s="1"/>
  <c r="E59" i="4"/>
  <c r="F59" i="4" s="1"/>
  <c r="E58" i="4"/>
  <c r="F58" i="4"/>
  <c r="E57" i="4"/>
  <c r="F57" i="4" s="1"/>
  <c r="E56" i="4"/>
  <c r="F56" i="4" s="1"/>
  <c r="E55" i="4"/>
  <c r="F55" i="4" s="1"/>
  <c r="E54" i="4"/>
  <c r="F54" i="4"/>
  <c r="E53" i="4"/>
  <c r="F53" i="4" s="1"/>
  <c r="E52" i="4"/>
  <c r="F52" i="4" s="1"/>
  <c r="E51" i="4"/>
  <c r="F51" i="4" s="1"/>
  <c r="E50" i="4"/>
  <c r="F50" i="4"/>
  <c r="E49" i="4"/>
  <c r="F49" i="4" s="1"/>
  <c r="E48" i="4"/>
  <c r="F48" i="4" s="1"/>
  <c r="E47" i="4"/>
  <c r="F47" i="4" s="1"/>
  <c r="E46" i="4"/>
  <c r="F46" i="4"/>
  <c r="E45" i="4"/>
  <c r="F45" i="4" s="1"/>
  <c r="E44" i="4"/>
  <c r="F44" i="4" s="1"/>
  <c r="E43" i="4"/>
  <c r="F43" i="4" s="1"/>
  <c r="E42" i="4"/>
  <c r="F42" i="4"/>
  <c r="E41" i="4"/>
  <c r="F41" i="4" s="1"/>
  <c r="E40" i="4"/>
  <c r="F40" i="4" s="1"/>
  <c r="E39" i="4"/>
  <c r="F39" i="4" s="1"/>
  <c r="E38" i="4"/>
  <c r="F38" i="4"/>
  <c r="E37" i="4"/>
  <c r="F37" i="4" s="1"/>
  <c r="E36" i="4"/>
  <c r="F36" i="4" s="1"/>
  <c r="E35" i="4"/>
  <c r="F35" i="4" s="1"/>
  <c r="E34" i="4"/>
  <c r="F34" i="4"/>
  <c r="E33" i="4"/>
  <c r="F33" i="4" s="1"/>
  <c r="E32" i="4"/>
  <c r="F32" i="4" s="1"/>
  <c r="E31" i="4"/>
  <c r="F31" i="4" s="1"/>
  <c r="E30" i="4"/>
  <c r="F30" i="4"/>
  <c r="E29" i="4"/>
  <c r="F29" i="4" s="1"/>
  <c r="E28" i="4"/>
  <c r="F28" i="4" s="1"/>
  <c r="E27" i="4"/>
  <c r="F27" i="4" s="1"/>
  <c r="E26" i="4"/>
  <c r="F26" i="4"/>
  <c r="E25" i="4"/>
  <c r="F25" i="4" s="1"/>
  <c r="E24" i="4"/>
  <c r="F24" i="4" s="1"/>
  <c r="E23" i="18"/>
  <c r="F23" i="18" s="1"/>
  <c r="E22" i="18"/>
  <c r="F22" i="18" s="1"/>
  <c r="E21" i="18"/>
  <c r="F21" i="18" s="1"/>
  <c r="E20" i="18"/>
  <c r="F20" i="18" s="1"/>
  <c r="E19" i="18"/>
  <c r="F19" i="18" s="1"/>
  <c r="E18" i="18"/>
  <c r="F18" i="18" s="1"/>
  <c r="E17" i="18"/>
  <c r="F17" i="18" s="1"/>
  <c r="E16" i="18"/>
  <c r="F16" i="18"/>
  <c r="E15" i="18"/>
  <c r="F15" i="18" s="1"/>
  <c r="E14" i="18"/>
  <c r="F14" i="18" s="1"/>
  <c r="E13" i="18"/>
  <c r="F13" i="18" s="1"/>
  <c r="E12" i="18"/>
  <c r="F12" i="18" s="1"/>
  <c r="E11" i="18"/>
  <c r="F11" i="18" s="1"/>
  <c r="E10" i="18"/>
  <c r="F10" i="18"/>
  <c r="E9" i="18"/>
  <c r="F9" i="18" s="1"/>
  <c r="E8" i="18"/>
  <c r="F8" i="18" s="1"/>
  <c r="E7" i="18"/>
  <c r="F7" i="18" s="1"/>
  <c r="E6" i="18"/>
  <c r="F6" i="18" s="1"/>
  <c r="E5" i="18"/>
  <c r="F5" i="18" s="1"/>
  <c r="E4" i="18"/>
  <c r="F4" i="18" s="1"/>
  <c r="E3" i="18"/>
  <c r="F3" i="18" s="1"/>
  <c r="E2" i="18"/>
  <c r="F2" i="18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F17" i="7" s="1"/>
  <c r="E16" i="7"/>
  <c r="F16" i="7" s="1"/>
  <c r="E15" i="7"/>
  <c r="F15" i="7" s="1"/>
  <c r="E14" i="7"/>
  <c r="F14" i="7" s="1"/>
  <c r="E13" i="7"/>
  <c r="F13" i="7" s="1"/>
  <c r="E12" i="7"/>
  <c r="F12" i="7" s="1"/>
  <c r="E11" i="7"/>
  <c r="F11" i="7" s="1"/>
  <c r="E10" i="7"/>
  <c r="F10" i="7" s="1"/>
  <c r="E9" i="7"/>
  <c r="F9" i="7" s="1"/>
  <c r="E8" i="7"/>
  <c r="F8" i="7" s="1"/>
  <c r="E7" i="7"/>
  <c r="F7" i="7" s="1"/>
  <c r="E6" i="7"/>
  <c r="F6" i="7" s="1"/>
  <c r="L8" i="21" s="1"/>
  <c r="E5" i="7"/>
  <c r="F5" i="7" s="1"/>
  <c r="L7" i="21" s="1"/>
  <c r="E4" i="7"/>
  <c r="F4" i="7" s="1"/>
  <c r="L6" i="21" s="1"/>
  <c r="E3" i="7"/>
  <c r="F3" i="7" s="1"/>
  <c r="L5" i="21" s="1"/>
  <c r="E2" i="7"/>
  <c r="F2" i="7" s="1"/>
  <c r="L4" i="21" s="1"/>
  <c r="E23" i="9"/>
  <c r="F23" i="9" s="1"/>
  <c r="E22" i="9"/>
  <c r="F22" i="9" s="1"/>
  <c r="E21" i="9"/>
  <c r="F21" i="9" s="1"/>
  <c r="E20" i="9"/>
  <c r="F20" i="9" s="1"/>
  <c r="E19" i="9"/>
  <c r="F19" i="9" s="1"/>
  <c r="E18" i="9"/>
  <c r="F18" i="9" s="1"/>
  <c r="E17" i="9"/>
  <c r="F17" i="9" s="1"/>
  <c r="E16" i="9"/>
  <c r="F16" i="9" s="1"/>
  <c r="E15" i="9"/>
  <c r="F15" i="9" s="1"/>
  <c r="E14" i="9"/>
  <c r="F14" i="9" s="1"/>
  <c r="E13" i="9"/>
  <c r="F13" i="9" s="1"/>
  <c r="E12" i="9"/>
  <c r="F12" i="9" s="1"/>
  <c r="E11" i="9"/>
  <c r="F11" i="9" s="1"/>
  <c r="E10" i="9"/>
  <c r="F10" i="9" s="1"/>
  <c r="E9" i="9"/>
  <c r="F9" i="9" s="1"/>
  <c r="E8" i="9"/>
  <c r="F8" i="9" s="1"/>
  <c r="E7" i="9"/>
  <c r="F7" i="9" s="1"/>
  <c r="E6" i="9"/>
  <c r="F6" i="9" s="1"/>
  <c r="E5" i="9"/>
  <c r="F5" i="9" s="1"/>
  <c r="E4" i="9"/>
  <c r="F4" i="9" s="1"/>
  <c r="E3" i="9"/>
  <c r="F3" i="9" s="1"/>
  <c r="E2" i="9"/>
  <c r="F2" i="9" s="1"/>
  <c r="E2" i="6"/>
  <c r="F2" i="6" s="1"/>
  <c r="E3" i="6"/>
  <c r="F3" i="6" s="1"/>
  <c r="E4" i="6"/>
  <c r="F4" i="6" s="1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E15" i="6"/>
  <c r="F15" i="6" s="1"/>
  <c r="E16" i="6"/>
  <c r="F16" i="6" s="1"/>
  <c r="E17" i="6"/>
  <c r="F17" i="6" s="1"/>
  <c r="E18" i="6"/>
  <c r="F18" i="6" s="1"/>
  <c r="E19" i="6"/>
  <c r="F19" i="6" s="1"/>
  <c r="E20" i="6"/>
  <c r="F20" i="6" s="1"/>
  <c r="E21" i="6"/>
  <c r="F21" i="6" s="1"/>
  <c r="E22" i="6"/>
  <c r="F22" i="6" s="1"/>
  <c r="E23" i="6"/>
  <c r="F23" i="6" s="1"/>
  <c r="E2" i="5"/>
  <c r="F2" i="5" s="1"/>
  <c r="E3" i="5"/>
  <c r="F3" i="5" s="1"/>
  <c r="E4" i="5"/>
  <c r="F4" i="5" s="1"/>
  <c r="E5" i="5"/>
  <c r="F5" i="5" s="1"/>
  <c r="E6" i="5"/>
  <c r="F6" i="5" s="1"/>
  <c r="E7" i="5"/>
  <c r="F7" i="5" s="1"/>
  <c r="E8" i="5"/>
  <c r="F8" i="5" s="1"/>
  <c r="E9" i="5"/>
  <c r="F9" i="5" s="1"/>
  <c r="E10" i="5"/>
  <c r="F10" i="5" s="1"/>
  <c r="E11" i="5"/>
  <c r="F11" i="5" s="1"/>
  <c r="E12" i="5"/>
  <c r="F12" i="5" s="1"/>
  <c r="E13" i="5"/>
  <c r="F13" i="5" s="1"/>
  <c r="E14" i="5"/>
  <c r="F14" i="5" s="1"/>
  <c r="E15" i="5"/>
  <c r="F15" i="5" s="1"/>
  <c r="E16" i="5"/>
  <c r="F16" i="5" s="1"/>
  <c r="E17" i="5"/>
  <c r="F17" i="5" s="1"/>
  <c r="E18" i="5"/>
  <c r="F18" i="5" s="1"/>
  <c r="E19" i="5"/>
  <c r="F19" i="5" s="1"/>
  <c r="E20" i="5"/>
  <c r="F20" i="5" s="1"/>
  <c r="E21" i="5"/>
  <c r="F21" i="5" s="1"/>
  <c r="E22" i="5"/>
  <c r="F22" i="5" s="1"/>
  <c r="E23" i="5"/>
  <c r="F23" i="5" s="1"/>
  <c r="L3" i="6"/>
  <c r="M3" i="6" s="1"/>
  <c r="L2" i="6"/>
  <c r="M2" i="6" s="1"/>
  <c r="L3" i="5"/>
  <c r="M3" i="5" s="1"/>
  <c r="L2" i="5"/>
  <c r="M2" i="5" s="1"/>
  <c r="L3" i="9"/>
  <c r="M3" i="9"/>
  <c r="L2" i="9"/>
  <c r="M2" i="9" s="1"/>
  <c r="L3" i="7"/>
  <c r="M3" i="7"/>
  <c r="L2" i="7"/>
  <c r="M2" i="7" s="1"/>
  <c r="L3" i="8"/>
  <c r="M3" i="8" s="1"/>
  <c r="L2" i="8"/>
  <c r="M2" i="8" s="1"/>
  <c r="L3" i="11"/>
  <c r="M3" i="11" s="1"/>
  <c r="L2" i="11"/>
  <c r="M2" i="11" s="1"/>
  <c r="L3" i="10"/>
  <c r="M3" i="10" s="1"/>
  <c r="L2" i="10"/>
  <c r="M2" i="10" s="1"/>
  <c r="L3" i="13"/>
  <c r="M3" i="13"/>
  <c r="L2" i="13"/>
  <c r="M2" i="13" s="1"/>
  <c r="L3" i="14"/>
  <c r="M3" i="14"/>
  <c r="L2" i="14"/>
  <c r="M2" i="14" s="1"/>
  <c r="L3" i="15"/>
  <c r="M3" i="15" s="1"/>
  <c r="L2" i="15"/>
  <c r="M2" i="15" s="1"/>
  <c r="L3" i="16"/>
  <c r="M3" i="16" s="1"/>
  <c r="L2" i="16"/>
  <c r="M2" i="16" s="1"/>
  <c r="L3" i="17"/>
  <c r="M3" i="17" s="1"/>
  <c r="L2" i="17"/>
  <c r="M2" i="17" s="1"/>
  <c r="L3" i="18"/>
  <c r="M3" i="18" s="1"/>
  <c r="L2" i="18"/>
  <c r="M2" i="18" s="1"/>
  <c r="L3" i="4"/>
  <c r="M3" i="4" s="1"/>
  <c r="L2" i="4"/>
  <c r="M2" i="4" s="1"/>
  <c r="L3" i="12"/>
  <c r="M3" i="12"/>
  <c r="L2" i="12"/>
  <c r="M2" i="12" s="1"/>
  <c r="L3" i="19"/>
  <c r="M3" i="19"/>
  <c r="L2" i="19"/>
  <c r="M2" i="19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45" i="3"/>
  <c r="E45" i="3" s="1"/>
  <c r="F22" i="3"/>
  <c r="F23" i="3"/>
  <c r="F24" i="3"/>
  <c r="F25" i="3"/>
  <c r="F26" i="3"/>
  <c r="F21" i="3"/>
  <c r="E25" i="3"/>
  <c r="E26" i="3"/>
  <c r="E20" i="3"/>
  <c r="E21" i="3"/>
  <c r="E22" i="3"/>
  <c r="E23" i="3"/>
  <c r="E24" i="3"/>
  <c r="B5" i="1"/>
  <c r="B7" i="1"/>
  <c r="B9" i="1"/>
  <c r="B10" i="1" s="1"/>
  <c r="D20" i="1" s="1"/>
  <c r="B15" i="1"/>
  <c r="D18" i="1"/>
  <c r="D19" i="1"/>
  <c r="G5" i="22" l="1"/>
  <c r="D26" i="21"/>
  <c r="H5" i="22" s="1"/>
  <c r="I44" i="3"/>
  <c r="I42" i="3"/>
  <c r="J42" i="3"/>
  <c r="I40" i="3"/>
  <c r="J40" i="3"/>
  <c r="I39" i="3"/>
  <c r="J39" i="3"/>
  <c r="I38" i="3"/>
  <c r="J38" i="3"/>
  <c r="I43" i="3"/>
  <c r="J43" i="3"/>
  <c r="I41" i="3"/>
  <c r="J41" i="3"/>
  <c r="I33" i="3"/>
  <c r="I34" i="3"/>
  <c r="I32" i="3"/>
  <c r="I36" i="3"/>
  <c r="J36" i="3"/>
  <c r="I35" i="3"/>
  <c r="L25" i="21"/>
  <c r="L24" i="21"/>
  <c r="L23" i="21"/>
  <c r="L22" i="21"/>
  <c r="L21" i="21"/>
  <c r="L20" i="21"/>
  <c r="L19" i="21"/>
  <c r="L18" i="21"/>
  <c r="L17" i="21"/>
  <c r="L16" i="21"/>
  <c r="L15" i="21"/>
  <c r="L14" i="21"/>
  <c r="L13" i="21"/>
  <c r="L12" i="21"/>
  <c r="L11" i="21"/>
  <c r="L10" i="21"/>
  <c r="L9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B19" i="3"/>
  <c r="C19" i="3" s="1"/>
  <c r="B23" i="3"/>
  <c r="B21" i="3"/>
  <c r="B17" i="3"/>
  <c r="C17" i="3" s="1"/>
  <c r="B22" i="3"/>
  <c r="B25" i="3"/>
  <c r="C25" i="3" s="1"/>
  <c r="B24" i="3"/>
  <c r="C24" i="3" s="1"/>
  <c r="B20" i="3"/>
  <c r="B18" i="3"/>
  <c r="C18" i="3" s="1"/>
  <c r="B26" i="3"/>
  <c r="B15" i="3"/>
  <c r="C15" i="3" s="1"/>
  <c r="B14" i="3"/>
  <c r="C14" i="3" s="1"/>
  <c r="B16" i="3"/>
  <c r="C16" i="3" s="1"/>
  <c r="B13" i="3"/>
  <c r="C13" i="3" s="1"/>
  <c r="P26" i="21" l="1"/>
  <c r="H9" i="22" s="1"/>
  <c r="G7" i="22"/>
  <c r="J26" i="21"/>
  <c r="H7" i="22" s="1"/>
  <c r="G8" i="22"/>
  <c r="M26" i="21"/>
  <c r="H8" i="22" s="1"/>
  <c r="G6" i="22"/>
  <c r="G26" i="21"/>
  <c r="H6" i="22" s="1"/>
  <c r="G25" i="3"/>
  <c r="C21" i="3"/>
  <c r="G21" i="3"/>
  <c r="G24" i="3"/>
  <c r="C20" i="3"/>
  <c r="G20" i="3"/>
  <c r="C23" i="3"/>
  <c r="G23" i="3"/>
  <c r="G22" i="3"/>
  <c r="C22" i="3"/>
  <c r="G26" i="3"/>
  <c r="C26" i="3"/>
  <c r="K30" i="3" l="1"/>
  <c r="K33" i="3"/>
  <c r="K41" i="3"/>
  <c r="K42" i="3"/>
  <c r="K35" i="3"/>
  <c r="K43" i="3"/>
  <c r="K36" i="3"/>
  <c r="K44" i="3"/>
  <c r="K34" i="3"/>
  <c r="K37" i="3"/>
  <c r="K29" i="3"/>
  <c r="K38" i="3"/>
  <c r="K31" i="3"/>
  <c r="K39" i="3"/>
  <c r="K32" i="3"/>
  <c r="K40" i="3"/>
</calcChain>
</file>

<file path=xl/sharedStrings.xml><?xml version="1.0" encoding="utf-8"?>
<sst xmlns="http://schemas.openxmlformats.org/spreadsheetml/2006/main" count="1250" uniqueCount="214">
  <si>
    <t>calculated density p(20)</t>
  </si>
  <si>
    <t>Final volume 5.6+ ml</t>
  </si>
  <si>
    <t>time to equilibrate gradient (h) with 3 layered pre-gradient</t>
  </si>
  <si>
    <t>particle equilibrium time at selected rpm (h)</t>
  </si>
  <si>
    <t>volume of tube (ml)</t>
  </si>
  <si>
    <t>M</t>
  </si>
  <si>
    <t>Molecular mass of DNA (Dependent on size)</t>
  </si>
  <si>
    <t>Size of DNA (bp)</t>
  </si>
  <si>
    <t>L</t>
  </si>
  <si>
    <t>β°-value</t>
  </si>
  <si>
    <r>
      <t>r</t>
    </r>
    <r>
      <rPr>
        <b/>
        <vertAlign val="subscript"/>
        <sz val="10"/>
        <rFont val="Arial"/>
        <family val="2"/>
      </rPr>
      <t>b</t>
    </r>
  </si>
  <si>
    <r>
      <t>r</t>
    </r>
    <r>
      <rPr>
        <b/>
        <vertAlign val="subscript"/>
        <sz val="10"/>
        <rFont val="Arial"/>
        <family val="2"/>
      </rPr>
      <t>t</t>
    </r>
  </si>
  <si>
    <r>
      <t>S</t>
    </r>
    <r>
      <rPr>
        <b/>
        <vertAlign val="subscript"/>
        <sz val="10"/>
        <rFont val="Arial"/>
        <family val="2"/>
      </rPr>
      <t>20,w</t>
    </r>
  </si>
  <si>
    <r>
      <t>ρ</t>
    </r>
    <r>
      <rPr>
        <b/>
        <vertAlign val="subscript"/>
        <sz val="10"/>
        <rFont val="Arial"/>
        <family val="2"/>
      </rPr>
      <t>m</t>
    </r>
  </si>
  <si>
    <r>
      <t>ρ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</si>
  <si>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p</t>
    </r>
  </si>
  <si>
    <r>
      <t>r</t>
    </r>
    <r>
      <rPr>
        <b/>
        <vertAlign val="subscript"/>
        <sz val="10"/>
        <rFont val="Arial"/>
        <family val="2"/>
      </rPr>
      <t>c</t>
    </r>
  </si>
  <si>
    <r>
      <t>v</t>
    </r>
    <r>
      <rPr>
        <b/>
        <vertAlign val="subscript"/>
        <sz val="10"/>
        <rFont val="Arial"/>
        <family val="2"/>
      </rPr>
      <t>t</t>
    </r>
  </si>
  <si>
    <t>Volume CsCl (mL)</t>
  </si>
  <si>
    <t>Volume GB/DNA (mL)</t>
  </si>
  <si>
    <t>Total Volume (mL)</t>
  </si>
  <si>
    <t>the distance from the axis of rotation to the position occupied by the DNA at equilibrium (cm)</t>
  </si>
  <si>
    <t>β°</t>
  </si>
  <si>
    <t>N</t>
  </si>
  <si>
    <t>ω</t>
  </si>
  <si>
    <t xml:space="preserve">distance (cm) to bottom of gradient </t>
  </si>
  <si>
    <t xml:space="preserve">distance (cm) to top of gradient </t>
  </si>
  <si>
    <t>β°-value of CsCl (dependent on concentration)</t>
  </si>
  <si>
    <t>angular velocity of rotor (rev/min)</t>
  </si>
  <si>
    <t>angular velocity of rotor ((π/30)(rev/min))</t>
  </si>
  <si>
    <t>Sedimentation coefficient of DNA at 20 °C in water (DNA size and density dependent?)</t>
  </si>
  <si>
    <t>constant which is inversely proportional to the diffusion coefficient of the solute which forms the gradient</t>
  </si>
  <si>
    <t>CsCl Density at 25 °C (g/ml)</t>
  </si>
  <si>
    <t>CsCl stock</t>
  </si>
  <si>
    <t>buoyant density of the DNA (dependent on GC and %labeling, use the lightest density)</t>
  </si>
  <si>
    <t>the isoconcentration point in a cylindrical tube (cm) (a tube in a swing-out rotor)</t>
  </si>
  <si>
    <t>density of solution (g/ml) (if homogeneous)</t>
  </si>
  <si>
    <r>
      <t>k</t>
    </r>
    <r>
      <rPr>
        <sz val="10"/>
        <rFont val="Arial"/>
        <family val="2"/>
        <charset val="1"/>
      </rPr>
      <t xml:space="preserve"> (for 1.5 g/ml CsCl)</t>
    </r>
  </si>
  <si>
    <t>time to equilibrate gradient (h) without pre-gradient</t>
  </si>
  <si>
    <t>measured nD</t>
  </si>
  <si>
    <t>temp</t>
  </si>
  <si>
    <t>Vti 65.2, full, 20 C, 65000rpm</t>
  </si>
  <si>
    <t>temp corrected nd</t>
  </si>
  <si>
    <t xml:space="preserve">Sample </t>
  </si>
  <si>
    <t>using density (p(20)) CsCl stock = 1.887, Final density = 1.730 g/ml</t>
  </si>
  <si>
    <t>cscl</t>
  </si>
  <si>
    <t>GB</t>
  </si>
  <si>
    <t>TE+DNA</t>
  </si>
  <si>
    <t>2) Calculate how much CsCl stock to use by choosing the total volume in C14-C27 that is just above 5.6 ml</t>
  </si>
  <si>
    <t>3) Calculate how much GB to use ([Total Volume] - [CsCl stock volume] - [DNA volume])</t>
  </si>
  <si>
    <t>4) Prep samples in 15 ml tubes (mix CsCl stock with GB and then add DNA), mix gently, and then quick spin</t>
  </si>
  <si>
    <t>1) Measure CsCl stock nD and enter nD and temp into B40 and C40</t>
  </si>
  <si>
    <t>5) Measure refractive index for each sample and record nD and temps in B34-B39 and C34-C39, to verify all samples are similar and near target final density</t>
  </si>
  <si>
    <t>6) load ultracentrifuge tubes</t>
  </si>
  <si>
    <t>Order of operations</t>
  </si>
  <si>
    <t>fraction</t>
  </si>
  <si>
    <t>measurement</t>
  </si>
  <si>
    <t>raw nD</t>
  </si>
  <si>
    <t>temp C</t>
  </si>
  <si>
    <t>nD-20 blank corrected</t>
  </si>
  <si>
    <t>density (g/ml)</t>
  </si>
  <si>
    <t>nD</t>
  </si>
  <si>
    <t>sample well</t>
  </si>
  <si>
    <t>A1</t>
  </si>
  <si>
    <t>B1</t>
  </si>
  <si>
    <t>C1</t>
  </si>
  <si>
    <t>D1</t>
  </si>
  <si>
    <t>E1</t>
  </si>
  <si>
    <t>F1</t>
  </si>
  <si>
    <t>G1</t>
  </si>
  <si>
    <t>H1</t>
  </si>
  <si>
    <t>H2</t>
  </si>
  <si>
    <t>G2</t>
  </si>
  <si>
    <t>F2</t>
  </si>
  <si>
    <t>E2</t>
  </si>
  <si>
    <t>D2</t>
  </si>
  <si>
    <t>C2</t>
  </si>
  <si>
    <t>B2</t>
  </si>
  <si>
    <t>A2</t>
  </si>
  <si>
    <t>A3</t>
  </si>
  <si>
    <t>B3</t>
  </si>
  <si>
    <t>C3</t>
  </si>
  <si>
    <t>D3</t>
  </si>
  <si>
    <t>E3</t>
  </si>
  <si>
    <t>F3</t>
  </si>
  <si>
    <t>G3</t>
  </si>
  <si>
    <t>H3</t>
  </si>
  <si>
    <t>H4</t>
  </si>
  <si>
    <t>G4</t>
  </si>
  <si>
    <t>F4</t>
  </si>
  <si>
    <t>E4</t>
  </si>
  <si>
    <t>D4</t>
  </si>
  <si>
    <t>C4</t>
  </si>
  <si>
    <t>B4</t>
  </si>
  <si>
    <t>A4</t>
  </si>
  <si>
    <t>A5</t>
  </si>
  <si>
    <t>B5</t>
  </si>
  <si>
    <t>C5</t>
  </si>
  <si>
    <t>D5</t>
  </si>
  <si>
    <t>E5</t>
  </si>
  <si>
    <t>F5</t>
  </si>
  <si>
    <t>G5</t>
  </si>
  <si>
    <t>H5</t>
  </si>
  <si>
    <t>H6</t>
  </si>
  <si>
    <t>G6</t>
  </si>
  <si>
    <t>F6</t>
  </si>
  <si>
    <t>E6</t>
  </si>
  <si>
    <t>D6</t>
  </si>
  <si>
    <t>C6</t>
  </si>
  <si>
    <t>B6</t>
  </si>
  <si>
    <t>A6</t>
  </si>
  <si>
    <t>A7</t>
  </si>
  <si>
    <t>B7</t>
  </si>
  <si>
    <t>C7</t>
  </si>
  <si>
    <t>D7</t>
  </si>
  <si>
    <t>E7</t>
  </si>
  <si>
    <t>F7</t>
  </si>
  <si>
    <t>G7</t>
  </si>
  <si>
    <t>H7</t>
  </si>
  <si>
    <t>H8</t>
  </si>
  <si>
    <t>G8</t>
  </si>
  <si>
    <t>F8</t>
  </si>
  <si>
    <t>E8</t>
  </si>
  <si>
    <t>D8</t>
  </si>
  <si>
    <t>C8</t>
  </si>
  <si>
    <t>B8</t>
  </si>
  <si>
    <t>A8</t>
  </si>
  <si>
    <t>A9</t>
  </si>
  <si>
    <t>B9</t>
  </si>
  <si>
    <t>C9</t>
  </si>
  <si>
    <t>D9</t>
  </si>
  <si>
    <t>E9</t>
  </si>
  <si>
    <t>F9</t>
  </si>
  <si>
    <t>G9</t>
  </si>
  <si>
    <t>H9</t>
  </si>
  <si>
    <t>H10</t>
  </si>
  <si>
    <t>G10</t>
  </si>
  <si>
    <t>F10</t>
  </si>
  <si>
    <t>Tube A</t>
  </si>
  <si>
    <t>Tube B</t>
  </si>
  <si>
    <t>Tube C</t>
  </si>
  <si>
    <t>Tube D</t>
  </si>
  <si>
    <t>Tube E</t>
  </si>
  <si>
    <t>Tube F</t>
  </si>
  <si>
    <t>Tube G</t>
  </si>
  <si>
    <t>Tube H</t>
  </si>
  <si>
    <t>DNA conc ng/ul</t>
  </si>
  <si>
    <t xml:space="preserve">DNA </t>
  </si>
  <si>
    <t>TE</t>
  </si>
  <si>
    <t>Tube I</t>
  </si>
  <si>
    <t>Tube J</t>
  </si>
  <si>
    <t>Tube K</t>
  </si>
  <si>
    <t>Tube L</t>
  </si>
  <si>
    <t>Sample name</t>
  </si>
  <si>
    <t>CsCl Start</t>
  </si>
  <si>
    <t>CsCl end</t>
  </si>
  <si>
    <t>Time Start</t>
  </si>
  <si>
    <t>Time End</t>
  </si>
  <si>
    <t>E10</t>
  </si>
  <si>
    <t>D10</t>
  </si>
  <si>
    <t>C10</t>
  </si>
  <si>
    <t>B10</t>
  </si>
  <si>
    <t>A10</t>
  </si>
  <si>
    <t>Tube M</t>
  </si>
  <si>
    <t>Tube N</t>
  </si>
  <si>
    <t>Tube O</t>
  </si>
  <si>
    <t>Tube P</t>
  </si>
  <si>
    <t>GB + Tween</t>
  </si>
  <si>
    <t>Fraction</t>
  </si>
  <si>
    <t>A</t>
  </si>
  <si>
    <t>B</t>
  </si>
  <si>
    <t>C</t>
  </si>
  <si>
    <t>D</t>
  </si>
  <si>
    <t>DNA (ng/ul)</t>
  </si>
  <si>
    <t>E</t>
  </si>
  <si>
    <t>A11</t>
  </si>
  <si>
    <t>B11</t>
  </si>
  <si>
    <t>C11</t>
  </si>
  <si>
    <t>D11</t>
  </si>
  <si>
    <t>E11</t>
  </si>
  <si>
    <t>F11</t>
  </si>
  <si>
    <t>G11</t>
  </si>
  <si>
    <t>H11</t>
  </si>
  <si>
    <t>Sample ID</t>
  </si>
  <si>
    <t>Tube Label</t>
  </si>
  <si>
    <t>Well Location</t>
  </si>
  <si>
    <t>CsCl g/ml</t>
  </si>
  <si>
    <t>% Yield:</t>
  </si>
  <si>
    <t>Project Name</t>
  </si>
  <si>
    <t>PI</t>
  </si>
  <si>
    <t>Tube Letter</t>
  </si>
  <si>
    <t>Centrifuge Start Date</t>
  </si>
  <si>
    <t>Plate Label</t>
  </si>
  <si>
    <t>ABCD</t>
  </si>
  <si>
    <t>Notes</t>
  </si>
  <si>
    <t>Total DNA</t>
  </si>
  <si>
    <t>Total Hours Centrifuged</t>
  </si>
  <si>
    <t>Percent DNA Recovered</t>
  </si>
  <si>
    <t>Isotope</t>
  </si>
  <si>
    <t>DNA Loaded (ng)</t>
  </si>
  <si>
    <t>Notes:</t>
  </si>
  <si>
    <t>GB+Tween</t>
  </si>
  <si>
    <t>GB*</t>
  </si>
  <si>
    <t>*Add ~20 ul extra GB to bring into 1.725-1.73 g/ml density range</t>
  </si>
  <si>
    <t>Final Volume per Fraction (ul)</t>
  </si>
  <si>
    <t>Test 1</t>
  </si>
  <si>
    <t>Test 2</t>
  </si>
  <si>
    <t>Test 3</t>
  </si>
  <si>
    <t>Test 4</t>
  </si>
  <si>
    <t>Test 5</t>
  </si>
  <si>
    <t>Test 6</t>
  </si>
  <si>
    <t>Test 7</t>
  </si>
  <si>
    <t>Control</t>
  </si>
  <si>
    <t>18O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</si>
</sst>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"/>
    <numFmt numFmtId="167" formatCode="0.000"/>
  </numFmts>
  <fonts count="20">
    <font>
      <sz val="10"/>
      <name val="Arial"/>
      <family val="2"/>
      <charset val="1"/>
    </font>
    <font>
      <sz val="10"/>
      <name val="Arial"/>
      <family val="2"/>
      <charset val="1"/>
    </font>
    <font>
      <b/>
      <u/>
      <sz val="10"/>
      <name val="Arial"/>
      <family val="2"/>
    </font>
    <font>
      <b/>
      <vertAlign val="subscript"/>
      <sz val="10"/>
      <name val="Arial"/>
      <family val="2"/>
    </font>
    <font>
      <b/>
      <sz val="10"/>
      <name val="Arial"/>
      <family val="2"/>
    </font>
    <font>
      <sz val="12"/>
      <name val="Times New Roman"/>
      <family val="1"/>
    </font>
    <font>
      <sz val="10"/>
      <name val="Arial"/>
      <family val="2"/>
      <charset val="1"/>
    </font>
    <font>
      <sz val="10"/>
      <color indexed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sz val="8"/>
      <name val="Verdana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 (Body)"/>
    </font>
    <font>
      <sz val="11"/>
      <name val="Calibri (Body)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0" fontId="16" fillId="0" borderId="0"/>
  </cellStyleXfs>
  <cellXfs count="113">
    <xf numFmtId="0" fontId="0" fillId="0" borderId="0" xfId="0"/>
    <xf numFmtId="0" fontId="2" fillId="0" borderId="0" xfId="0" applyFont="1"/>
    <xf numFmtId="0" fontId="10" fillId="0" borderId="1" xfId="0" applyFont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2" fontId="10" fillId="0" borderId="0" xfId="0" applyNumberFormat="1" applyFont="1" applyAlignment="1">
      <alignment horizontal="center" vertical="center"/>
    </xf>
    <xf numFmtId="11" fontId="10" fillId="0" borderId="0" xfId="0" applyNumberFormat="1" applyFont="1" applyAlignment="1">
      <alignment horizontal="center" vertical="center"/>
    </xf>
    <xf numFmtId="11" fontId="10" fillId="0" borderId="0" xfId="0" applyNumberFormat="1" applyFont="1"/>
    <xf numFmtId="2" fontId="10" fillId="0" borderId="2" xfId="0" applyNumberFormat="1" applyFont="1" applyBorder="1" applyAlignment="1">
      <alignment horizontal="center" vertical="center"/>
    </xf>
    <xf numFmtId="11" fontId="10" fillId="0" borderId="2" xfId="0" applyNumberFormat="1" applyFont="1" applyBorder="1" applyAlignment="1">
      <alignment horizontal="center" vertical="center"/>
    </xf>
    <xf numFmtId="0" fontId="7" fillId="0" borderId="0" xfId="0" applyFont="1"/>
    <xf numFmtId="0" fontId="5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1" fillId="0" borderId="0" xfId="0" applyFont="1"/>
    <xf numFmtId="0" fontId="1" fillId="0" borderId="0" xfId="0" applyFont="1"/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0" fillId="0" borderId="0" xfId="0" applyNumberFormat="1"/>
    <xf numFmtId="0" fontId="6" fillId="0" borderId="0" xfId="0" applyFont="1" applyAlignment="1">
      <alignment horizontal="right"/>
    </xf>
    <xf numFmtId="2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65" fontId="6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7" fontId="0" fillId="0" borderId="0" xfId="0" applyNumberFormat="1"/>
    <xf numFmtId="164" fontId="0" fillId="0" borderId="0" xfId="0" applyNumberFormat="1" applyAlignment="1">
      <alignment horizontal="center" vertical="center" wrapText="1"/>
    </xf>
    <xf numFmtId="0" fontId="14" fillId="0" borderId="0" xfId="0" applyFont="1"/>
    <xf numFmtId="0" fontId="6" fillId="0" borderId="0" xfId="0" applyFont="1"/>
    <xf numFmtId="0" fontId="4" fillId="0" borderId="3" xfId="0" applyFont="1" applyBorder="1" applyAlignment="1">
      <alignment horizontal="center" vertical="center" wrapText="1"/>
    </xf>
    <xf numFmtId="165" fontId="4" fillId="0" borderId="3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7" fontId="4" fillId="0" borderId="1" xfId="0" applyNumberFormat="1" applyFont="1" applyBorder="1" applyAlignment="1">
      <alignment horizontal="center" vertical="center" wrapText="1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4" fillId="0" borderId="2" xfId="0" applyFont="1" applyBorder="1" applyAlignment="1">
      <alignment horizontal="center"/>
    </xf>
    <xf numFmtId="0" fontId="13" fillId="0" borderId="0" xfId="0" applyFont="1" applyAlignment="1">
      <alignment horizontal="right"/>
    </xf>
    <xf numFmtId="165" fontId="13" fillId="0" borderId="0" xfId="0" applyNumberFormat="1" applyFont="1" applyAlignment="1">
      <alignment horizontal="right"/>
    </xf>
    <xf numFmtId="0" fontId="0" fillId="3" borderId="0" xfId="0" applyFill="1"/>
    <xf numFmtId="165" fontId="0" fillId="3" borderId="0" xfId="0" applyNumberFormat="1" applyFill="1"/>
    <xf numFmtId="0" fontId="0" fillId="4" borderId="2" xfId="0" applyFill="1" applyBorder="1"/>
    <xf numFmtId="165" fontId="13" fillId="4" borderId="2" xfId="0" applyNumberFormat="1" applyFont="1" applyFill="1" applyBorder="1" applyAlignment="1">
      <alignment horizontal="right"/>
    </xf>
    <xf numFmtId="0" fontId="13" fillId="4" borderId="2" xfId="0" applyFont="1" applyFill="1" applyBorder="1" applyAlignment="1">
      <alignment horizontal="right"/>
    </xf>
    <xf numFmtId="166" fontId="0" fillId="4" borderId="2" xfId="0" applyNumberFormat="1" applyFill="1" applyBorder="1"/>
    <xf numFmtId="167" fontId="0" fillId="4" borderId="2" xfId="0" applyNumberFormat="1" applyFill="1" applyBorder="1"/>
    <xf numFmtId="164" fontId="0" fillId="0" borderId="0" xfId="0" applyNumberFormat="1"/>
    <xf numFmtId="167" fontId="14" fillId="0" borderId="0" xfId="0" applyNumberFormat="1" applyFont="1"/>
    <xf numFmtId="0" fontId="4" fillId="0" borderId="0" xfId="0" applyFont="1" applyAlignment="1">
      <alignment horizontal="center"/>
    </xf>
    <xf numFmtId="0" fontId="6" fillId="5" borderId="0" xfId="0" applyFont="1" applyFill="1"/>
    <xf numFmtId="0" fontId="0" fillId="5" borderId="0" xfId="0" applyFill="1"/>
    <xf numFmtId="167" fontId="0" fillId="5" borderId="0" xfId="0" applyNumberFormat="1" applyFill="1"/>
    <xf numFmtId="0" fontId="16" fillId="0" borderId="0" xfId="1"/>
    <xf numFmtId="0" fontId="0" fillId="0" borderId="0" xfId="0" applyAlignment="1">
      <alignment vertical="center" wrapText="1"/>
    </xf>
    <xf numFmtId="0" fontId="0" fillId="6" borderId="0" xfId="0" applyFill="1"/>
    <xf numFmtId="165" fontId="0" fillId="6" borderId="0" xfId="0" applyNumberFormat="1" applyFill="1"/>
    <xf numFmtId="0" fontId="0" fillId="7" borderId="0" xfId="0" applyFill="1"/>
    <xf numFmtId="165" fontId="0" fillId="7" borderId="0" xfId="0" applyNumberFormat="1" applyFill="1"/>
    <xf numFmtId="0" fontId="16" fillId="0" borderId="0" xfId="1" applyAlignment="1">
      <alignment horizontal="right"/>
    </xf>
    <xf numFmtId="0" fontId="16" fillId="0" borderId="7" xfId="1" applyBorder="1" applyAlignment="1">
      <alignment horizontal="center"/>
    </xf>
    <xf numFmtId="0" fontId="16" fillId="0" borderId="0" xfId="1" applyAlignment="1">
      <alignment horizontal="center"/>
    </xf>
    <xf numFmtId="0" fontId="13" fillId="0" borderId="8" xfId="1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5" fontId="16" fillId="2" borderId="7" xfId="1" applyNumberFormat="1" applyFill="1" applyBorder="1" applyAlignment="1">
      <alignment horizontal="right"/>
    </xf>
    <xf numFmtId="165" fontId="16" fillId="2" borderId="0" xfId="1" applyNumberFormat="1" applyFill="1"/>
    <xf numFmtId="165" fontId="16" fillId="2" borderId="8" xfId="1" applyNumberFormat="1" applyFill="1" applyBorder="1"/>
    <xf numFmtId="165" fontId="16" fillId="0" borderId="7" xfId="1" applyNumberFormat="1" applyBorder="1" applyAlignment="1">
      <alignment horizontal="right"/>
    </xf>
    <xf numFmtId="165" fontId="16" fillId="0" borderId="0" xfId="1" applyNumberFormat="1"/>
    <xf numFmtId="165" fontId="16" fillId="0" borderId="8" xfId="1" applyNumberFormat="1" applyBorder="1"/>
    <xf numFmtId="165" fontId="13" fillId="0" borderId="8" xfId="1" applyNumberFormat="1" applyFont="1" applyBorder="1"/>
    <xf numFmtId="165" fontId="14" fillId="0" borderId="8" xfId="1" applyNumberFormat="1" applyFont="1" applyBorder="1"/>
    <xf numFmtId="165" fontId="14" fillId="0" borderId="0" xfId="1" applyNumberFormat="1" applyFont="1"/>
    <xf numFmtId="165" fontId="16" fillId="2" borderId="9" xfId="1" applyNumberFormat="1" applyFill="1" applyBorder="1" applyAlignment="1">
      <alignment horizontal="right"/>
    </xf>
    <xf numFmtId="165" fontId="16" fillId="2" borderId="4" xfId="1" applyNumberFormat="1" applyFill="1" applyBorder="1"/>
    <xf numFmtId="165" fontId="16" fillId="2" borderId="10" xfId="1" applyNumberFormat="1" applyFill="1" applyBorder="1"/>
    <xf numFmtId="165" fontId="13" fillId="0" borderId="0" xfId="1" applyNumberFormat="1" applyFont="1" applyAlignment="1">
      <alignment horizontal="right"/>
    </xf>
    <xf numFmtId="165" fontId="13" fillId="0" borderId="0" xfId="1" applyNumberFormat="1" applyFont="1"/>
    <xf numFmtId="165" fontId="16" fillId="0" borderId="0" xfId="1" applyNumberFormat="1" applyAlignment="1">
      <alignment horizontal="right"/>
    </xf>
    <xf numFmtId="165" fontId="16" fillId="0" borderId="7" xfId="1" applyNumberFormat="1" applyBorder="1" applyAlignment="1">
      <alignment horizontal="center"/>
    </xf>
    <xf numFmtId="165" fontId="16" fillId="0" borderId="0" xfId="1" applyNumberForma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2" borderId="0" xfId="0" applyFill="1" applyAlignment="1">
      <alignment vertical="center" wrapText="1"/>
    </xf>
    <xf numFmtId="165" fontId="13" fillId="2" borderId="0" xfId="0" applyNumberFormat="1" applyFont="1" applyFill="1" applyAlignment="1">
      <alignment horizontal="right"/>
    </xf>
    <xf numFmtId="164" fontId="0" fillId="2" borderId="0" xfId="0" applyNumberFormat="1" applyFill="1"/>
    <xf numFmtId="167" fontId="0" fillId="2" borderId="0" xfId="0" applyNumberFormat="1" applyFill="1"/>
    <xf numFmtId="0" fontId="13" fillId="2" borderId="0" xfId="0" applyFont="1" applyFill="1" applyAlignment="1">
      <alignment horizontal="right"/>
    </xf>
    <xf numFmtId="0" fontId="13" fillId="0" borderId="5" xfId="1" applyFont="1" applyBorder="1"/>
    <xf numFmtId="1" fontId="13" fillId="0" borderId="5" xfId="1" applyNumberFormat="1" applyFont="1" applyBorder="1"/>
    <xf numFmtId="0" fontId="13" fillId="0" borderId="6" xfId="1" applyFont="1" applyBorder="1"/>
    <xf numFmtId="0" fontId="18" fillId="2" borderId="0" xfId="0" applyFont="1" applyFill="1" applyAlignment="1">
      <alignment horizontal="center" wrapText="1"/>
    </xf>
    <xf numFmtId="0" fontId="18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18" fillId="0" borderId="0" xfId="0" applyFont="1" applyAlignment="1">
      <alignment horizontal="center"/>
    </xf>
    <xf numFmtId="0" fontId="18" fillId="2" borderId="0" xfId="0" applyFont="1" applyFill="1" applyAlignment="1">
      <alignment horizontal="center"/>
    </xf>
    <xf numFmtId="0" fontId="19" fillId="2" borderId="0" xfId="0" applyFont="1" applyFill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15" fillId="0" borderId="1" xfId="0" applyFont="1" applyBorder="1" applyAlignment="1">
      <alignment wrapText="1"/>
    </xf>
    <xf numFmtId="1" fontId="0" fillId="0" borderId="0" xfId="0" applyNumberFormat="1" applyAlignment="1">
      <alignment horizontal="right"/>
    </xf>
    <xf numFmtId="1" fontId="0" fillId="0" borderId="0" xfId="0" applyNumberFormat="1"/>
    <xf numFmtId="165" fontId="13" fillId="0" borderId="7" xfId="1" applyNumberFormat="1" applyFont="1" applyBorder="1" applyAlignment="1">
      <alignment horizontal="center"/>
    </xf>
    <xf numFmtId="165" fontId="13" fillId="0" borderId="0" xfId="1" applyNumberFormat="1" applyFont="1" applyAlignment="1">
      <alignment horizontal="center"/>
    </xf>
    <xf numFmtId="165" fontId="13" fillId="0" borderId="8" xfId="1" applyNumberFormat="1" applyFont="1" applyBorder="1" applyAlignment="1">
      <alignment horizontal="center"/>
    </xf>
    <xf numFmtId="0" fontId="13" fillId="0" borderId="7" xfId="1" applyFont="1" applyBorder="1" applyAlignment="1">
      <alignment horizontal="center"/>
    </xf>
    <xf numFmtId="0" fontId="13" fillId="0" borderId="0" xfId="1" applyFont="1" applyAlignment="1">
      <alignment horizontal="center"/>
    </xf>
    <xf numFmtId="0" fontId="13" fillId="0" borderId="8" xfId="1" applyFont="1" applyBorder="1" applyAlignment="1">
      <alignment horizontal="center"/>
    </xf>
  </cellXfs>
  <cellStyles count="2">
    <cellStyle name="Normal" xfId="0" builtinId="0"/>
    <cellStyle name="Normal 2" xfId="1" xr:uid="{A5401193-31B9-47AE-B2F2-84F13525C782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DNA/</a:t>
            </a:r>
            <a:r>
              <a:rPr lang="en-US" baseline="0"/>
              <a:t>Density Sample</a:t>
            </a:r>
          </a:p>
          <a:p>
            <a:pPr>
              <a:defRPr/>
            </a:pPr>
            <a:r>
              <a:rPr lang="en-US" baseline="0"/>
              <a:t> A - H</a:t>
            </a:r>
            <a:endParaRPr lang="en-US"/>
          </a:p>
        </c:rich>
      </c:tx>
      <c:layout>
        <c:manualLayout>
          <c:xMode val="edge"/>
          <c:yMode val="edge"/>
          <c:x val="0.38026520200487457"/>
          <c:y val="1.55038797543501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95592132966735"/>
          <c:y val="0.11960348154906593"/>
          <c:w val="0.82007715813406667"/>
          <c:h val="0.66268752079677473"/>
        </c:manualLayout>
      </c:layout>
      <c:scatterChart>
        <c:scatterStyle val="line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Summary!$C$5:$C$23</c:f>
              <c:numCache>
                <c:formatCode>0.0000</c:formatCode>
                <c:ptCount val="19"/>
                <c:pt idx="0">
                  <c:v>1.7553605799999996</c:v>
                </c:pt>
                <c:pt idx="1">
                  <c:v>1.7531750600000002</c:v>
                </c:pt>
                <c:pt idx="2">
                  <c:v>1.7466185000000003</c:v>
                </c:pt>
                <c:pt idx="3">
                  <c:v>1.740253173000001</c:v>
                </c:pt>
                <c:pt idx="4">
                  <c:v>1.7336966129999993</c:v>
                </c:pt>
                <c:pt idx="5">
                  <c:v>1.7271400530000012</c:v>
                </c:pt>
                <c:pt idx="6">
                  <c:v>1.7205834930000012</c:v>
                </c:pt>
                <c:pt idx="7">
                  <c:v>1.7164036859999996</c:v>
                </c:pt>
                <c:pt idx="8">
                  <c:v>1.7098471259999997</c:v>
                </c:pt>
                <c:pt idx="9">
                  <c:v>1.7043833260000003</c:v>
                </c:pt>
                <c:pt idx="10">
                  <c:v>1.6978267660000004</c:v>
                </c:pt>
                <c:pt idx="11">
                  <c:v>1.6923629659999992</c:v>
                </c:pt>
                <c:pt idx="12">
                  <c:v>1.685997639</c:v>
                </c:pt>
                <c:pt idx="13">
                  <c:v>1.6805338390000006</c:v>
                </c:pt>
                <c:pt idx="14">
                  <c:v>1.6750700390000013</c:v>
                </c:pt>
                <c:pt idx="15">
                  <c:v>1.6697974719999991</c:v>
                </c:pt>
                <c:pt idx="16">
                  <c:v>1.6621481520000003</c:v>
                </c:pt>
                <c:pt idx="17">
                  <c:v>1.6392001920000006</c:v>
                </c:pt>
                <c:pt idx="18">
                  <c:v>1.5430373120000009</c:v>
                </c:pt>
              </c:numCache>
            </c:numRef>
          </c:xVal>
          <c:yVal>
            <c:numRef>
              <c:f>Summary!$D$5:$D$23</c:f>
              <c:numCache>
                <c:formatCode>0.0000</c:formatCode>
                <c:ptCount val="19"/>
                <c:pt idx="0">
                  <c:v>-1.0491192477176142E-2</c:v>
                </c:pt>
                <c:pt idx="1">
                  <c:v>-9.5030840758219149E-3</c:v>
                </c:pt>
                <c:pt idx="2">
                  <c:v>-2.4257887977255465E-3</c:v>
                </c:pt>
                <c:pt idx="3">
                  <c:v>3.6085718270153638E-3</c:v>
                </c:pt>
                <c:pt idx="4">
                  <c:v>0.1232734203809568</c:v>
                </c:pt>
                <c:pt idx="5">
                  <c:v>0.4534808406925066</c:v>
                </c:pt>
                <c:pt idx="6">
                  <c:v>2.1896593786312706</c:v>
                </c:pt>
                <c:pt idx="7">
                  <c:v>12.554166565680092</c:v>
                </c:pt>
                <c:pt idx="8">
                  <c:v>24.667784859647146</c:v>
                </c:pt>
                <c:pt idx="9">
                  <c:v>19.951755458155706</c:v>
                </c:pt>
                <c:pt idx="10">
                  <c:v>11.55446508905716</c:v>
                </c:pt>
                <c:pt idx="11">
                  <c:v>4.173497354625745</c:v>
                </c:pt>
                <c:pt idx="12">
                  <c:v>1.8756928061429186</c:v>
                </c:pt>
                <c:pt idx="13">
                  <c:v>1.0674899987291309</c:v>
                </c:pt>
                <c:pt idx="14">
                  <c:v>0.5217644573489465</c:v>
                </c:pt>
                <c:pt idx="15">
                  <c:v>0.34271547359556359</c:v>
                </c:pt>
                <c:pt idx="16">
                  <c:v>0.34069807587307399</c:v>
                </c:pt>
                <c:pt idx="17">
                  <c:v>0.30010864496326783</c:v>
                </c:pt>
                <c:pt idx="18">
                  <c:v>0.23295045644915846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346B-4E98-8EFA-5761BEFE9294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Summary!$F$5:$F$23</c:f>
              <c:numCache>
                <c:formatCode>0.0000</c:formatCode>
                <c:ptCount val="19"/>
                <c:pt idx="0">
                  <c:v>1.7543224580000008</c:v>
                </c:pt>
                <c:pt idx="1">
                  <c:v>1.7510441780000008</c:v>
                </c:pt>
                <c:pt idx="2">
                  <c:v>1.7457716110000003</c:v>
                </c:pt>
                <c:pt idx="3">
                  <c:v>1.7392150509999986</c:v>
                </c:pt>
                <c:pt idx="4">
                  <c:v>1.7326584910000005</c:v>
                </c:pt>
                <c:pt idx="5">
                  <c:v>1.7261019310000005</c:v>
                </c:pt>
                <c:pt idx="6">
                  <c:v>1.7197366040000013</c:v>
                </c:pt>
                <c:pt idx="7">
                  <c:v>1.7142728040000001</c:v>
                </c:pt>
                <c:pt idx="8">
                  <c:v>1.7088090040000008</c:v>
                </c:pt>
                <c:pt idx="9">
                  <c:v>1.7033452040000014</c:v>
                </c:pt>
                <c:pt idx="10">
                  <c:v>1.6978814040000021</c:v>
                </c:pt>
                <c:pt idx="11">
                  <c:v>1.6904233170000005</c:v>
                </c:pt>
                <c:pt idx="12">
                  <c:v>1.6849595170000011</c:v>
                </c:pt>
                <c:pt idx="13">
                  <c:v>1.6794957170000018</c:v>
                </c:pt>
                <c:pt idx="14">
                  <c:v>1.6729391570000001</c:v>
                </c:pt>
                <c:pt idx="15">
                  <c:v>1.6676665899999996</c:v>
                </c:pt>
                <c:pt idx="16">
                  <c:v>1.6600172700000009</c:v>
                </c:pt>
                <c:pt idx="17">
                  <c:v>1.6305127499999994</c:v>
                </c:pt>
                <c:pt idx="18">
                  <c:v>1.5257990230000011</c:v>
                </c:pt>
              </c:numCache>
              <c:extLst xmlns:c15="http://schemas.microsoft.com/office/drawing/2012/chart"/>
            </c:numRef>
          </c:xVal>
          <c:yVal>
            <c:numRef>
              <c:f>Summary!$G$5:$G$23</c:f>
              <c:numCache>
                <c:formatCode>0.0000</c:formatCode>
                <c:ptCount val="19"/>
                <c:pt idx="0">
                  <c:v>-3.0663956025619093E-2</c:v>
                </c:pt>
                <c:pt idx="1">
                  <c:v>-3.5683312981412522E-2</c:v>
                </c:pt>
                <c:pt idx="2">
                  <c:v>-1.8641196916168307E-2</c:v>
                </c:pt>
                <c:pt idx="3">
                  <c:v>2.5248641168724561E-2</c:v>
                </c:pt>
                <c:pt idx="4">
                  <c:v>0.13744980414296881</c:v>
                </c:pt>
                <c:pt idx="5">
                  <c:v>0.56915337661833854</c:v>
                </c:pt>
                <c:pt idx="6">
                  <c:v>5.9840272064274513</c:v>
                </c:pt>
                <c:pt idx="7">
                  <c:v>26.721057838219227</c:v>
                </c:pt>
                <c:pt idx="8">
                  <c:v>28.831177237795561</c:v>
                </c:pt>
                <c:pt idx="9">
                  <c:v>20.564467759292018</c:v>
                </c:pt>
                <c:pt idx="10">
                  <c:v>9.6062131411138321</c:v>
                </c:pt>
                <c:pt idx="11">
                  <c:v>4.1403119485252153</c:v>
                </c:pt>
                <c:pt idx="12">
                  <c:v>2.1886803557303023</c:v>
                </c:pt>
                <c:pt idx="13">
                  <c:v>1.2320733343691328</c:v>
                </c:pt>
                <c:pt idx="14">
                  <c:v>0.78771884570382278</c:v>
                </c:pt>
                <c:pt idx="15">
                  <c:v>0.42866714664938271</c:v>
                </c:pt>
                <c:pt idx="16">
                  <c:v>0.31755787905565258</c:v>
                </c:pt>
                <c:pt idx="17">
                  <c:v>0.40491363278054421</c:v>
                </c:pt>
                <c:pt idx="18">
                  <c:v>0.35437209030739131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46B-4E98-8EFA-5761BEFE9294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Summary!$I$5:$I$23</c:f>
              <c:numCache>
                <c:formatCode>0.0000</c:formatCode>
                <c:ptCount val="19"/>
                <c:pt idx="0">
                  <c:v>1.7532843360000001</c:v>
                </c:pt>
                <c:pt idx="1">
                  <c:v>1.7489132960000013</c:v>
                </c:pt>
                <c:pt idx="2">
                  <c:v>1.7447334890000015</c:v>
                </c:pt>
                <c:pt idx="3">
                  <c:v>1.7392696890000003</c:v>
                </c:pt>
                <c:pt idx="4">
                  <c:v>1.733805889000001</c:v>
                </c:pt>
                <c:pt idx="5">
                  <c:v>1.7263478020000012</c:v>
                </c:pt>
                <c:pt idx="6">
                  <c:v>1.7208840020000018</c:v>
                </c:pt>
                <c:pt idx="7">
                  <c:v>1.7143274420000001</c:v>
                </c:pt>
                <c:pt idx="8">
                  <c:v>1.7090548750000014</c:v>
                </c:pt>
                <c:pt idx="9">
                  <c:v>1.7035910750000021</c:v>
                </c:pt>
                <c:pt idx="10">
                  <c:v>1.6970345150000004</c:v>
                </c:pt>
                <c:pt idx="11">
                  <c:v>1.6926634749999998</c:v>
                </c:pt>
                <c:pt idx="12">
                  <c:v>1.6861069150000016</c:v>
                </c:pt>
                <c:pt idx="13">
                  <c:v>1.6795503550000017</c:v>
                </c:pt>
                <c:pt idx="14">
                  <c:v>1.6742777879999995</c:v>
                </c:pt>
                <c:pt idx="15">
                  <c:v>1.6688139880000001</c:v>
                </c:pt>
                <c:pt idx="16">
                  <c:v>1.662257428000002</c:v>
                </c:pt>
                <c:pt idx="17">
                  <c:v>1.6382167080000016</c:v>
                </c:pt>
                <c:pt idx="18">
                  <c:v>1.5398683080000009</c:v>
                </c:pt>
              </c:numCache>
              <c:extLst xmlns:c15="http://schemas.microsoft.com/office/drawing/2012/chart"/>
            </c:numRef>
          </c:xVal>
          <c:yVal>
            <c:numRef>
              <c:f>Summary!$J$5:$J$23</c:f>
              <c:numCache>
                <c:formatCode>0.0000</c:formatCode>
                <c:ptCount val="19"/>
                <c:pt idx="0">
                  <c:v>-2.3666094759360001E-2</c:v>
                </c:pt>
                <c:pt idx="1">
                  <c:v>-1.5659407235599384E-2</c:v>
                </c:pt>
                <c:pt idx="2">
                  <c:v>-1.97587145161803E-2</c:v>
                </c:pt>
                <c:pt idx="3">
                  <c:v>-2.4262526764228545E-2</c:v>
                </c:pt>
                <c:pt idx="4">
                  <c:v>2.3078403723360938E-2</c:v>
                </c:pt>
                <c:pt idx="5">
                  <c:v>0.39684934848343945</c:v>
                </c:pt>
                <c:pt idx="6">
                  <c:v>4.0269523890483887</c:v>
                </c:pt>
                <c:pt idx="7">
                  <c:v>20.315859971923825</c:v>
                </c:pt>
                <c:pt idx="8">
                  <c:v>24.877951201642635</c:v>
                </c:pt>
                <c:pt idx="9">
                  <c:v>20.103953920070495</c:v>
                </c:pt>
                <c:pt idx="10">
                  <c:v>10.785297384117042</c:v>
                </c:pt>
                <c:pt idx="11">
                  <c:v>3.6923470019954512</c:v>
                </c:pt>
                <c:pt idx="12">
                  <c:v>2.0108685570123708</c:v>
                </c:pt>
                <c:pt idx="13">
                  <c:v>1.2268379658664417</c:v>
                </c:pt>
                <c:pt idx="14">
                  <c:v>0.66921135186217651</c:v>
                </c:pt>
                <c:pt idx="15">
                  <c:v>0.37471468430712473</c:v>
                </c:pt>
                <c:pt idx="16">
                  <c:v>0.33245582631249559</c:v>
                </c:pt>
                <c:pt idx="17">
                  <c:v>0.39828182569127285</c:v>
                </c:pt>
                <c:pt idx="18">
                  <c:v>0.32511710185496256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346B-4E98-8EFA-5761BEFE9294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Summary!$L$5:$L$23</c:f>
              <c:numCache>
                <c:formatCode>0.0000</c:formatCode>
                <c:ptCount val="19"/>
                <c:pt idx="0">
                  <c:v>1.754240501</c:v>
                </c:pt>
                <c:pt idx="1">
                  <c:v>1.7498694610000012</c:v>
                </c:pt>
                <c:pt idx="2">
                  <c:v>1.7456896540000013</c:v>
                </c:pt>
                <c:pt idx="3">
                  <c:v>1.7391330939999996</c:v>
                </c:pt>
                <c:pt idx="4">
                  <c:v>1.7325765340000014</c:v>
                </c:pt>
                <c:pt idx="5">
                  <c:v>1.7271127340000021</c:v>
                </c:pt>
                <c:pt idx="6">
                  <c:v>1.7205561740000004</c:v>
                </c:pt>
                <c:pt idx="7">
                  <c:v>1.7152836069999999</c:v>
                </c:pt>
                <c:pt idx="8">
                  <c:v>1.7087270470000018</c:v>
                </c:pt>
                <c:pt idx="9">
                  <c:v>1.7032632470000024</c:v>
                </c:pt>
                <c:pt idx="10">
                  <c:v>1.6967066870000007</c:v>
                </c:pt>
                <c:pt idx="11">
                  <c:v>1.6914341200000003</c:v>
                </c:pt>
                <c:pt idx="12">
                  <c:v>1.6859703200000009</c:v>
                </c:pt>
                <c:pt idx="13">
                  <c:v>1.6805065200000016</c:v>
                </c:pt>
                <c:pt idx="14">
                  <c:v>1.6739499599999998</c:v>
                </c:pt>
                <c:pt idx="15">
                  <c:v>1.6684861600000005</c:v>
                </c:pt>
                <c:pt idx="16">
                  <c:v>1.6608368400000018</c:v>
                </c:pt>
                <c:pt idx="17">
                  <c:v>1.6358945930000015</c:v>
                </c:pt>
                <c:pt idx="18">
                  <c:v>1.5255258330000014</c:v>
                </c:pt>
              </c:numCache>
              <c:extLst xmlns:c15="http://schemas.microsoft.com/office/drawing/2012/chart"/>
            </c:numRef>
          </c:xVal>
          <c:yVal>
            <c:numRef>
              <c:f>Summary!$M$5:$M$23</c:f>
              <c:numCache>
                <c:formatCode>0.0000</c:formatCode>
                <c:ptCount val="19"/>
                <c:pt idx="0">
                  <c:v>3.0775642314624682E-3</c:v>
                </c:pt>
                <c:pt idx="1">
                  <c:v>1.2664085496518708E-2</c:v>
                </c:pt>
                <c:pt idx="2">
                  <c:v>0.17319109107415562</c:v>
                </c:pt>
                <c:pt idx="3">
                  <c:v>0.63412355831191858</c:v>
                </c:pt>
                <c:pt idx="4">
                  <c:v>1.4437100639619398</c:v>
                </c:pt>
                <c:pt idx="5">
                  <c:v>3.0610305579211023</c:v>
                </c:pt>
                <c:pt idx="6">
                  <c:v>7.1930608090968304</c:v>
                </c:pt>
                <c:pt idx="7">
                  <c:v>14.8945008553522</c:v>
                </c:pt>
                <c:pt idx="8">
                  <c:v>14.927757631411788</c:v>
                </c:pt>
                <c:pt idx="9">
                  <c:v>11.941879666983434</c:v>
                </c:pt>
                <c:pt idx="10">
                  <c:v>5.3482697119524465</c:v>
                </c:pt>
                <c:pt idx="11">
                  <c:v>2.2500381479709488</c:v>
                </c:pt>
                <c:pt idx="12">
                  <c:v>1.3244097394668251</c:v>
                </c:pt>
                <c:pt idx="13">
                  <c:v>0.72968866308206781</c:v>
                </c:pt>
                <c:pt idx="14">
                  <c:v>0.4555335887324003</c:v>
                </c:pt>
                <c:pt idx="15">
                  <c:v>0.27893231012566294</c:v>
                </c:pt>
                <c:pt idx="16">
                  <c:v>0.23571730993250148</c:v>
                </c:pt>
                <c:pt idx="17">
                  <c:v>0.16679720808478202</c:v>
                </c:pt>
                <c:pt idx="18">
                  <c:v>0.11272170785781559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346B-4E98-8EFA-5761BEFE9294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Summary!$O$5:$O$23</c:f>
              <c:numCache>
                <c:formatCode>0.0000</c:formatCode>
                <c:ptCount val="19"/>
                <c:pt idx="0">
                  <c:v>1.7530111460000004</c:v>
                </c:pt>
                <c:pt idx="1">
                  <c:v>1.7488313390000023</c:v>
                </c:pt>
                <c:pt idx="2">
                  <c:v>1.7433675389999994</c:v>
                </c:pt>
                <c:pt idx="3">
                  <c:v>1.7379037390000001</c:v>
                </c:pt>
                <c:pt idx="4">
                  <c:v>1.7313471790000019</c:v>
                </c:pt>
                <c:pt idx="5">
                  <c:v>1.7258833790000025</c:v>
                </c:pt>
                <c:pt idx="6">
                  <c:v>1.7193268190000008</c:v>
                </c:pt>
                <c:pt idx="7">
                  <c:v>1.7138630190000015</c:v>
                </c:pt>
                <c:pt idx="8">
                  <c:v>1.7074976920000022</c:v>
                </c:pt>
                <c:pt idx="9">
                  <c:v>1.7020338920000029</c:v>
                </c:pt>
                <c:pt idx="10">
                  <c:v>1.696570092</c:v>
                </c:pt>
                <c:pt idx="11">
                  <c:v>1.6900135320000018</c:v>
                </c:pt>
                <c:pt idx="12">
                  <c:v>1.6845497320000025</c:v>
                </c:pt>
                <c:pt idx="13">
                  <c:v>1.6790859320000013</c:v>
                </c:pt>
                <c:pt idx="14">
                  <c:v>1.6736221320000002</c:v>
                </c:pt>
                <c:pt idx="15">
                  <c:v>1.6681583320000009</c:v>
                </c:pt>
                <c:pt idx="16">
                  <c:v>1.6572307320000021</c:v>
                </c:pt>
                <c:pt idx="17">
                  <c:v>1.6146130920000026</c:v>
                </c:pt>
                <c:pt idx="18">
                  <c:v>1.4847658850000016</c:v>
                </c:pt>
              </c:numCache>
            </c:numRef>
          </c:xVal>
          <c:yVal>
            <c:numRef>
              <c:f>Summary!$P$5:$P$23</c:f>
              <c:numCache>
                <c:formatCode>0.0000</c:formatCode>
                <c:ptCount val="19"/>
                <c:pt idx="0">
                  <c:v>7.4059627238467263E-2</c:v>
                </c:pt>
                <c:pt idx="1">
                  <c:v>0.19949383749403757</c:v>
                </c:pt>
                <c:pt idx="2">
                  <c:v>0.72981901987912101</c:v>
                </c:pt>
                <c:pt idx="3">
                  <c:v>2.1467878637547888</c:v>
                </c:pt>
                <c:pt idx="4">
                  <c:v>4.264851163482196</c:v>
                </c:pt>
                <c:pt idx="5">
                  <c:v>8.8095525154897434</c:v>
                </c:pt>
                <c:pt idx="6">
                  <c:v>18.64842384072772</c:v>
                </c:pt>
                <c:pt idx="7">
                  <c:v>30.454902046904369</c:v>
                </c:pt>
                <c:pt idx="8">
                  <c:v>30.443333282171437</c:v>
                </c:pt>
                <c:pt idx="9">
                  <c:v>23.116009732301791</c:v>
                </c:pt>
                <c:pt idx="10">
                  <c:v>11.415385955622375</c:v>
                </c:pt>
                <c:pt idx="11">
                  <c:v>4.4941778394649345</c:v>
                </c:pt>
                <c:pt idx="12">
                  <c:v>2.7452551233434552</c:v>
                </c:pt>
                <c:pt idx="13">
                  <c:v>1.8844758813167604</c:v>
                </c:pt>
                <c:pt idx="14">
                  <c:v>0.83604555333593422</c:v>
                </c:pt>
                <c:pt idx="15">
                  <c:v>0.49616887881037525</c:v>
                </c:pt>
                <c:pt idx="16">
                  <c:v>0.44280209452762387</c:v>
                </c:pt>
                <c:pt idx="17">
                  <c:v>0.4979896512433562</c:v>
                </c:pt>
                <c:pt idx="18">
                  <c:v>0.35725450384283491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6B-4E98-8EFA-5761BEFE9294}"/>
            </c:ext>
          </c:extLst>
        </c:ser>
        <c:ser>
          <c:idx val="5"/>
          <c:order val="5"/>
          <c:tx>
            <c:v>F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46B-4E98-8EFA-5761BEFE9294}"/>
            </c:ext>
          </c:extLst>
        </c:ser>
        <c:ser>
          <c:idx val="6"/>
          <c:order val="6"/>
          <c:tx>
            <c:v>G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46B-4E98-8EFA-5761BEFE9294}"/>
            </c:ext>
          </c:extLst>
        </c:ser>
        <c:ser>
          <c:idx val="7"/>
          <c:order val="7"/>
          <c:tx>
            <c:v>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Summary!#REF!</c:f>
            </c:numRef>
          </c:xVal>
          <c:yVal>
            <c:numRef>
              <c:f>Summary!#REF!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46B-4E98-8EFA-5761BEFE9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038064"/>
        <c:axId val="2032073152"/>
        <c:extLst/>
      </c:scatterChart>
      <c:valAx>
        <c:axId val="2032038064"/>
        <c:scaling>
          <c:orientation val="minMax"/>
          <c:max val="1.8"/>
          <c:min val="1.650000000000000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density (g/ml)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73152"/>
        <c:crosses val="autoZero"/>
        <c:crossBetween val="midCat"/>
      </c:valAx>
      <c:valAx>
        <c:axId val="203207315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DNA (ng/ul)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03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Density Profile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Summary!$C$4:$C$25</c:f>
              <c:numCache>
                <c:formatCode>0.0000</c:formatCode>
                <c:ptCount val="22"/>
                <c:pt idx="0">
                  <c:v>1.7619171400000013</c:v>
                </c:pt>
                <c:pt idx="1">
                  <c:v>1.7553605799999996</c:v>
                </c:pt>
                <c:pt idx="2">
                  <c:v>1.7531750600000002</c:v>
                </c:pt>
                <c:pt idx="3">
                  <c:v>1.7466185000000003</c:v>
                </c:pt>
                <c:pt idx="4">
                  <c:v>1.740253173000001</c:v>
                </c:pt>
                <c:pt idx="5">
                  <c:v>1.7336966129999993</c:v>
                </c:pt>
                <c:pt idx="6">
                  <c:v>1.7271400530000012</c:v>
                </c:pt>
                <c:pt idx="7">
                  <c:v>1.7205834930000012</c:v>
                </c:pt>
                <c:pt idx="8">
                  <c:v>1.7164036859999996</c:v>
                </c:pt>
                <c:pt idx="9">
                  <c:v>1.7098471259999997</c:v>
                </c:pt>
                <c:pt idx="10">
                  <c:v>1.7043833260000003</c:v>
                </c:pt>
                <c:pt idx="11">
                  <c:v>1.6978267660000004</c:v>
                </c:pt>
                <c:pt idx="12">
                  <c:v>1.6923629659999992</c:v>
                </c:pt>
                <c:pt idx="13">
                  <c:v>1.685997639</c:v>
                </c:pt>
                <c:pt idx="14">
                  <c:v>1.6805338390000006</c:v>
                </c:pt>
                <c:pt idx="15">
                  <c:v>1.6750700390000013</c:v>
                </c:pt>
                <c:pt idx="16">
                  <c:v>1.6697974719999991</c:v>
                </c:pt>
                <c:pt idx="17">
                  <c:v>1.6621481520000003</c:v>
                </c:pt>
                <c:pt idx="18">
                  <c:v>1.6392001920000006</c:v>
                </c:pt>
                <c:pt idx="19">
                  <c:v>1.5430373120000009</c:v>
                </c:pt>
                <c:pt idx="20">
                  <c:v>1.3366969050000002</c:v>
                </c:pt>
                <c:pt idx="21">
                  <c:v>1.1290725050000017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DC-43B1-9B31-8154691C62A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Summary!$F$4:$F$25</c:f>
              <c:numCache>
                <c:formatCode>0.0000</c:formatCode>
                <c:ptCount val="22"/>
                <c:pt idx="0">
                  <c:v>1.7530384649999995</c:v>
                </c:pt>
                <c:pt idx="1">
                  <c:v>1.7543224580000008</c:v>
                </c:pt>
                <c:pt idx="2">
                  <c:v>1.7510441780000008</c:v>
                </c:pt>
                <c:pt idx="3">
                  <c:v>1.7457716110000003</c:v>
                </c:pt>
                <c:pt idx="4">
                  <c:v>1.7392150509999986</c:v>
                </c:pt>
                <c:pt idx="5">
                  <c:v>1.7326584910000005</c:v>
                </c:pt>
                <c:pt idx="6">
                  <c:v>1.7261019310000005</c:v>
                </c:pt>
                <c:pt idx="7">
                  <c:v>1.7197366040000013</c:v>
                </c:pt>
                <c:pt idx="8">
                  <c:v>1.7142728040000001</c:v>
                </c:pt>
                <c:pt idx="9">
                  <c:v>1.7088090040000008</c:v>
                </c:pt>
                <c:pt idx="10">
                  <c:v>1.7033452040000014</c:v>
                </c:pt>
                <c:pt idx="11">
                  <c:v>1.6978814040000021</c:v>
                </c:pt>
                <c:pt idx="12">
                  <c:v>1.6904233170000005</c:v>
                </c:pt>
                <c:pt idx="13">
                  <c:v>1.6849595170000011</c:v>
                </c:pt>
                <c:pt idx="14">
                  <c:v>1.6794957170000018</c:v>
                </c:pt>
                <c:pt idx="15">
                  <c:v>1.6729391570000001</c:v>
                </c:pt>
                <c:pt idx="16">
                  <c:v>1.6676665899999996</c:v>
                </c:pt>
                <c:pt idx="17">
                  <c:v>1.6600172700000009</c:v>
                </c:pt>
                <c:pt idx="18">
                  <c:v>1.6305127499999994</c:v>
                </c:pt>
                <c:pt idx="19">
                  <c:v>1.5257990230000011</c:v>
                </c:pt>
                <c:pt idx="20">
                  <c:v>1.3247311830000008</c:v>
                </c:pt>
                <c:pt idx="21">
                  <c:v>1.1149212630000012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DC-43B1-9B31-8154691C62A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Summary!$I$4:$I$25</c:f>
              <c:numCache>
                <c:formatCode>0.0000</c:formatCode>
                <c:ptCount val="22"/>
                <c:pt idx="0">
                  <c:v>1.7552786230000006</c:v>
                </c:pt>
                <c:pt idx="1">
                  <c:v>1.7532843360000001</c:v>
                </c:pt>
                <c:pt idx="2">
                  <c:v>1.7489132960000013</c:v>
                </c:pt>
                <c:pt idx="3">
                  <c:v>1.7447334890000015</c:v>
                </c:pt>
                <c:pt idx="4">
                  <c:v>1.7392696890000003</c:v>
                </c:pt>
                <c:pt idx="5">
                  <c:v>1.733805889000001</c:v>
                </c:pt>
                <c:pt idx="6">
                  <c:v>1.7263478020000012</c:v>
                </c:pt>
                <c:pt idx="7">
                  <c:v>1.7208840020000018</c:v>
                </c:pt>
                <c:pt idx="8">
                  <c:v>1.7143274420000001</c:v>
                </c:pt>
                <c:pt idx="9">
                  <c:v>1.7090548750000014</c:v>
                </c:pt>
                <c:pt idx="10">
                  <c:v>1.7035910750000021</c:v>
                </c:pt>
                <c:pt idx="11">
                  <c:v>1.6970345150000004</c:v>
                </c:pt>
                <c:pt idx="12">
                  <c:v>1.6926634749999998</c:v>
                </c:pt>
                <c:pt idx="13">
                  <c:v>1.6861069150000016</c:v>
                </c:pt>
                <c:pt idx="14">
                  <c:v>1.6795503550000017</c:v>
                </c:pt>
                <c:pt idx="15">
                  <c:v>1.6742777879999995</c:v>
                </c:pt>
                <c:pt idx="16">
                  <c:v>1.6688139880000001</c:v>
                </c:pt>
                <c:pt idx="17">
                  <c:v>1.662257428000002</c:v>
                </c:pt>
                <c:pt idx="18">
                  <c:v>1.6382167080000016</c:v>
                </c:pt>
                <c:pt idx="19">
                  <c:v>1.5398683080000009</c:v>
                </c:pt>
                <c:pt idx="20">
                  <c:v>1.3215075410000008</c:v>
                </c:pt>
                <c:pt idx="21">
                  <c:v>1.1040483010000024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0DC-43B1-9B31-8154691C62A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Summary!$L$4:$L$25</c:f>
              <c:numCache>
                <c:formatCode>0.0000</c:formatCode>
                <c:ptCount val="22"/>
                <c:pt idx="0">
                  <c:v>1.7553332610000005</c:v>
                </c:pt>
                <c:pt idx="1">
                  <c:v>1.754240501</c:v>
                </c:pt>
                <c:pt idx="2">
                  <c:v>1.7498694610000012</c:v>
                </c:pt>
                <c:pt idx="3">
                  <c:v>1.7456896540000013</c:v>
                </c:pt>
                <c:pt idx="4">
                  <c:v>1.7391330939999996</c:v>
                </c:pt>
                <c:pt idx="5">
                  <c:v>1.7325765340000014</c:v>
                </c:pt>
                <c:pt idx="6">
                  <c:v>1.7271127340000021</c:v>
                </c:pt>
                <c:pt idx="7">
                  <c:v>1.7205561740000004</c:v>
                </c:pt>
                <c:pt idx="8">
                  <c:v>1.7152836069999999</c:v>
                </c:pt>
                <c:pt idx="9">
                  <c:v>1.7087270470000018</c:v>
                </c:pt>
                <c:pt idx="10">
                  <c:v>1.7032632470000024</c:v>
                </c:pt>
                <c:pt idx="11">
                  <c:v>1.6967066870000007</c:v>
                </c:pt>
                <c:pt idx="12">
                  <c:v>1.6914341200000003</c:v>
                </c:pt>
                <c:pt idx="13">
                  <c:v>1.6859703200000009</c:v>
                </c:pt>
                <c:pt idx="14">
                  <c:v>1.6805065200000016</c:v>
                </c:pt>
                <c:pt idx="15">
                  <c:v>1.6739499599999998</c:v>
                </c:pt>
                <c:pt idx="16">
                  <c:v>1.6684861600000005</c:v>
                </c:pt>
                <c:pt idx="17">
                  <c:v>1.6608368400000018</c:v>
                </c:pt>
                <c:pt idx="18">
                  <c:v>1.6358945930000015</c:v>
                </c:pt>
                <c:pt idx="19">
                  <c:v>1.5255258330000014</c:v>
                </c:pt>
                <c:pt idx="20">
                  <c:v>1.3069738330000025</c:v>
                </c:pt>
                <c:pt idx="21">
                  <c:v>1.0906073530000011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0DC-43B1-9B31-8154691C62A7}"/>
            </c:ext>
          </c:extLst>
        </c:ser>
        <c:ser>
          <c:idx val="4"/>
          <c:order val="4"/>
          <c:tx>
            <c:v>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Summary!$A$4:$A$25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Summary!$O$4:$O$25</c:f>
              <c:numCache>
                <c:formatCode>0.0000</c:formatCode>
                <c:ptCount val="22"/>
                <c:pt idx="0">
                  <c:v>1.7530111460000004</c:v>
                </c:pt>
                <c:pt idx="1">
                  <c:v>1.7530111460000004</c:v>
                </c:pt>
                <c:pt idx="2">
                  <c:v>1.7488313390000023</c:v>
                </c:pt>
                <c:pt idx="3">
                  <c:v>1.7433675389999994</c:v>
                </c:pt>
                <c:pt idx="4">
                  <c:v>1.7379037390000001</c:v>
                </c:pt>
                <c:pt idx="5">
                  <c:v>1.7313471790000019</c:v>
                </c:pt>
                <c:pt idx="6">
                  <c:v>1.7258833790000025</c:v>
                </c:pt>
                <c:pt idx="7">
                  <c:v>1.7193268190000008</c:v>
                </c:pt>
                <c:pt idx="8">
                  <c:v>1.7138630190000015</c:v>
                </c:pt>
                <c:pt idx="9">
                  <c:v>1.7074976920000022</c:v>
                </c:pt>
                <c:pt idx="10">
                  <c:v>1.7020338920000029</c:v>
                </c:pt>
                <c:pt idx="11">
                  <c:v>1.696570092</c:v>
                </c:pt>
                <c:pt idx="12">
                  <c:v>1.6900135320000018</c:v>
                </c:pt>
                <c:pt idx="13">
                  <c:v>1.6845497320000025</c:v>
                </c:pt>
                <c:pt idx="14">
                  <c:v>1.6790859320000013</c:v>
                </c:pt>
                <c:pt idx="15">
                  <c:v>1.6736221320000002</c:v>
                </c:pt>
                <c:pt idx="16">
                  <c:v>1.6681583320000009</c:v>
                </c:pt>
                <c:pt idx="17">
                  <c:v>1.6572307320000021</c:v>
                </c:pt>
                <c:pt idx="18">
                  <c:v>1.6146130920000026</c:v>
                </c:pt>
                <c:pt idx="19">
                  <c:v>1.4847658850000016</c:v>
                </c:pt>
                <c:pt idx="20">
                  <c:v>1.2793270050000007</c:v>
                </c:pt>
                <c:pt idx="21">
                  <c:v>1.1022998850000008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0DC-43B1-9B31-8154691C6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1216624"/>
        <c:axId val="511217040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v>F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60DC-43B1-9B31-8154691C62A7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v>G</c:v>
                </c:tx>
                <c:spPr>
                  <a:ln w="1905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0DC-43B1-9B31-8154691C62A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H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0DC-43B1-9B31-8154691C62A7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I</c:v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40C-4090-B361-EFF163F15229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v>J</c:v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40C-4090-B361-EFF163F15229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v>K</c:v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40C-4090-B361-EFF163F1522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v>L</c:v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40C-4090-B361-EFF163F1522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v>M</c:v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40C-4090-B361-EFF163F1522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v>N</c:v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40C-4090-B361-EFF163F1522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v>O</c:v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40C-4090-B361-EFF163F1522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v>P</c:v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Summary!$A$4:$A$25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0C-4090-B361-EFF163F15229}"/>
                  </c:ext>
                </c:extLst>
              </c15:ser>
            </c15:filteredScatterSeries>
          </c:ext>
        </c:extLst>
      </c:scatterChart>
      <c:valAx>
        <c:axId val="5112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7040"/>
        <c:crosses val="autoZero"/>
        <c:crossBetween val="midCat"/>
      </c:valAx>
      <c:valAx>
        <c:axId val="511217040"/>
        <c:scaling>
          <c:orientation val="minMax"/>
          <c:max val="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CsCl</a:t>
                </a:r>
                <a:r>
                  <a:rPr lang="en-US" baseline="0"/>
                  <a:t> (g/ml)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216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476251</xdr:colOff>
      <xdr:row>28</xdr:row>
      <xdr:rowOff>55032</xdr:rowOff>
    </xdr:from>
    <xdr:to>
      <xdr:col>8</xdr:col>
      <xdr:colOff>194734</xdr:colOff>
      <xdr:row>53</xdr:row>
      <xdr:rowOff>116415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EF2648-E102-4B18-B61B-B12A7E0160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551391</xdr:colOff>
      <xdr:row>28</xdr:row>
      <xdr:rowOff>61079</xdr:rowOff>
    </xdr:from>
    <xdr:to>
      <xdr:col>16</xdr:col>
      <xdr:colOff>0</xdr:colOff>
      <xdr:row>53</xdr:row>
      <xdr:rowOff>93134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7AE4510-4E41-46C0-A33F-3A5611C600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104775</xdr:rowOff>
    </xdr:from>
    <xdr:to>
      <xdr:col>2</xdr:col>
      <xdr:colOff>2362200</xdr:colOff>
      <xdr:row>48</xdr:row>
      <xdr:rowOff>190500</xdr:rowOff>
    </xdr:to>
    <xdr:pic>
      <xdr:nvPicPr>
        <xdr:cNvPr id="1064" name="Picture 1">
          <a:extLst>
            <a:ext uri="{FF2B5EF4-FFF2-40B4-BE49-F238E27FC236}">
              <a16:creationId xmlns:a16="http://schemas.microsoft.com/office/drawing/2014/main" id="{5990C59C-CC9C-4910-BDBA-B59B1DEBCF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6800"/>
          <a:ext cx="4143375" cy="513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8FBF1-D534-4F7E-950C-764D2E6B8C19}">
  <dimension ref="A1:J13"/>
  <sheetViews>
    <sheetView workbookViewId="0">
      <selection activeCell="G9" sqref="G9"/>
    </sheetView>
  </sheetViews>
  <sheetFormatPr defaultRowHeight="12.5"/>
  <cols>
    <col min="1" max="1" width="11.26953125" bestFit="1" customWidth="1"/>
    <col min="2" max="2" width="9.7265625" bestFit="1" customWidth="1"/>
    <col min="3" max="3" width="9.7265625" customWidth="1"/>
    <col min="4" max="4" width="17.26953125" bestFit="1" customWidth="1"/>
    <col min="5" max="5" width="18.7265625" bestFit="1" customWidth="1"/>
    <col min="6" max="6" width="12.54296875" customWidth="1"/>
    <col min="7" max="7" width="18.7265625" customWidth="1"/>
    <col min="8" max="8" width="20" bestFit="1" customWidth="1"/>
    <col min="9" max="9" width="23.90625" bestFit="1" customWidth="1"/>
  </cols>
  <sheetData>
    <row r="1" spans="1:10">
      <c r="A1" t="s">
        <v>188</v>
      </c>
    </row>
    <row r="2" spans="1:10">
      <c r="A2" t="s">
        <v>189</v>
      </c>
    </row>
    <row r="4" spans="1:10">
      <c r="A4" s="27" t="s">
        <v>183</v>
      </c>
      <c r="B4" s="27" t="s">
        <v>190</v>
      </c>
      <c r="C4" s="27" t="s">
        <v>192</v>
      </c>
      <c r="D4" s="27" t="s">
        <v>191</v>
      </c>
      <c r="E4" s="27" t="s">
        <v>196</v>
      </c>
      <c r="F4" s="27" t="s">
        <v>198</v>
      </c>
      <c r="G4" s="27" t="s">
        <v>199</v>
      </c>
      <c r="H4" s="27" t="s">
        <v>197</v>
      </c>
      <c r="I4" s="27" t="s">
        <v>204</v>
      </c>
      <c r="J4" s="27" t="s">
        <v>194</v>
      </c>
    </row>
    <row r="5" spans="1:10">
      <c r="A5" s="66">
        <f>TubeLoading!F29</f>
        <v>3954</v>
      </c>
      <c r="B5" s="66" t="str">
        <f>TubeLoading!A29</f>
        <v>Tube A</v>
      </c>
      <c r="C5" s="66" t="s">
        <v>193</v>
      </c>
      <c r="D5" s="67">
        <v>45021</v>
      </c>
      <c r="E5" s="66">
        <v>136</v>
      </c>
      <c r="F5" t="s">
        <v>212</v>
      </c>
      <c r="G5" s="66">
        <f>TubeLoading!J29</f>
        <v>4000</v>
      </c>
      <c r="H5" s="68">
        <f>Summary!D26</f>
        <v>80.487677886517574</v>
      </c>
      <c r="I5" s="105">
        <v>37</v>
      </c>
    </row>
    <row r="6" spans="1:10">
      <c r="A6" s="66">
        <f>TubeLoading!F30</f>
        <v>2014</v>
      </c>
      <c r="B6" s="66" t="str">
        <f>TubeLoading!A30</f>
        <v>Tube B</v>
      </c>
      <c r="C6" s="66" t="s">
        <v>193</v>
      </c>
      <c r="D6" s="67">
        <v>45021</v>
      </c>
      <c r="E6">
        <v>136</v>
      </c>
      <c r="F6" t="s">
        <v>212</v>
      </c>
      <c r="G6" s="66">
        <f>TubeLoading!J30</f>
        <v>4000</v>
      </c>
      <c r="H6" s="50">
        <f>Summary!G26</f>
        <v>102.51844940346064</v>
      </c>
      <c r="I6" s="106">
        <v>37</v>
      </c>
    </row>
    <row r="7" spans="1:10">
      <c r="A7" s="66">
        <f>TubeLoading!F31</f>
        <v>1770</v>
      </c>
      <c r="B7" s="66" t="str">
        <f>TubeLoading!A31</f>
        <v>Tube C</v>
      </c>
      <c r="C7" s="66" t="s">
        <v>193</v>
      </c>
      <c r="D7" s="67">
        <v>45021</v>
      </c>
      <c r="E7" s="66">
        <v>136</v>
      </c>
      <c r="F7" t="s">
        <v>212</v>
      </c>
      <c r="G7" s="66">
        <f>TubeLoading!J31</f>
        <v>4000</v>
      </c>
      <c r="H7" s="50">
        <f>Summary!J26</f>
        <v>89.750028921089779</v>
      </c>
      <c r="I7" s="106">
        <v>37</v>
      </c>
    </row>
    <row r="8" spans="1:10">
      <c r="A8" s="66">
        <f>TubeLoading!F32</f>
        <v>1787</v>
      </c>
      <c r="B8" s="66" t="str">
        <f>TubeLoading!A32</f>
        <v>Tube D</v>
      </c>
      <c r="C8" s="66" t="s">
        <v>193</v>
      </c>
      <c r="D8" s="67">
        <v>45021</v>
      </c>
      <c r="E8">
        <v>139</v>
      </c>
      <c r="F8" t="s">
        <v>213</v>
      </c>
      <c r="G8" s="66">
        <f>TubeLoading!J32</f>
        <v>3999.9999999999995</v>
      </c>
      <c r="H8" s="50">
        <f>Summary!M26</f>
        <v>65.286376348919845</v>
      </c>
      <c r="I8" s="106">
        <v>37</v>
      </c>
    </row>
    <row r="9" spans="1:10">
      <c r="A9" s="66">
        <f>TubeLoading!F33</f>
        <v>1461</v>
      </c>
      <c r="B9" s="66" t="str">
        <f>TubeLoading!A33</f>
        <v>Tube E</v>
      </c>
      <c r="C9" s="66" t="s">
        <v>174</v>
      </c>
      <c r="D9" s="67">
        <v>45021</v>
      </c>
      <c r="E9">
        <v>139</v>
      </c>
      <c r="F9" t="s">
        <v>213</v>
      </c>
      <c r="G9" s="66">
        <f>TubeLoading!J33</f>
        <v>3999.9999999999995</v>
      </c>
      <c r="H9" s="50">
        <f>Summary!P26</f>
        <v>142.36176381199132</v>
      </c>
      <c r="I9" s="106">
        <v>37</v>
      </c>
    </row>
    <row r="13" spans="1:10">
      <c r="A13" t="s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23"/>
  <sheetViews>
    <sheetView workbookViewId="0">
      <selection activeCell="C2" sqref="C2:D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23"/>
  <sheetViews>
    <sheetView workbookViewId="0">
      <selection activeCell="C2" sqref="C2:D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175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176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177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178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179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180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181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182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3"/>
  <sheetViews>
    <sheetView workbookViewId="0">
      <selection activeCell="I8" sqref="I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67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68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69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79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80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81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82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83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23"/>
  <sheetViews>
    <sheetView workbookViewId="0">
      <selection activeCell="A2" sqref="A2:G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89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90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91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92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93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94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95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96</v>
      </c>
    </row>
    <row r="14" spans="1:13">
      <c r="A14" s="58">
        <v>13</v>
      </c>
      <c r="B14" s="58" t="s">
        <v>61</v>
      </c>
      <c r="C14" s="59"/>
      <c r="D14" s="58"/>
      <c r="E14" s="58">
        <f t="shared" si="0"/>
        <v>-4.3E-3</v>
      </c>
      <c r="F14" s="59">
        <f t="shared" si="1"/>
        <v>-13.63998868</v>
      </c>
      <c r="G14" s="58" t="s">
        <v>97</v>
      </c>
    </row>
    <row r="15" spans="1:13">
      <c r="A15" s="58">
        <v>14</v>
      </c>
      <c r="B15" s="58" t="s">
        <v>61</v>
      </c>
      <c r="C15" s="59"/>
      <c r="D15" s="58"/>
      <c r="E15" s="58">
        <f t="shared" si="0"/>
        <v>-4.3E-3</v>
      </c>
      <c r="F15" s="59">
        <f t="shared" si="1"/>
        <v>-13.63998868</v>
      </c>
      <c r="G15" s="58" t="s">
        <v>98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99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100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101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102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103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104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105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106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3"/>
  <sheetViews>
    <sheetView topLeftCell="A3" workbookViewId="0">
      <selection activeCell="A2" sqref="A2:G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23"/>
  <sheetViews>
    <sheetView topLeftCell="A3" workbookViewId="0">
      <selection activeCell="A2" sqref="A2:G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175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176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177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178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179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180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181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3"/>
  <sheetViews>
    <sheetView topLeftCell="A13" workbookViewId="0">
      <selection activeCell="D28" sqref="D28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>
        <v>1</v>
      </c>
      <c r="B2" t="s">
        <v>61</v>
      </c>
      <c r="C2" s="39"/>
      <c r="D2" s="38"/>
      <c r="E2">
        <f t="shared" ref="E2:E23" si="0">((20-D2)*-0.000175+C2)-0.0008</f>
        <v>-4.3E-3</v>
      </c>
      <c r="F2" s="37">
        <f t="shared" ref="F2:F23" si="1">E2*10.9276-13.593</f>
        <v>-13.63998868</v>
      </c>
      <c r="G2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>
        <v>2</v>
      </c>
      <c r="B3" t="s">
        <v>61</v>
      </c>
      <c r="C3" s="39"/>
      <c r="D3" s="38"/>
      <c r="E3">
        <f t="shared" si="0"/>
        <v>-4.3E-3</v>
      </c>
      <c r="F3" s="37">
        <f t="shared" si="1"/>
        <v>-13.63998868</v>
      </c>
      <c r="G3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>
        <v>3</v>
      </c>
      <c r="B4" t="s">
        <v>61</v>
      </c>
      <c r="C4" s="39"/>
      <c r="D4" s="38"/>
      <c r="E4">
        <f t="shared" si="0"/>
        <v>-4.3E-3</v>
      </c>
      <c r="F4" s="37">
        <f t="shared" si="1"/>
        <v>-13.63998868</v>
      </c>
      <c r="G4" t="s">
        <v>65</v>
      </c>
      <c r="I4" t="s">
        <v>156</v>
      </c>
    </row>
    <row r="5" spans="1:13">
      <c r="A5">
        <v>4</v>
      </c>
      <c r="B5" t="s">
        <v>61</v>
      </c>
      <c r="C5" s="39"/>
      <c r="D5" s="38"/>
      <c r="E5">
        <f t="shared" si="0"/>
        <v>-4.3E-3</v>
      </c>
      <c r="F5" s="37">
        <f t="shared" si="1"/>
        <v>-13.63998868</v>
      </c>
      <c r="G5" t="s">
        <v>66</v>
      </c>
      <c r="I5" t="s">
        <v>157</v>
      </c>
    </row>
    <row r="6" spans="1:13">
      <c r="A6">
        <v>5</v>
      </c>
      <c r="B6" t="s">
        <v>61</v>
      </c>
      <c r="C6" s="39"/>
      <c r="D6" s="38"/>
      <c r="E6">
        <f t="shared" si="0"/>
        <v>-4.3E-3</v>
      </c>
      <c r="F6" s="37">
        <f t="shared" si="1"/>
        <v>-13.63998868</v>
      </c>
      <c r="G6" t="s">
        <v>67</v>
      </c>
    </row>
    <row r="7" spans="1:13">
      <c r="A7">
        <v>6</v>
      </c>
      <c r="B7" t="s">
        <v>61</v>
      </c>
      <c r="C7" s="39"/>
      <c r="D7" s="38"/>
      <c r="E7">
        <f t="shared" si="0"/>
        <v>-4.3E-3</v>
      </c>
      <c r="F7" s="37">
        <f t="shared" si="1"/>
        <v>-13.63998868</v>
      </c>
      <c r="G7" t="s">
        <v>68</v>
      </c>
    </row>
    <row r="8" spans="1:13">
      <c r="A8">
        <v>7</v>
      </c>
      <c r="B8" t="s">
        <v>61</v>
      </c>
      <c r="C8" s="39"/>
      <c r="D8" s="38"/>
      <c r="E8">
        <f t="shared" si="0"/>
        <v>-4.3E-3</v>
      </c>
      <c r="F8" s="37">
        <f t="shared" si="1"/>
        <v>-13.63998868</v>
      </c>
      <c r="G8" t="s">
        <v>69</v>
      </c>
    </row>
    <row r="9" spans="1:13">
      <c r="A9">
        <v>8</v>
      </c>
      <c r="B9" t="s">
        <v>61</v>
      </c>
      <c r="C9" s="39"/>
      <c r="D9" s="38"/>
      <c r="E9">
        <f t="shared" si="0"/>
        <v>-4.3E-3</v>
      </c>
      <c r="F9" s="37">
        <f t="shared" si="1"/>
        <v>-13.63998868</v>
      </c>
      <c r="G9" t="s">
        <v>70</v>
      </c>
    </row>
    <row r="10" spans="1:13">
      <c r="A10" s="43">
        <v>9</v>
      </c>
      <c r="B10" s="43" t="s">
        <v>61</v>
      </c>
      <c r="C10" s="44"/>
      <c r="D10" s="43"/>
      <c r="E10" s="43">
        <f t="shared" si="0"/>
        <v>-4.3E-3</v>
      </c>
      <c r="F10" s="44">
        <f t="shared" si="1"/>
        <v>-13.63998868</v>
      </c>
      <c r="G10" s="43" t="s">
        <v>71</v>
      </c>
    </row>
    <row r="11" spans="1:13">
      <c r="A11" s="43">
        <v>10</v>
      </c>
      <c r="B11" s="43" t="s">
        <v>61</v>
      </c>
      <c r="C11" s="44"/>
      <c r="D11" s="43"/>
      <c r="E11" s="43">
        <f t="shared" si="0"/>
        <v>-4.3E-3</v>
      </c>
      <c r="F11" s="44">
        <f t="shared" si="1"/>
        <v>-13.63998868</v>
      </c>
      <c r="G11" s="43" t="s">
        <v>72</v>
      </c>
    </row>
    <row r="12" spans="1:13">
      <c r="A12" s="43">
        <v>11</v>
      </c>
      <c r="B12" s="43" t="s">
        <v>61</v>
      </c>
      <c r="C12" s="44"/>
      <c r="D12" s="43"/>
      <c r="E12" s="43">
        <f t="shared" si="0"/>
        <v>-4.3E-3</v>
      </c>
      <c r="F12" s="44">
        <f t="shared" si="1"/>
        <v>-13.63998868</v>
      </c>
      <c r="G12" s="43" t="s">
        <v>73</v>
      </c>
    </row>
    <row r="13" spans="1:13">
      <c r="A13" s="43">
        <v>12</v>
      </c>
      <c r="B13" s="43" t="s">
        <v>61</v>
      </c>
      <c r="C13" s="44"/>
      <c r="D13" s="43"/>
      <c r="E13" s="43">
        <f t="shared" si="0"/>
        <v>-4.3E-3</v>
      </c>
      <c r="F13" s="44">
        <f t="shared" si="1"/>
        <v>-13.63998868</v>
      </c>
      <c r="G13" s="43" t="s">
        <v>74</v>
      </c>
    </row>
    <row r="14" spans="1:13">
      <c r="A14" s="43">
        <v>13</v>
      </c>
      <c r="B14" s="43" t="s">
        <v>61</v>
      </c>
      <c r="C14" s="44"/>
      <c r="D14" s="43"/>
      <c r="E14" s="43">
        <f t="shared" si="0"/>
        <v>-4.3E-3</v>
      </c>
      <c r="F14" s="44">
        <f t="shared" si="1"/>
        <v>-13.63998868</v>
      </c>
      <c r="G14" s="43" t="s">
        <v>75</v>
      </c>
    </row>
    <row r="15" spans="1:13">
      <c r="A15" s="43">
        <v>14</v>
      </c>
      <c r="B15" s="43" t="s">
        <v>61</v>
      </c>
      <c r="C15" s="44"/>
      <c r="D15" s="43"/>
      <c r="E15" s="43">
        <f t="shared" si="0"/>
        <v>-4.3E-3</v>
      </c>
      <c r="F15" s="44">
        <f t="shared" si="1"/>
        <v>-13.63998868</v>
      </c>
      <c r="G15" s="43" t="s">
        <v>76</v>
      </c>
    </row>
    <row r="16" spans="1:13">
      <c r="A16" s="43">
        <v>15</v>
      </c>
      <c r="B16" s="43" t="s">
        <v>61</v>
      </c>
      <c r="C16" s="44"/>
      <c r="D16" s="43"/>
      <c r="E16" s="43">
        <f t="shared" si="0"/>
        <v>-4.3E-3</v>
      </c>
      <c r="F16" s="44">
        <f t="shared" si="1"/>
        <v>-13.63998868</v>
      </c>
      <c r="G16" s="43" t="s">
        <v>77</v>
      </c>
    </row>
    <row r="17" spans="1:7">
      <c r="A17" s="43">
        <v>16</v>
      </c>
      <c r="B17" s="43" t="s">
        <v>61</v>
      </c>
      <c r="C17" s="44"/>
      <c r="D17" s="43"/>
      <c r="E17" s="43">
        <f t="shared" si="0"/>
        <v>-4.3E-3</v>
      </c>
      <c r="F17" s="44">
        <f t="shared" si="1"/>
        <v>-13.63998868</v>
      </c>
      <c r="G17" s="43" t="s">
        <v>78</v>
      </c>
    </row>
    <row r="18" spans="1:7">
      <c r="A18">
        <v>17</v>
      </c>
      <c r="B18" t="s">
        <v>61</v>
      </c>
      <c r="C18" s="39"/>
      <c r="D18" s="38"/>
      <c r="E18">
        <f t="shared" si="0"/>
        <v>-4.3E-3</v>
      </c>
      <c r="F18" s="37">
        <f t="shared" si="1"/>
        <v>-13.63998868</v>
      </c>
      <c r="G18" t="s">
        <v>79</v>
      </c>
    </row>
    <row r="19" spans="1:7">
      <c r="A19">
        <v>18</v>
      </c>
      <c r="B19" t="s">
        <v>61</v>
      </c>
      <c r="C19" s="39"/>
      <c r="D19" s="38"/>
      <c r="E19">
        <f t="shared" si="0"/>
        <v>-4.3E-3</v>
      </c>
      <c r="F19" s="37">
        <f t="shared" si="1"/>
        <v>-13.63998868</v>
      </c>
      <c r="G19" t="s">
        <v>80</v>
      </c>
    </row>
    <row r="20" spans="1:7">
      <c r="A20">
        <v>19</v>
      </c>
      <c r="B20" t="s">
        <v>61</v>
      </c>
      <c r="C20" s="39"/>
      <c r="D20" s="38"/>
      <c r="E20">
        <f t="shared" si="0"/>
        <v>-4.3E-3</v>
      </c>
      <c r="F20" s="37">
        <f t="shared" si="1"/>
        <v>-13.63998868</v>
      </c>
      <c r="G20" t="s">
        <v>81</v>
      </c>
    </row>
    <row r="21" spans="1:7">
      <c r="A21">
        <v>20</v>
      </c>
      <c r="B21" t="s">
        <v>61</v>
      </c>
      <c r="C21" s="39"/>
      <c r="D21" s="38"/>
      <c r="E21">
        <f t="shared" si="0"/>
        <v>-4.3E-3</v>
      </c>
      <c r="F21" s="37">
        <f t="shared" si="1"/>
        <v>-13.63998868</v>
      </c>
      <c r="G21" t="s">
        <v>82</v>
      </c>
    </row>
    <row r="22" spans="1:7">
      <c r="A22">
        <v>21</v>
      </c>
      <c r="B22" t="s">
        <v>61</v>
      </c>
      <c r="C22" s="39"/>
      <c r="D22" s="38"/>
      <c r="E22">
        <f t="shared" si="0"/>
        <v>-4.3E-3</v>
      </c>
      <c r="F22" s="37">
        <f t="shared" si="1"/>
        <v>-13.63998868</v>
      </c>
      <c r="G22" t="s">
        <v>83</v>
      </c>
    </row>
    <row r="23" spans="1:7">
      <c r="A23">
        <v>22</v>
      </c>
      <c r="B23" t="s">
        <v>61</v>
      </c>
      <c r="C23" s="39"/>
      <c r="D23" s="38"/>
      <c r="E23">
        <f t="shared" si="0"/>
        <v>-4.3E-3</v>
      </c>
      <c r="F23" s="37">
        <f t="shared" si="1"/>
        <v>-13.63998868</v>
      </c>
      <c r="G23" t="s">
        <v>84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89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90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91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92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93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94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95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96</v>
      </c>
    </row>
    <row r="14" spans="1:13">
      <c r="A14" s="58">
        <v>13</v>
      </c>
      <c r="B14" s="58" t="s">
        <v>61</v>
      </c>
      <c r="C14" s="59"/>
      <c r="D14" s="58"/>
      <c r="E14" s="58">
        <f t="shared" si="0"/>
        <v>-4.3E-3</v>
      </c>
      <c r="F14" s="59">
        <f t="shared" si="1"/>
        <v>-13.63998868</v>
      </c>
      <c r="G14" s="58" t="s">
        <v>97</v>
      </c>
    </row>
    <row r="15" spans="1:13">
      <c r="A15" s="58">
        <v>14</v>
      </c>
      <c r="B15" s="58" t="s">
        <v>61</v>
      </c>
      <c r="C15" s="59"/>
      <c r="D15" s="58"/>
      <c r="E15" s="58">
        <f t="shared" si="0"/>
        <v>-4.3E-3</v>
      </c>
      <c r="F15" s="59">
        <f t="shared" si="1"/>
        <v>-13.63998868</v>
      </c>
      <c r="G15" s="58" t="s">
        <v>98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99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100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101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102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103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104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105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106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23"/>
  <sheetViews>
    <sheetView workbookViewId="0">
      <selection activeCell="E26" sqref="E26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/>
      <c r="D2" s="60"/>
      <c r="E2" s="60">
        <f t="shared" ref="E2:E23" si="0">((20-D2)*-0.000175+C2)-0.0008</f>
        <v>-4.3E-3</v>
      </c>
      <c r="F2" s="61">
        <f t="shared" ref="F2:F23" si="1">E2*10.9276-13.593</f>
        <v>-13.63998868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/>
      <c r="D3" s="60"/>
      <c r="E3" s="60">
        <f t="shared" si="0"/>
        <v>-4.3E-3</v>
      </c>
      <c r="F3" s="61">
        <f t="shared" si="1"/>
        <v>-13.63998868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111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112</v>
      </c>
    </row>
    <row r="8" spans="1:13">
      <c r="A8" s="58">
        <v>7</v>
      </c>
      <c r="B8" s="58" t="s">
        <v>61</v>
      </c>
      <c r="C8" s="59"/>
      <c r="D8" s="58"/>
      <c r="E8" s="58">
        <f t="shared" si="0"/>
        <v>-4.3E-3</v>
      </c>
      <c r="F8" s="59">
        <f t="shared" si="1"/>
        <v>-13.63998868</v>
      </c>
      <c r="G8" s="58" t="s">
        <v>113</v>
      </c>
    </row>
    <row r="9" spans="1:13">
      <c r="A9" s="58">
        <v>8</v>
      </c>
      <c r="B9" s="58" t="s">
        <v>61</v>
      </c>
      <c r="C9" s="59"/>
      <c r="D9" s="58"/>
      <c r="E9" s="58">
        <f t="shared" si="0"/>
        <v>-4.3E-3</v>
      </c>
      <c r="F9" s="59">
        <f t="shared" si="1"/>
        <v>-13.63998868</v>
      </c>
      <c r="G9" s="58" t="s">
        <v>114</v>
      </c>
    </row>
    <row r="10" spans="1:13">
      <c r="A10" s="58">
        <v>9</v>
      </c>
      <c r="B10" s="58" t="s">
        <v>61</v>
      </c>
      <c r="C10" s="59"/>
      <c r="D10" s="58"/>
      <c r="E10" s="58">
        <f t="shared" si="0"/>
        <v>-4.3E-3</v>
      </c>
      <c r="F10" s="59">
        <f t="shared" si="1"/>
        <v>-13.63998868</v>
      </c>
      <c r="G10" s="58" t="s">
        <v>115</v>
      </c>
    </row>
    <row r="11" spans="1:13">
      <c r="A11" s="58">
        <v>10</v>
      </c>
      <c r="B11" s="58" t="s">
        <v>61</v>
      </c>
      <c r="C11" s="59"/>
      <c r="D11" s="58"/>
      <c r="E11" s="58">
        <f t="shared" si="0"/>
        <v>-4.3E-3</v>
      </c>
      <c r="F11" s="59">
        <f t="shared" si="1"/>
        <v>-13.63998868</v>
      </c>
      <c r="G11" s="58" t="s">
        <v>116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117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118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119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120</v>
      </c>
    </row>
    <row r="16" spans="1:13">
      <c r="A16" s="60">
        <v>15</v>
      </c>
      <c r="B16" s="60" t="s">
        <v>61</v>
      </c>
      <c r="C16" s="61"/>
      <c r="D16" s="60"/>
      <c r="E16" s="60">
        <f t="shared" si="0"/>
        <v>-4.3E-3</v>
      </c>
      <c r="F16" s="61">
        <f t="shared" si="1"/>
        <v>-13.63998868</v>
      </c>
      <c r="G16" s="60" t="s">
        <v>121</v>
      </c>
    </row>
    <row r="17" spans="1:7">
      <c r="A17" s="60">
        <v>16</v>
      </c>
      <c r="B17" s="60" t="s">
        <v>61</v>
      </c>
      <c r="C17" s="61"/>
      <c r="D17" s="60"/>
      <c r="E17" s="60">
        <f t="shared" si="0"/>
        <v>-4.3E-3</v>
      </c>
      <c r="F17" s="61">
        <f t="shared" si="1"/>
        <v>-13.63998868</v>
      </c>
      <c r="G17" s="60" t="s">
        <v>122</v>
      </c>
    </row>
    <row r="18" spans="1:7">
      <c r="A18" s="60">
        <v>17</v>
      </c>
      <c r="B18" s="60" t="s">
        <v>61</v>
      </c>
      <c r="C18" s="61"/>
      <c r="D18" s="60"/>
      <c r="E18" s="60">
        <f t="shared" si="0"/>
        <v>-4.3E-3</v>
      </c>
      <c r="F18" s="61">
        <f t="shared" si="1"/>
        <v>-13.63998868</v>
      </c>
      <c r="G18" s="60" t="s">
        <v>123</v>
      </c>
    </row>
    <row r="19" spans="1:7">
      <c r="A19" s="60">
        <v>18</v>
      </c>
      <c r="B19" s="60" t="s">
        <v>61</v>
      </c>
      <c r="C19" s="61"/>
      <c r="D19" s="60"/>
      <c r="E19" s="60">
        <f t="shared" si="0"/>
        <v>-4.3E-3</v>
      </c>
      <c r="F19" s="61">
        <f t="shared" si="1"/>
        <v>-13.63998868</v>
      </c>
      <c r="G19" s="60" t="s">
        <v>124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125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126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127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81"/>
  <sheetViews>
    <sheetView workbookViewId="0">
      <selection activeCell="I12" sqref="I12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/>
      <c r="D4" s="58"/>
      <c r="E4" s="58">
        <f t="shared" si="0"/>
        <v>-4.3E-3</v>
      </c>
      <c r="F4" s="59">
        <f t="shared" si="1"/>
        <v>-13.63998868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/>
      <c r="D5" s="58"/>
      <c r="E5" s="58">
        <f t="shared" si="0"/>
        <v>-4.3E-3</v>
      </c>
      <c r="F5" s="59">
        <f t="shared" si="1"/>
        <v>-13.63998868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/>
      <c r="D6" s="58"/>
      <c r="E6" s="58">
        <f t="shared" si="0"/>
        <v>-4.3E-3</v>
      </c>
      <c r="F6" s="59">
        <f t="shared" si="1"/>
        <v>-13.63998868</v>
      </c>
      <c r="G6" s="58" t="s">
        <v>133</v>
      </c>
    </row>
    <row r="7" spans="1:13">
      <c r="A7" s="58">
        <v>6</v>
      </c>
      <c r="B7" s="58" t="s">
        <v>61</v>
      </c>
      <c r="C7" s="59"/>
      <c r="D7" s="58"/>
      <c r="E7" s="58">
        <f t="shared" si="0"/>
        <v>-4.3E-3</v>
      </c>
      <c r="F7" s="59">
        <f t="shared" si="1"/>
        <v>-13.63998868</v>
      </c>
      <c r="G7" s="58" t="s">
        <v>134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135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136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137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158</v>
      </c>
    </row>
    <row r="12" spans="1:13">
      <c r="A12" s="60">
        <v>11</v>
      </c>
      <c r="B12" s="60" t="s">
        <v>61</v>
      </c>
      <c r="C12" s="61"/>
      <c r="D12" s="60"/>
      <c r="E12" s="60">
        <f t="shared" si="0"/>
        <v>-4.3E-3</v>
      </c>
      <c r="F12" s="61">
        <f t="shared" si="1"/>
        <v>-13.63998868</v>
      </c>
      <c r="G12" s="60" t="s">
        <v>159</v>
      </c>
    </row>
    <row r="13" spans="1:13">
      <c r="A13" s="60">
        <v>12</v>
      </c>
      <c r="B13" s="60" t="s">
        <v>61</v>
      </c>
      <c r="C13" s="61"/>
      <c r="D13" s="60"/>
      <c r="E13" s="60">
        <f t="shared" si="0"/>
        <v>-4.3E-3</v>
      </c>
      <c r="F13" s="61">
        <f t="shared" si="1"/>
        <v>-13.63998868</v>
      </c>
      <c r="G13" s="60" t="s">
        <v>160</v>
      </c>
    </row>
    <row r="14" spans="1:13">
      <c r="A14" s="60">
        <v>13</v>
      </c>
      <c r="B14" s="60" t="s">
        <v>61</v>
      </c>
      <c r="C14" s="61"/>
      <c r="D14" s="60"/>
      <c r="E14" s="60">
        <f t="shared" si="0"/>
        <v>-4.3E-3</v>
      </c>
      <c r="F14" s="61">
        <f t="shared" si="1"/>
        <v>-13.63998868</v>
      </c>
      <c r="G14" s="60" t="s">
        <v>161</v>
      </c>
    </row>
    <row r="15" spans="1:13">
      <c r="A15" s="60">
        <v>14</v>
      </c>
      <c r="B15" s="60" t="s">
        <v>61</v>
      </c>
      <c r="C15" s="61"/>
      <c r="D15" s="60"/>
      <c r="E15" s="60">
        <f t="shared" si="0"/>
        <v>-4.3E-3</v>
      </c>
      <c r="F15" s="61">
        <f t="shared" si="1"/>
        <v>-13.63998868</v>
      </c>
      <c r="G15" s="60" t="s">
        <v>162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175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176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177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178</v>
      </c>
    </row>
    <row r="20" spans="1:7">
      <c r="A20" s="58">
        <v>19</v>
      </c>
      <c r="B20" s="58" t="s">
        <v>61</v>
      </c>
      <c r="C20" s="59"/>
      <c r="D20" s="58"/>
      <c r="E20" s="58">
        <f t="shared" si="0"/>
        <v>-4.3E-3</v>
      </c>
      <c r="F20" s="59">
        <f t="shared" si="1"/>
        <v>-13.63998868</v>
      </c>
      <c r="G20" s="58" t="s">
        <v>179</v>
      </c>
    </row>
    <row r="21" spans="1:7">
      <c r="A21" s="58">
        <v>20</v>
      </c>
      <c r="B21" s="58" t="s">
        <v>61</v>
      </c>
      <c r="C21" s="59"/>
      <c r="D21" s="58"/>
      <c r="E21" s="58">
        <f t="shared" si="0"/>
        <v>-4.3E-3</v>
      </c>
      <c r="F21" s="59">
        <f t="shared" si="1"/>
        <v>-13.63998868</v>
      </c>
      <c r="G21" s="58" t="s">
        <v>180</v>
      </c>
    </row>
    <row r="22" spans="1:7">
      <c r="A22" s="58">
        <v>21</v>
      </c>
      <c r="B22" s="58" t="s">
        <v>61</v>
      </c>
      <c r="C22" s="59"/>
      <c r="D22" s="58"/>
      <c r="E22" s="58">
        <f t="shared" si="0"/>
        <v>-4.3E-3</v>
      </c>
      <c r="F22" s="59">
        <f t="shared" si="1"/>
        <v>-13.63998868</v>
      </c>
      <c r="G22" s="58" t="s">
        <v>181</v>
      </c>
    </row>
    <row r="23" spans="1:7">
      <c r="A23" s="58">
        <v>22</v>
      </c>
      <c r="B23" s="58" t="s">
        <v>61</v>
      </c>
      <c r="C23" s="59"/>
      <c r="D23" s="58"/>
      <c r="E23" s="58">
        <f t="shared" si="0"/>
        <v>-4.3E-3</v>
      </c>
      <c r="F23" s="59">
        <f t="shared" si="1"/>
        <v>-13.63998868</v>
      </c>
      <c r="G23" s="58" t="s">
        <v>182</v>
      </c>
    </row>
    <row r="24" spans="1:7">
      <c r="A24">
        <v>23</v>
      </c>
      <c r="B24" t="s">
        <v>61</v>
      </c>
      <c r="C24" s="39"/>
      <c r="D24" s="38"/>
      <c r="E24">
        <f t="shared" ref="E24:E65" si="2">((20-D24)*-0.000175+C24)-0.0008</f>
        <v>-4.3E-3</v>
      </c>
      <c r="F24" s="37">
        <f t="shared" ref="F24:F65" si="3">E24*10.9276-13.593</f>
        <v>-13.63998868</v>
      </c>
      <c r="G24" t="s">
        <v>85</v>
      </c>
    </row>
    <row r="25" spans="1:7">
      <c r="A25">
        <v>24</v>
      </c>
      <c r="B25" t="s">
        <v>61</v>
      </c>
      <c r="C25" s="39"/>
      <c r="D25" s="38"/>
      <c r="E25">
        <f t="shared" si="2"/>
        <v>-4.3E-3</v>
      </c>
      <c r="F25" s="37">
        <f t="shared" si="3"/>
        <v>-13.63998868</v>
      </c>
      <c r="G25" t="s">
        <v>86</v>
      </c>
    </row>
    <row r="26" spans="1:7">
      <c r="A26" s="43">
        <v>25</v>
      </c>
      <c r="B26" s="43" t="s">
        <v>61</v>
      </c>
      <c r="C26" s="44"/>
      <c r="D26" s="43"/>
      <c r="E26" s="43">
        <f t="shared" si="2"/>
        <v>-4.3E-3</v>
      </c>
      <c r="F26" s="44">
        <f t="shared" si="3"/>
        <v>-13.63998868</v>
      </c>
      <c r="G26" s="43" t="s">
        <v>87</v>
      </c>
    </row>
    <row r="27" spans="1:7">
      <c r="A27" s="43">
        <v>26</v>
      </c>
      <c r="B27" s="43" t="s">
        <v>61</v>
      </c>
      <c r="C27" s="44"/>
      <c r="D27" s="43"/>
      <c r="E27" s="43">
        <f t="shared" si="2"/>
        <v>-4.3E-3</v>
      </c>
      <c r="F27" s="44">
        <f t="shared" si="3"/>
        <v>-13.63998868</v>
      </c>
      <c r="G27" s="43" t="s">
        <v>88</v>
      </c>
    </row>
    <row r="28" spans="1:7">
      <c r="A28" s="43">
        <v>27</v>
      </c>
      <c r="B28" s="43" t="s">
        <v>61</v>
      </c>
      <c r="C28" s="44"/>
      <c r="D28" s="43"/>
      <c r="E28" s="43">
        <f t="shared" si="2"/>
        <v>-4.3E-3</v>
      </c>
      <c r="F28" s="44">
        <f t="shared" si="3"/>
        <v>-13.63998868</v>
      </c>
      <c r="G28" s="43" t="s">
        <v>89</v>
      </c>
    </row>
    <row r="29" spans="1:7">
      <c r="A29" s="43">
        <v>28</v>
      </c>
      <c r="B29" s="43" t="s">
        <v>61</v>
      </c>
      <c r="C29" s="44"/>
      <c r="D29" s="43"/>
      <c r="E29" s="43">
        <f t="shared" si="2"/>
        <v>-4.3E-3</v>
      </c>
      <c r="F29" s="44">
        <f t="shared" si="3"/>
        <v>-13.63998868</v>
      </c>
      <c r="G29" s="43" t="s">
        <v>90</v>
      </c>
    </row>
    <row r="30" spans="1:7">
      <c r="A30" s="43">
        <v>29</v>
      </c>
      <c r="B30" s="43" t="s">
        <v>61</v>
      </c>
      <c r="C30" s="44"/>
      <c r="D30" s="43"/>
      <c r="E30" s="43">
        <f t="shared" si="2"/>
        <v>-4.3E-3</v>
      </c>
      <c r="F30" s="44">
        <f t="shared" si="3"/>
        <v>-13.63998868</v>
      </c>
      <c r="G30" s="43" t="s">
        <v>91</v>
      </c>
    </row>
    <row r="31" spans="1:7">
      <c r="A31" s="43">
        <v>30</v>
      </c>
      <c r="B31" s="43" t="s">
        <v>61</v>
      </c>
      <c r="C31" s="44"/>
      <c r="D31" s="43"/>
      <c r="E31" s="43">
        <f t="shared" si="2"/>
        <v>-4.3E-3</v>
      </c>
      <c r="F31" s="44">
        <f t="shared" si="3"/>
        <v>-13.63998868</v>
      </c>
      <c r="G31" s="43" t="s">
        <v>92</v>
      </c>
    </row>
    <row r="32" spans="1:7">
      <c r="A32" s="43">
        <v>31</v>
      </c>
      <c r="B32" s="43" t="s">
        <v>61</v>
      </c>
      <c r="C32" s="44"/>
      <c r="D32" s="43"/>
      <c r="E32" s="43">
        <f t="shared" si="2"/>
        <v>-4.3E-3</v>
      </c>
      <c r="F32" s="44">
        <f t="shared" si="3"/>
        <v>-13.63998868</v>
      </c>
      <c r="G32" s="43" t="s">
        <v>93</v>
      </c>
    </row>
    <row r="33" spans="1:7">
      <c r="A33" s="43">
        <v>32</v>
      </c>
      <c r="B33" s="43" t="s">
        <v>61</v>
      </c>
      <c r="C33" s="44"/>
      <c r="D33" s="43"/>
      <c r="E33" s="43">
        <f t="shared" si="2"/>
        <v>-4.3E-3</v>
      </c>
      <c r="F33" s="44">
        <f t="shared" si="3"/>
        <v>-13.63998868</v>
      </c>
      <c r="G33" s="43" t="s">
        <v>94</v>
      </c>
    </row>
    <row r="34" spans="1:7">
      <c r="A34">
        <v>33</v>
      </c>
      <c r="B34" t="s">
        <v>61</v>
      </c>
      <c r="C34" s="39"/>
      <c r="D34" s="38"/>
      <c r="E34">
        <f t="shared" si="2"/>
        <v>-4.3E-3</v>
      </c>
      <c r="F34" s="37">
        <f t="shared" si="3"/>
        <v>-13.63998868</v>
      </c>
      <c r="G34" t="s">
        <v>95</v>
      </c>
    </row>
    <row r="35" spans="1:7">
      <c r="A35">
        <v>34</v>
      </c>
      <c r="B35" t="s">
        <v>61</v>
      </c>
      <c r="C35" s="39"/>
      <c r="D35" s="38"/>
      <c r="E35">
        <f t="shared" si="2"/>
        <v>-4.3E-3</v>
      </c>
      <c r="F35" s="37">
        <f t="shared" si="3"/>
        <v>-13.63998868</v>
      </c>
      <c r="G35" t="s">
        <v>96</v>
      </c>
    </row>
    <row r="36" spans="1:7">
      <c r="A36">
        <v>35</v>
      </c>
      <c r="B36" t="s">
        <v>61</v>
      </c>
      <c r="C36" s="39"/>
      <c r="D36" s="38"/>
      <c r="E36">
        <f t="shared" si="2"/>
        <v>-4.3E-3</v>
      </c>
      <c r="F36" s="37">
        <f t="shared" si="3"/>
        <v>-13.63998868</v>
      </c>
      <c r="G36" t="s">
        <v>97</v>
      </c>
    </row>
    <row r="37" spans="1:7">
      <c r="A37">
        <v>36</v>
      </c>
      <c r="B37" t="s">
        <v>61</v>
      </c>
      <c r="C37" s="39"/>
      <c r="D37" s="38"/>
      <c r="E37">
        <f t="shared" si="2"/>
        <v>-4.3E-3</v>
      </c>
      <c r="F37" s="37">
        <f t="shared" si="3"/>
        <v>-13.63998868</v>
      </c>
      <c r="G37" t="s">
        <v>98</v>
      </c>
    </row>
    <row r="38" spans="1:7">
      <c r="A38">
        <v>37</v>
      </c>
      <c r="B38" t="s">
        <v>61</v>
      </c>
      <c r="C38" s="39"/>
      <c r="D38" s="38"/>
      <c r="E38">
        <f t="shared" si="2"/>
        <v>-4.3E-3</v>
      </c>
      <c r="F38" s="37">
        <f t="shared" si="3"/>
        <v>-13.63998868</v>
      </c>
      <c r="G38" t="s">
        <v>99</v>
      </c>
    </row>
    <row r="39" spans="1:7">
      <c r="A39">
        <v>38</v>
      </c>
      <c r="B39" t="s">
        <v>61</v>
      </c>
      <c r="C39" s="39"/>
      <c r="D39" s="38"/>
      <c r="E39">
        <f t="shared" si="2"/>
        <v>-4.3E-3</v>
      </c>
      <c r="F39" s="37">
        <f t="shared" si="3"/>
        <v>-13.63998868</v>
      </c>
      <c r="G39" t="s">
        <v>100</v>
      </c>
    </row>
    <row r="40" spans="1:7">
      <c r="A40">
        <v>39</v>
      </c>
      <c r="B40" t="s">
        <v>61</v>
      </c>
      <c r="C40" s="39"/>
      <c r="D40" s="38"/>
      <c r="E40">
        <f t="shared" si="2"/>
        <v>-4.3E-3</v>
      </c>
      <c r="F40" s="37">
        <f t="shared" si="3"/>
        <v>-13.63998868</v>
      </c>
      <c r="G40" t="s">
        <v>101</v>
      </c>
    </row>
    <row r="41" spans="1:7">
      <c r="A41">
        <v>40</v>
      </c>
      <c r="B41" t="s">
        <v>61</v>
      </c>
      <c r="C41" s="39"/>
      <c r="D41" s="38"/>
      <c r="E41">
        <f t="shared" si="2"/>
        <v>-4.3E-3</v>
      </c>
      <c r="F41" s="37">
        <f t="shared" si="3"/>
        <v>-13.63998868</v>
      </c>
      <c r="G41" t="s">
        <v>102</v>
      </c>
    </row>
    <row r="42" spans="1:7">
      <c r="A42" s="43">
        <v>41</v>
      </c>
      <c r="B42" s="43" t="s">
        <v>61</v>
      </c>
      <c r="C42" s="44"/>
      <c r="D42" s="43"/>
      <c r="E42" s="43">
        <f t="shared" si="2"/>
        <v>-4.3E-3</v>
      </c>
      <c r="F42" s="44">
        <f t="shared" si="3"/>
        <v>-13.63998868</v>
      </c>
      <c r="G42" s="43" t="s">
        <v>103</v>
      </c>
    </row>
    <row r="43" spans="1:7">
      <c r="A43" s="43">
        <v>42</v>
      </c>
      <c r="B43" s="43" t="s">
        <v>61</v>
      </c>
      <c r="C43" s="44"/>
      <c r="D43" s="43"/>
      <c r="E43" s="43">
        <f t="shared" si="2"/>
        <v>-4.3E-3</v>
      </c>
      <c r="F43" s="44">
        <f t="shared" si="3"/>
        <v>-13.63998868</v>
      </c>
      <c r="G43" s="43" t="s">
        <v>104</v>
      </c>
    </row>
    <row r="44" spans="1:7">
      <c r="A44" s="43">
        <v>43</v>
      </c>
      <c r="B44" s="43" t="s">
        <v>61</v>
      </c>
      <c r="C44" s="44"/>
      <c r="D44" s="43"/>
      <c r="E44" s="43">
        <f t="shared" si="2"/>
        <v>-4.3E-3</v>
      </c>
      <c r="F44" s="44">
        <f t="shared" si="3"/>
        <v>-13.63998868</v>
      </c>
      <c r="G44" s="43" t="s">
        <v>105</v>
      </c>
    </row>
    <row r="45" spans="1:7">
      <c r="A45" s="43">
        <v>44</v>
      </c>
      <c r="B45" s="43" t="s">
        <v>61</v>
      </c>
      <c r="C45" s="44"/>
      <c r="D45" s="43"/>
      <c r="E45" s="43">
        <f t="shared" si="2"/>
        <v>-4.3E-3</v>
      </c>
      <c r="F45" s="44">
        <f t="shared" si="3"/>
        <v>-13.63998868</v>
      </c>
      <c r="G45" s="43" t="s">
        <v>106</v>
      </c>
    </row>
    <row r="46" spans="1:7">
      <c r="A46" s="43">
        <v>45</v>
      </c>
      <c r="B46" s="43" t="s">
        <v>61</v>
      </c>
      <c r="C46" s="44"/>
      <c r="D46" s="43"/>
      <c r="E46" s="43">
        <f t="shared" si="2"/>
        <v>-4.3E-3</v>
      </c>
      <c r="F46" s="44">
        <f t="shared" si="3"/>
        <v>-13.63998868</v>
      </c>
      <c r="G46" s="43" t="s">
        <v>107</v>
      </c>
    </row>
    <row r="47" spans="1:7">
      <c r="A47" s="43">
        <v>46</v>
      </c>
      <c r="B47" s="43" t="s">
        <v>61</v>
      </c>
      <c r="C47" s="44"/>
      <c r="D47" s="43"/>
      <c r="E47" s="43">
        <f t="shared" si="2"/>
        <v>-4.3E-3</v>
      </c>
      <c r="F47" s="44">
        <f t="shared" si="3"/>
        <v>-13.63998868</v>
      </c>
      <c r="G47" s="43" t="s">
        <v>108</v>
      </c>
    </row>
    <row r="48" spans="1:7">
      <c r="A48" s="43">
        <v>47</v>
      </c>
      <c r="B48" s="43" t="s">
        <v>61</v>
      </c>
      <c r="C48" s="44"/>
      <c r="D48" s="43"/>
      <c r="E48" s="43">
        <f t="shared" si="2"/>
        <v>-4.3E-3</v>
      </c>
      <c r="F48" s="44">
        <f t="shared" si="3"/>
        <v>-13.63998868</v>
      </c>
      <c r="G48" s="43" t="s">
        <v>109</v>
      </c>
    </row>
    <row r="49" spans="1:7">
      <c r="A49" s="43">
        <v>48</v>
      </c>
      <c r="B49" s="43" t="s">
        <v>61</v>
      </c>
      <c r="C49" s="44"/>
      <c r="D49" s="43"/>
      <c r="E49" s="43">
        <f t="shared" si="2"/>
        <v>-4.3E-3</v>
      </c>
      <c r="F49" s="44">
        <f t="shared" si="3"/>
        <v>-13.63998868</v>
      </c>
      <c r="G49" s="43" t="s">
        <v>110</v>
      </c>
    </row>
    <row r="50" spans="1:7">
      <c r="A50">
        <v>49</v>
      </c>
      <c r="B50" t="s">
        <v>61</v>
      </c>
      <c r="C50" s="39"/>
      <c r="D50" s="38"/>
      <c r="E50">
        <f t="shared" si="2"/>
        <v>-4.3E-3</v>
      </c>
      <c r="F50" s="37">
        <f t="shared" si="3"/>
        <v>-13.63998868</v>
      </c>
      <c r="G50" t="s">
        <v>111</v>
      </c>
    </row>
    <row r="51" spans="1:7">
      <c r="A51">
        <v>50</v>
      </c>
      <c r="B51" t="s">
        <v>61</v>
      </c>
      <c r="C51" s="39"/>
      <c r="D51" s="38"/>
      <c r="E51">
        <f t="shared" si="2"/>
        <v>-4.3E-3</v>
      </c>
      <c r="F51" s="37">
        <f t="shared" si="3"/>
        <v>-13.63998868</v>
      </c>
      <c r="G51" t="s">
        <v>112</v>
      </c>
    </row>
    <row r="52" spans="1:7">
      <c r="A52">
        <v>51</v>
      </c>
      <c r="B52" t="s">
        <v>61</v>
      </c>
      <c r="C52" s="39"/>
      <c r="D52" s="38"/>
      <c r="E52">
        <f t="shared" si="2"/>
        <v>-4.3E-3</v>
      </c>
      <c r="F52" s="37">
        <f t="shared" si="3"/>
        <v>-13.63998868</v>
      </c>
      <c r="G52" t="s">
        <v>113</v>
      </c>
    </row>
    <row r="53" spans="1:7">
      <c r="A53">
        <v>52</v>
      </c>
      <c r="B53" t="s">
        <v>61</v>
      </c>
      <c r="C53" s="39"/>
      <c r="D53" s="38"/>
      <c r="E53">
        <f t="shared" si="2"/>
        <v>-4.3E-3</v>
      </c>
      <c r="F53" s="37">
        <f t="shared" si="3"/>
        <v>-13.63998868</v>
      </c>
      <c r="G53" t="s">
        <v>114</v>
      </c>
    </row>
    <row r="54" spans="1:7">
      <c r="A54">
        <v>53</v>
      </c>
      <c r="B54" t="s">
        <v>61</v>
      </c>
      <c r="C54" s="39"/>
      <c r="D54" s="38"/>
      <c r="E54">
        <f t="shared" si="2"/>
        <v>-4.3E-3</v>
      </c>
      <c r="F54" s="37">
        <f t="shared" si="3"/>
        <v>-13.63998868</v>
      </c>
      <c r="G54" t="s">
        <v>115</v>
      </c>
    </row>
    <row r="55" spans="1:7">
      <c r="A55">
        <v>54</v>
      </c>
      <c r="B55" t="s">
        <v>61</v>
      </c>
      <c r="C55" s="39"/>
      <c r="D55" s="38"/>
      <c r="E55">
        <f t="shared" si="2"/>
        <v>-4.3E-3</v>
      </c>
      <c r="F55" s="37">
        <f t="shared" si="3"/>
        <v>-13.63998868</v>
      </c>
      <c r="G55" t="s">
        <v>116</v>
      </c>
    </row>
    <row r="56" spans="1:7">
      <c r="A56">
        <v>55</v>
      </c>
      <c r="B56" t="s">
        <v>61</v>
      </c>
      <c r="C56" s="39"/>
      <c r="D56" s="38"/>
      <c r="E56">
        <f t="shared" si="2"/>
        <v>-4.3E-3</v>
      </c>
      <c r="F56" s="37">
        <f t="shared" si="3"/>
        <v>-13.63998868</v>
      </c>
      <c r="G56" t="s">
        <v>117</v>
      </c>
    </row>
    <row r="57" spans="1:7">
      <c r="A57">
        <v>56</v>
      </c>
      <c r="B57" t="s">
        <v>61</v>
      </c>
      <c r="C57" s="39"/>
      <c r="D57" s="38"/>
      <c r="E57">
        <f t="shared" si="2"/>
        <v>-4.3E-3</v>
      </c>
      <c r="F57" s="37">
        <f t="shared" si="3"/>
        <v>-13.63998868</v>
      </c>
      <c r="G57" t="s">
        <v>118</v>
      </c>
    </row>
    <row r="58" spans="1:7">
      <c r="A58" s="43">
        <v>57</v>
      </c>
      <c r="B58" s="43" t="s">
        <v>61</v>
      </c>
      <c r="C58" s="44"/>
      <c r="D58" s="43"/>
      <c r="E58" s="43">
        <f t="shared" si="2"/>
        <v>-4.3E-3</v>
      </c>
      <c r="F58" s="44">
        <f t="shared" si="3"/>
        <v>-13.63998868</v>
      </c>
      <c r="G58" s="43" t="s">
        <v>119</v>
      </c>
    </row>
    <row r="59" spans="1:7">
      <c r="A59" s="43">
        <v>58</v>
      </c>
      <c r="B59" s="43" t="s">
        <v>61</v>
      </c>
      <c r="C59" s="44"/>
      <c r="D59" s="43"/>
      <c r="E59" s="43">
        <f t="shared" si="2"/>
        <v>-4.3E-3</v>
      </c>
      <c r="F59" s="44">
        <f t="shared" si="3"/>
        <v>-13.63998868</v>
      </c>
      <c r="G59" s="43" t="s">
        <v>120</v>
      </c>
    </row>
    <row r="60" spans="1:7">
      <c r="A60" s="43">
        <v>59</v>
      </c>
      <c r="B60" s="43" t="s">
        <v>61</v>
      </c>
      <c r="C60" s="44"/>
      <c r="D60" s="43"/>
      <c r="E60" s="43">
        <f t="shared" si="2"/>
        <v>-4.3E-3</v>
      </c>
      <c r="F60" s="44">
        <f t="shared" si="3"/>
        <v>-13.63998868</v>
      </c>
      <c r="G60" s="43" t="s">
        <v>121</v>
      </c>
    </row>
    <row r="61" spans="1:7">
      <c r="A61" s="43">
        <v>60</v>
      </c>
      <c r="B61" s="43" t="s">
        <v>61</v>
      </c>
      <c r="C61" s="44"/>
      <c r="D61" s="43"/>
      <c r="E61" s="43">
        <f t="shared" si="2"/>
        <v>-4.3E-3</v>
      </c>
      <c r="F61" s="44">
        <f t="shared" si="3"/>
        <v>-13.63998868</v>
      </c>
      <c r="G61" s="43" t="s">
        <v>122</v>
      </c>
    </row>
    <row r="62" spans="1:7">
      <c r="A62" s="43">
        <v>61</v>
      </c>
      <c r="B62" s="43" t="s">
        <v>61</v>
      </c>
      <c r="C62" s="44"/>
      <c r="D62" s="43"/>
      <c r="E62" s="43">
        <f t="shared" si="2"/>
        <v>-4.3E-3</v>
      </c>
      <c r="F62" s="44">
        <f t="shared" si="3"/>
        <v>-13.63998868</v>
      </c>
      <c r="G62" s="43" t="s">
        <v>123</v>
      </c>
    </row>
    <row r="63" spans="1:7">
      <c r="A63" s="43">
        <v>62</v>
      </c>
      <c r="B63" s="43" t="s">
        <v>61</v>
      </c>
      <c r="C63" s="44"/>
      <c r="D63" s="43"/>
      <c r="E63" s="43">
        <f t="shared" si="2"/>
        <v>-4.3E-3</v>
      </c>
      <c r="F63" s="44">
        <f t="shared" si="3"/>
        <v>-13.63998868</v>
      </c>
      <c r="G63" s="43" t="s">
        <v>124</v>
      </c>
    </row>
    <row r="64" spans="1:7">
      <c r="A64" s="43">
        <v>63</v>
      </c>
      <c r="B64" s="43" t="s">
        <v>61</v>
      </c>
      <c r="C64" s="44"/>
      <c r="D64" s="43"/>
      <c r="E64" s="43">
        <f t="shared" si="2"/>
        <v>-4.3E-3</v>
      </c>
      <c r="F64" s="44">
        <f t="shared" si="3"/>
        <v>-13.63998868</v>
      </c>
      <c r="G64" s="43" t="s">
        <v>125</v>
      </c>
    </row>
    <row r="65" spans="1:7">
      <c r="A65" s="43">
        <v>64</v>
      </c>
      <c r="B65" s="43" t="s">
        <v>61</v>
      </c>
      <c r="C65" s="44"/>
      <c r="D65" s="43"/>
      <c r="E65" s="43">
        <f t="shared" si="2"/>
        <v>-4.3E-3</v>
      </c>
      <c r="F65" s="44">
        <f t="shared" si="3"/>
        <v>-13.63998868</v>
      </c>
      <c r="G65" s="43" t="s">
        <v>126</v>
      </c>
    </row>
    <row r="66" spans="1:7">
      <c r="A66">
        <v>65</v>
      </c>
      <c r="B66" t="s">
        <v>61</v>
      </c>
      <c r="C66" s="39"/>
      <c r="D66" s="38"/>
      <c r="E66">
        <f t="shared" ref="E66:E81" si="4">((20-D66)*-0.000175+C66)-0.0008</f>
        <v>-4.3E-3</v>
      </c>
      <c r="F66" s="37">
        <f t="shared" ref="F66:F81" si="5">E66*10.9276-13.593</f>
        <v>-13.63998868</v>
      </c>
      <c r="G66" t="s">
        <v>127</v>
      </c>
    </row>
    <row r="67" spans="1:7">
      <c r="A67">
        <v>66</v>
      </c>
      <c r="B67" t="s">
        <v>61</v>
      </c>
      <c r="C67" s="39"/>
      <c r="D67" s="38"/>
      <c r="E67">
        <f t="shared" si="4"/>
        <v>-4.3E-3</v>
      </c>
      <c r="F67" s="37">
        <f t="shared" si="5"/>
        <v>-13.63998868</v>
      </c>
      <c r="G67" t="s">
        <v>128</v>
      </c>
    </row>
    <row r="68" spans="1:7">
      <c r="A68">
        <v>67</v>
      </c>
      <c r="B68" t="s">
        <v>61</v>
      </c>
      <c r="C68" s="39"/>
      <c r="D68" s="38"/>
      <c r="E68">
        <f t="shared" si="4"/>
        <v>-4.3E-3</v>
      </c>
      <c r="F68" s="37">
        <f t="shared" si="5"/>
        <v>-13.63998868</v>
      </c>
      <c r="G68" t="s">
        <v>129</v>
      </c>
    </row>
    <row r="69" spans="1:7">
      <c r="A69">
        <v>68</v>
      </c>
      <c r="B69" t="s">
        <v>61</v>
      </c>
      <c r="C69" s="39"/>
      <c r="D69" s="38"/>
      <c r="E69">
        <f t="shared" si="4"/>
        <v>-4.3E-3</v>
      </c>
      <c r="F69" s="37">
        <f t="shared" si="5"/>
        <v>-13.63998868</v>
      </c>
      <c r="G69" t="s">
        <v>130</v>
      </c>
    </row>
    <row r="70" spans="1:7">
      <c r="A70">
        <v>69</v>
      </c>
      <c r="B70" t="s">
        <v>61</v>
      </c>
      <c r="C70" s="39"/>
      <c r="D70" s="38"/>
      <c r="E70">
        <f t="shared" si="4"/>
        <v>-4.3E-3</v>
      </c>
      <c r="F70" s="37">
        <f t="shared" si="5"/>
        <v>-13.63998868</v>
      </c>
      <c r="G70" t="s">
        <v>131</v>
      </c>
    </row>
    <row r="71" spans="1:7">
      <c r="A71">
        <v>70</v>
      </c>
      <c r="B71" t="s">
        <v>61</v>
      </c>
      <c r="C71" s="39"/>
      <c r="D71" s="38"/>
      <c r="E71">
        <f t="shared" si="4"/>
        <v>-4.3E-3</v>
      </c>
      <c r="F71" s="37">
        <f t="shared" si="5"/>
        <v>-13.63998868</v>
      </c>
      <c r="G71" t="s">
        <v>132</v>
      </c>
    </row>
    <row r="72" spans="1:7">
      <c r="A72">
        <v>71</v>
      </c>
      <c r="B72" t="s">
        <v>61</v>
      </c>
      <c r="C72" s="39"/>
      <c r="D72" s="38"/>
      <c r="E72">
        <f t="shared" si="4"/>
        <v>-4.3E-3</v>
      </c>
      <c r="F72" s="37">
        <f t="shared" si="5"/>
        <v>-13.63998868</v>
      </c>
      <c r="G72" t="s">
        <v>133</v>
      </c>
    </row>
    <row r="73" spans="1:7">
      <c r="A73" s="43">
        <v>72</v>
      </c>
      <c r="B73" s="43" t="s">
        <v>61</v>
      </c>
      <c r="C73" s="44"/>
      <c r="D73" s="43"/>
      <c r="E73" s="43">
        <f t="shared" si="4"/>
        <v>-4.3E-3</v>
      </c>
      <c r="F73" s="44">
        <f t="shared" si="5"/>
        <v>-13.63998868</v>
      </c>
      <c r="G73" s="43" t="s">
        <v>134</v>
      </c>
    </row>
    <row r="74" spans="1:7">
      <c r="A74" s="43">
        <v>73</v>
      </c>
      <c r="B74" s="43" t="s">
        <v>61</v>
      </c>
      <c r="C74" s="44"/>
      <c r="D74" s="43"/>
      <c r="E74" s="43">
        <f t="shared" si="4"/>
        <v>-4.3E-3</v>
      </c>
      <c r="F74" s="44">
        <f t="shared" si="5"/>
        <v>-13.63998868</v>
      </c>
      <c r="G74" s="43" t="s">
        <v>135</v>
      </c>
    </row>
    <row r="75" spans="1:7">
      <c r="A75" s="43">
        <v>74</v>
      </c>
      <c r="B75" s="43" t="s">
        <v>61</v>
      </c>
      <c r="C75" s="44"/>
      <c r="D75" s="43"/>
      <c r="E75" s="43">
        <f t="shared" si="4"/>
        <v>-4.3E-3</v>
      </c>
      <c r="F75" s="44">
        <f t="shared" si="5"/>
        <v>-13.63998868</v>
      </c>
      <c r="G75" s="43" t="s">
        <v>136</v>
      </c>
    </row>
    <row r="76" spans="1:7">
      <c r="A76" s="43">
        <v>75</v>
      </c>
      <c r="B76" s="43" t="s">
        <v>61</v>
      </c>
      <c r="C76" s="44"/>
      <c r="D76" s="43"/>
      <c r="E76" s="43">
        <f t="shared" si="4"/>
        <v>-4.3E-3</v>
      </c>
      <c r="F76" s="44">
        <f t="shared" si="5"/>
        <v>-13.63998868</v>
      </c>
      <c r="G76" s="43" t="s">
        <v>137</v>
      </c>
    </row>
    <row r="77" spans="1:7">
      <c r="A77" s="43">
        <v>76</v>
      </c>
      <c r="B77" s="43" t="s">
        <v>61</v>
      </c>
      <c r="C77" s="44"/>
      <c r="D77" s="43"/>
      <c r="E77" s="43">
        <f t="shared" si="4"/>
        <v>-4.3E-3</v>
      </c>
      <c r="F77" s="44">
        <f t="shared" si="5"/>
        <v>-13.63998868</v>
      </c>
      <c r="G77" s="43" t="s">
        <v>158</v>
      </c>
    </row>
    <row r="78" spans="1:7">
      <c r="A78" s="43">
        <v>77</v>
      </c>
      <c r="B78" s="43" t="s">
        <v>61</v>
      </c>
      <c r="C78" s="44"/>
      <c r="D78" s="43"/>
      <c r="E78" s="43">
        <f t="shared" si="4"/>
        <v>-4.3E-3</v>
      </c>
      <c r="F78" s="44">
        <f t="shared" si="5"/>
        <v>-13.63998868</v>
      </c>
      <c r="G78" s="43" t="s">
        <v>159</v>
      </c>
    </row>
    <row r="79" spans="1:7">
      <c r="A79" s="43">
        <v>78</v>
      </c>
      <c r="B79" s="43" t="s">
        <v>61</v>
      </c>
      <c r="C79" s="44"/>
      <c r="D79" s="43"/>
      <c r="E79" s="43">
        <f t="shared" si="4"/>
        <v>-4.3E-3</v>
      </c>
      <c r="F79" s="44">
        <f t="shared" si="5"/>
        <v>-13.63998868</v>
      </c>
      <c r="G79" s="43" t="s">
        <v>160</v>
      </c>
    </row>
    <row r="80" spans="1:7">
      <c r="A80" s="43">
        <v>79</v>
      </c>
      <c r="B80" s="43" t="s">
        <v>61</v>
      </c>
      <c r="C80" s="44"/>
      <c r="D80" s="43"/>
      <c r="E80" s="43">
        <f t="shared" si="4"/>
        <v>-4.3E-3</v>
      </c>
      <c r="F80" s="44">
        <f t="shared" si="5"/>
        <v>-13.63998868</v>
      </c>
      <c r="G80" s="43" t="s">
        <v>161</v>
      </c>
    </row>
    <row r="81" spans="1:7">
      <c r="A81" s="43">
        <v>80</v>
      </c>
      <c r="B81" s="43" t="s">
        <v>61</v>
      </c>
      <c r="C81" s="44"/>
      <c r="D81" s="43"/>
      <c r="E81" s="43">
        <f t="shared" si="4"/>
        <v>-4.3E-3</v>
      </c>
      <c r="F81" s="44">
        <f t="shared" si="5"/>
        <v>-13.63998868</v>
      </c>
      <c r="G81" s="43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4E3B1-5772-4D1F-AF5A-033072A123CA}">
  <dimension ref="A1:P86"/>
  <sheetViews>
    <sheetView zoomScale="70" zoomScaleNormal="70" workbookViewId="0">
      <selection activeCell="Q24" sqref="Q24"/>
    </sheetView>
  </sheetViews>
  <sheetFormatPr defaultColWidth="10.90625" defaultRowHeight="12.5"/>
  <cols>
    <col min="1" max="1" width="9.54296875" style="56" bestFit="1" customWidth="1"/>
    <col min="2" max="2" width="11.36328125" style="56" bestFit="1" customWidth="1"/>
    <col min="3" max="3" width="11.7265625" style="56" bestFit="1" customWidth="1"/>
    <col min="4" max="7" width="10.90625" style="56"/>
    <col min="8" max="8" width="10.90625" style="56" customWidth="1"/>
    <col min="9" max="9" width="10.90625" style="56"/>
    <col min="10" max="11" width="11" style="56" customWidth="1"/>
    <col min="12" max="16384" width="10.90625" style="56"/>
  </cols>
  <sheetData>
    <row r="1" spans="1:16" ht="13" thickTop="1">
      <c r="A1" s="62" t="s">
        <v>183</v>
      </c>
      <c r="B1" s="93">
        <f>TubeLoading!F29</f>
        <v>3954</v>
      </c>
      <c r="C1" s="95" t="str">
        <f>_xlfn.TEXTJOIN("-",TRUE,TubeLoading!$F$29,"density")</f>
        <v>3954-density</v>
      </c>
      <c r="D1" s="95" t="str">
        <f>_xlfn.TEXTJOIN("-",TRUE,TubeLoading!$F$29,"conc")</f>
        <v>3954-conc</v>
      </c>
      <c r="E1" s="93">
        <f>TubeLoading!F30</f>
        <v>2014</v>
      </c>
      <c r="F1" s="95" t="str">
        <f>_xlfn.TEXTJOIN("-",TRUE,TubeLoading!$F$30,"density")</f>
        <v>2014-density</v>
      </c>
      <c r="G1" s="95" t="str">
        <f>_xlfn.TEXTJOIN("-",TRUE,TubeLoading!$F$30,"conc")</f>
        <v>2014-conc</v>
      </c>
      <c r="H1" s="93">
        <f>TubeLoading!F31</f>
        <v>1770</v>
      </c>
      <c r="I1" s="95" t="str">
        <f>_xlfn.TEXTJOIN("-",TRUE,TubeLoading!$F$31,"density")</f>
        <v>1770-density</v>
      </c>
      <c r="J1" s="95" t="str">
        <f>_xlfn.TEXTJOIN("-",TRUE,TubeLoading!$F$31,"conc")</f>
        <v>1770-conc</v>
      </c>
      <c r="K1" s="93">
        <f>TubeLoading!F32</f>
        <v>1787</v>
      </c>
      <c r="L1" s="95" t="str">
        <f>_xlfn.TEXTJOIN("-",TRUE,TubeLoading!$F$32,"density")</f>
        <v>1787-density</v>
      </c>
      <c r="M1" s="95" t="str">
        <f>_xlfn.TEXTJOIN("-",TRUE,TubeLoading!$F$32,"conc")</f>
        <v>1787-conc</v>
      </c>
      <c r="N1" s="94">
        <f>TubeLoading!F33</f>
        <v>1461</v>
      </c>
      <c r="O1" s="95" t="str">
        <f>_xlfn.TEXTJOIN("-",TRUE,TubeLoading!$F$33,"density")</f>
        <v>1461-density</v>
      </c>
      <c r="P1" s="95" t="str">
        <f>_xlfn.TEXTJOIN("-",TRUE,TubeLoading!$F$33,"conc")</f>
        <v>1461-conc</v>
      </c>
    </row>
    <row r="2" spans="1:16">
      <c r="A2" s="62" t="s">
        <v>184</v>
      </c>
      <c r="B2" s="110" t="s">
        <v>169</v>
      </c>
      <c r="C2" s="111"/>
      <c r="D2" s="112"/>
      <c r="E2" s="110" t="s">
        <v>170</v>
      </c>
      <c r="F2" s="111"/>
      <c r="G2" s="112"/>
      <c r="H2" s="110" t="s">
        <v>171</v>
      </c>
      <c r="I2" s="111"/>
      <c r="J2" s="112"/>
      <c r="K2" s="110" t="s">
        <v>172</v>
      </c>
      <c r="L2" s="111"/>
      <c r="M2" s="112"/>
      <c r="N2" s="107" t="s">
        <v>174</v>
      </c>
      <c r="O2" s="108"/>
      <c r="P2" s="109"/>
    </row>
    <row r="3" spans="1:16">
      <c r="A3" s="62" t="s">
        <v>168</v>
      </c>
      <c r="B3" s="63" t="s">
        <v>185</v>
      </c>
      <c r="C3" s="64" t="s">
        <v>186</v>
      </c>
      <c r="D3" s="65" t="s">
        <v>173</v>
      </c>
      <c r="E3" s="63" t="s">
        <v>185</v>
      </c>
      <c r="F3" s="64" t="s">
        <v>186</v>
      </c>
      <c r="G3" s="65" t="s">
        <v>173</v>
      </c>
      <c r="H3" s="63" t="s">
        <v>185</v>
      </c>
      <c r="I3" s="64" t="s">
        <v>186</v>
      </c>
      <c r="J3" s="65" t="s">
        <v>173</v>
      </c>
      <c r="K3" s="63" t="s">
        <v>185</v>
      </c>
      <c r="L3" s="64" t="s">
        <v>186</v>
      </c>
      <c r="M3" s="65" t="s">
        <v>173</v>
      </c>
      <c r="N3" s="84" t="s">
        <v>185</v>
      </c>
      <c r="O3" s="85" t="s">
        <v>186</v>
      </c>
      <c r="P3" s="86" t="s">
        <v>173</v>
      </c>
    </row>
    <row r="4" spans="1:16">
      <c r="A4" s="56">
        <v>1</v>
      </c>
      <c r="B4" s="69" t="str">
        <f>'Tube A'!G2</f>
        <v>A1</v>
      </c>
      <c r="C4" s="70">
        <f>'Tube A'!F2</f>
        <v>1.7619171400000013</v>
      </c>
      <c r="D4" s="71">
        <v>-9.151457069827125E-3</v>
      </c>
      <c r="E4" s="69" t="str">
        <f>'Tube B'!G2</f>
        <v>G3</v>
      </c>
      <c r="F4" s="70">
        <f>'Tube B'!F2</f>
        <v>1.7530384649999995</v>
      </c>
      <c r="G4" s="71">
        <v>-3.4742273196306579E-2</v>
      </c>
      <c r="H4" s="69" t="str">
        <f>'Tube C'!G2</f>
        <v>D6</v>
      </c>
      <c r="I4" s="70">
        <f>'Tube C'!F2</f>
        <v>1.7552786230000006</v>
      </c>
      <c r="J4" s="71">
        <v>-2.2689800469325599E-2</v>
      </c>
      <c r="K4" s="69" t="str">
        <f>'Tube D'!G2</f>
        <v>C9</v>
      </c>
      <c r="L4" s="70">
        <f>'Tube D'!F2</f>
        <v>1.7553332610000005</v>
      </c>
      <c r="M4" s="71">
        <v>-2.9805062920419369E-2</v>
      </c>
      <c r="N4" s="69" t="str">
        <f>'Tube E'!G2</f>
        <v>A1</v>
      </c>
      <c r="O4" s="70">
        <f>'Tube E'!F2</f>
        <v>1.7530111460000004</v>
      </c>
      <c r="P4" s="71">
        <v>3.0566535288086634E-3</v>
      </c>
    </row>
    <row r="5" spans="1:16">
      <c r="A5" s="56">
        <v>2</v>
      </c>
      <c r="B5" s="72" t="str">
        <f>'Tube A'!G3</f>
        <v>B1</v>
      </c>
      <c r="C5" s="73">
        <f>'Tube A'!F3</f>
        <v>1.7553605799999996</v>
      </c>
      <c r="D5" s="74">
        <v>-1.0491192477176142E-2</v>
      </c>
      <c r="E5" s="72" t="str">
        <f>'Tube B'!G3</f>
        <v>H3</v>
      </c>
      <c r="F5" s="73">
        <f>'Tube B'!F3</f>
        <v>1.7543224580000008</v>
      </c>
      <c r="G5" s="74">
        <v>-3.0663956025619093E-2</v>
      </c>
      <c r="H5" s="72" t="str">
        <f>'Tube C'!G3</f>
        <v>C6</v>
      </c>
      <c r="I5" s="73">
        <f>'Tube C'!F3</f>
        <v>1.7532843360000001</v>
      </c>
      <c r="J5" s="74">
        <v>-2.3666094759360001E-2</v>
      </c>
      <c r="K5" s="72" t="str">
        <f>'Tube D'!G3</f>
        <v>D9</v>
      </c>
      <c r="L5" s="73">
        <f>'Tube D'!F3</f>
        <v>1.754240501</v>
      </c>
      <c r="M5" s="74">
        <v>3.0775642314624682E-3</v>
      </c>
      <c r="N5" s="72" t="str">
        <f>'Tube E'!G3</f>
        <v>B1</v>
      </c>
      <c r="O5" s="73">
        <f>'Tube E'!F3</f>
        <v>1.7530111460000004</v>
      </c>
      <c r="P5" s="74">
        <v>7.4059627238467263E-2</v>
      </c>
    </row>
    <row r="6" spans="1:16">
      <c r="A6" s="56">
        <v>3</v>
      </c>
      <c r="B6" s="72" t="str">
        <f>'Tube A'!G4</f>
        <v>C1</v>
      </c>
      <c r="C6" s="73">
        <f>'Tube A'!F4</f>
        <v>1.7531750600000002</v>
      </c>
      <c r="D6" s="74">
        <v>-9.5030840758219149E-3</v>
      </c>
      <c r="E6" s="72" t="str">
        <f>'Tube B'!G4</f>
        <v>H4</v>
      </c>
      <c r="F6" s="73">
        <f>'Tube B'!F4</f>
        <v>1.7510441780000008</v>
      </c>
      <c r="G6" s="74">
        <v>-3.5683312981412522E-2</v>
      </c>
      <c r="H6" s="72" t="str">
        <f>'Tube C'!G4</f>
        <v>B6</v>
      </c>
      <c r="I6" s="73">
        <f>'Tube C'!F4</f>
        <v>1.7489132960000013</v>
      </c>
      <c r="J6" s="74">
        <v>-1.5659407235599384E-2</v>
      </c>
      <c r="K6" s="72" t="str">
        <f>'Tube D'!G4</f>
        <v>E9</v>
      </c>
      <c r="L6" s="73">
        <f>'Tube D'!F4</f>
        <v>1.7498694610000012</v>
      </c>
      <c r="M6" s="74">
        <v>1.2664085496518708E-2</v>
      </c>
      <c r="N6" s="72" t="str">
        <f>'Tube E'!G4</f>
        <v>C1</v>
      </c>
      <c r="O6" s="73">
        <f>'Tube E'!F4</f>
        <v>1.7488313390000023</v>
      </c>
      <c r="P6" s="74">
        <v>0.19949383749403757</v>
      </c>
    </row>
    <row r="7" spans="1:16">
      <c r="A7" s="56">
        <v>4</v>
      </c>
      <c r="B7" s="72" t="str">
        <f>'Tube A'!G5</f>
        <v>D1</v>
      </c>
      <c r="C7" s="73">
        <f>'Tube A'!F5</f>
        <v>1.7466185000000003</v>
      </c>
      <c r="D7" s="74">
        <v>-2.4257887977255465E-3</v>
      </c>
      <c r="E7" s="72" t="str">
        <f>'Tube B'!G5</f>
        <v>G4</v>
      </c>
      <c r="F7" s="73">
        <f>'Tube B'!F5</f>
        <v>1.7457716110000003</v>
      </c>
      <c r="G7" s="74">
        <v>-1.8641196916168307E-2</v>
      </c>
      <c r="H7" s="72" t="str">
        <f>'Tube C'!G5</f>
        <v>A6</v>
      </c>
      <c r="I7" s="73">
        <f>'Tube C'!F5</f>
        <v>1.7447334890000015</v>
      </c>
      <c r="J7" s="74">
        <v>-1.97587145161803E-2</v>
      </c>
      <c r="K7" s="72" t="str">
        <f>'Tube D'!G5</f>
        <v>F9</v>
      </c>
      <c r="L7" s="73">
        <f>'Tube D'!F5</f>
        <v>1.7456896540000013</v>
      </c>
      <c r="M7" s="74">
        <v>0.17319109107415562</v>
      </c>
      <c r="N7" s="72" t="str">
        <f>'Tube E'!G5</f>
        <v>D1</v>
      </c>
      <c r="O7" s="73">
        <f>'Tube E'!F5</f>
        <v>1.7433675389999994</v>
      </c>
      <c r="P7" s="74">
        <v>0.72981901987912101</v>
      </c>
    </row>
    <row r="8" spans="1:16">
      <c r="A8" s="56">
        <v>5</v>
      </c>
      <c r="B8" s="72" t="str">
        <f>'Tube A'!G6</f>
        <v>E1</v>
      </c>
      <c r="C8" s="73">
        <f>'Tube A'!F6</f>
        <v>1.740253173000001</v>
      </c>
      <c r="D8" s="74">
        <v>3.6085718270153638E-3</v>
      </c>
      <c r="E8" s="72" t="str">
        <f>'Tube B'!G6</f>
        <v>F4</v>
      </c>
      <c r="F8" s="73">
        <f>'Tube B'!F6</f>
        <v>1.7392150509999986</v>
      </c>
      <c r="G8" s="74">
        <v>2.5248641168724561E-2</v>
      </c>
      <c r="H8" s="72" t="str">
        <f>'Tube C'!G6</f>
        <v>A7</v>
      </c>
      <c r="I8" s="73">
        <f>'Tube C'!F6</f>
        <v>1.7392696890000003</v>
      </c>
      <c r="J8" s="74">
        <v>-2.4262526764228545E-2</v>
      </c>
      <c r="K8" s="72" t="str">
        <f>'Tube D'!G6</f>
        <v>G9</v>
      </c>
      <c r="L8" s="73">
        <f>'Tube D'!F6</f>
        <v>1.7391330939999996</v>
      </c>
      <c r="M8" s="74">
        <v>0.63412355831191858</v>
      </c>
      <c r="N8" s="72" t="str">
        <f>'Tube E'!G6</f>
        <v>E1</v>
      </c>
      <c r="O8" s="73">
        <f>'Tube E'!F6</f>
        <v>1.7379037390000001</v>
      </c>
      <c r="P8" s="74">
        <v>2.1467878637547888</v>
      </c>
    </row>
    <row r="9" spans="1:16">
      <c r="A9" s="56">
        <v>6</v>
      </c>
      <c r="B9" s="72" t="str">
        <f>'Tube A'!G7</f>
        <v>F1</v>
      </c>
      <c r="C9" s="73">
        <f>'Tube A'!F7</f>
        <v>1.7336966129999993</v>
      </c>
      <c r="D9" s="74">
        <v>0.1232734203809568</v>
      </c>
      <c r="E9" s="72" t="str">
        <f>'Tube B'!G7</f>
        <v>E4</v>
      </c>
      <c r="F9" s="73">
        <f>'Tube B'!F7</f>
        <v>1.7326584910000005</v>
      </c>
      <c r="G9" s="74">
        <v>0.13744980414296881</v>
      </c>
      <c r="H9" s="72" t="str">
        <f>'Tube C'!G7</f>
        <v>B7</v>
      </c>
      <c r="I9" s="73">
        <f>'Tube C'!F7</f>
        <v>1.733805889000001</v>
      </c>
      <c r="J9" s="74">
        <v>2.3078403723360938E-2</v>
      </c>
      <c r="K9" s="72" t="str">
        <f>'Tube D'!G7</f>
        <v>H9</v>
      </c>
      <c r="L9" s="73">
        <f>'Tube D'!F7</f>
        <v>1.7325765340000014</v>
      </c>
      <c r="M9" s="74">
        <v>1.4437100639619398</v>
      </c>
      <c r="N9" s="72" t="str">
        <f>'Tube E'!G7</f>
        <v>F1</v>
      </c>
      <c r="O9" s="73">
        <f>'Tube E'!F7</f>
        <v>1.7313471790000019</v>
      </c>
      <c r="P9" s="74">
        <v>4.264851163482196</v>
      </c>
    </row>
    <row r="10" spans="1:16">
      <c r="A10" s="56">
        <v>7</v>
      </c>
      <c r="B10" s="72" t="str">
        <f>'Tube A'!G8</f>
        <v>G1</v>
      </c>
      <c r="C10" s="73">
        <f>'Tube A'!F8</f>
        <v>1.7271400530000012</v>
      </c>
      <c r="D10" s="74">
        <v>0.4534808406925066</v>
      </c>
      <c r="E10" s="72" t="str">
        <f>'Tube B'!G8</f>
        <v>D4</v>
      </c>
      <c r="F10" s="73">
        <f>'Tube B'!F8</f>
        <v>1.7261019310000005</v>
      </c>
      <c r="G10" s="74">
        <v>0.56915337661833854</v>
      </c>
      <c r="H10" s="72" t="str">
        <f>'Tube C'!G8</f>
        <v>C7</v>
      </c>
      <c r="I10" s="73">
        <f>'Tube C'!F8</f>
        <v>1.7263478020000012</v>
      </c>
      <c r="J10" s="74">
        <v>0.39684934848343945</v>
      </c>
      <c r="K10" s="72" t="str">
        <f>'Tube D'!G8</f>
        <v>H10</v>
      </c>
      <c r="L10" s="73">
        <f>'Tube D'!F8</f>
        <v>1.7271127340000021</v>
      </c>
      <c r="M10" s="75">
        <v>3.0610305579211023</v>
      </c>
      <c r="N10" s="72" t="str">
        <f>'Tube E'!G8</f>
        <v>G1</v>
      </c>
      <c r="O10" s="73">
        <f>'Tube E'!F8</f>
        <v>1.7258833790000025</v>
      </c>
      <c r="P10" s="74">
        <v>8.8095525154897434</v>
      </c>
    </row>
    <row r="11" spans="1:16">
      <c r="A11" s="56">
        <v>8</v>
      </c>
      <c r="B11" s="72" t="str">
        <f>'Tube A'!G9</f>
        <v>H1</v>
      </c>
      <c r="C11" s="73">
        <f>'Tube A'!F9</f>
        <v>1.7205834930000012</v>
      </c>
      <c r="D11" s="74">
        <v>2.1896593786312706</v>
      </c>
      <c r="E11" s="72" t="str">
        <f>'Tube B'!G9</f>
        <v>C4</v>
      </c>
      <c r="F11" s="73">
        <f>'Tube B'!F9</f>
        <v>1.7197366040000013</v>
      </c>
      <c r="G11" s="74">
        <v>5.9840272064274513</v>
      </c>
      <c r="H11" s="72" t="str">
        <f>'Tube C'!G9</f>
        <v>D7</v>
      </c>
      <c r="I11" s="73">
        <f>'Tube C'!F9</f>
        <v>1.7208840020000018</v>
      </c>
      <c r="J11" s="74">
        <v>4.0269523890483887</v>
      </c>
      <c r="K11" s="72" t="str">
        <f>'Tube D'!G9</f>
        <v>G10</v>
      </c>
      <c r="L11" s="73">
        <f>'Tube D'!F9</f>
        <v>1.7205561740000004</v>
      </c>
      <c r="M11" s="75">
        <v>7.1930608090968304</v>
      </c>
      <c r="N11" s="72" t="str">
        <f>'Tube E'!G9</f>
        <v>H1</v>
      </c>
      <c r="O11" s="73">
        <f>'Tube E'!F9</f>
        <v>1.7193268190000008</v>
      </c>
      <c r="P11" s="74">
        <v>18.64842384072772</v>
      </c>
    </row>
    <row r="12" spans="1:16">
      <c r="A12" s="56">
        <v>9</v>
      </c>
      <c r="B12" s="72" t="str">
        <f>'Tube A'!G10</f>
        <v>H2</v>
      </c>
      <c r="C12" s="73">
        <f>'Tube A'!F10</f>
        <v>1.7164036859999996</v>
      </c>
      <c r="D12" s="74">
        <v>12.554166565680092</v>
      </c>
      <c r="E12" s="72" t="str">
        <f>'Tube B'!G10</f>
        <v>B4</v>
      </c>
      <c r="F12" s="73">
        <f>'Tube B'!F10</f>
        <v>1.7142728040000001</v>
      </c>
      <c r="G12" s="74">
        <v>26.721057838219227</v>
      </c>
      <c r="H12" s="72" t="str">
        <f>'Tube C'!G10</f>
        <v>E7</v>
      </c>
      <c r="I12" s="73">
        <f>'Tube C'!F10</f>
        <v>1.7143274420000001</v>
      </c>
      <c r="J12" s="74">
        <v>20.315859971923825</v>
      </c>
      <c r="K12" s="72" t="str">
        <f>'Tube D'!G10</f>
        <v>F10</v>
      </c>
      <c r="L12" s="73">
        <f>'Tube D'!F10</f>
        <v>1.7152836069999999</v>
      </c>
      <c r="M12" s="75">
        <v>14.8945008553522</v>
      </c>
      <c r="N12" s="72" t="str">
        <f>'Tube E'!G10</f>
        <v>H2</v>
      </c>
      <c r="O12" s="73">
        <f>'Tube E'!F10</f>
        <v>1.7138630190000015</v>
      </c>
      <c r="P12" s="74">
        <v>30.454902046904369</v>
      </c>
    </row>
    <row r="13" spans="1:16">
      <c r="A13" s="56">
        <v>10</v>
      </c>
      <c r="B13" s="72" t="str">
        <f>'Tube A'!G11</f>
        <v>G2</v>
      </c>
      <c r="C13" s="73">
        <f>'Tube A'!F11</f>
        <v>1.7098471259999997</v>
      </c>
      <c r="D13" s="74">
        <v>24.667784859647146</v>
      </c>
      <c r="E13" s="72" t="str">
        <f>'Tube B'!G11</f>
        <v>A4</v>
      </c>
      <c r="F13" s="73">
        <f>'Tube B'!F11</f>
        <v>1.7088090040000008</v>
      </c>
      <c r="G13" s="74">
        <v>28.831177237795561</v>
      </c>
      <c r="H13" s="72" t="str">
        <f>'Tube C'!G11</f>
        <v>F7</v>
      </c>
      <c r="I13" s="73">
        <f>'Tube C'!F11</f>
        <v>1.7090548750000014</v>
      </c>
      <c r="J13" s="74">
        <v>24.877951201642635</v>
      </c>
      <c r="K13" s="72" t="str">
        <f>'Tube D'!G11</f>
        <v>E10</v>
      </c>
      <c r="L13" s="73">
        <f>'Tube D'!F11</f>
        <v>1.7087270470000018</v>
      </c>
      <c r="M13" s="74">
        <v>14.927757631411788</v>
      </c>
      <c r="N13" s="72" t="str">
        <f>'Tube E'!G11</f>
        <v>G2</v>
      </c>
      <c r="O13" s="73">
        <f>'Tube E'!F11</f>
        <v>1.7074976920000022</v>
      </c>
      <c r="P13" s="75">
        <v>30.443333282171437</v>
      </c>
    </row>
    <row r="14" spans="1:16">
      <c r="A14" s="56">
        <v>11</v>
      </c>
      <c r="B14" s="72" t="str">
        <f>'Tube A'!G12</f>
        <v>F2</v>
      </c>
      <c r="C14" s="73">
        <f>'Tube A'!F12</f>
        <v>1.7043833260000003</v>
      </c>
      <c r="D14" s="74">
        <v>19.951755458155706</v>
      </c>
      <c r="E14" s="72" t="str">
        <f>'Tube B'!G12</f>
        <v>A5</v>
      </c>
      <c r="F14" s="73">
        <f>'Tube B'!F12</f>
        <v>1.7033452040000014</v>
      </c>
      <c r="G14" s="74">
        <v>20.564467759292018</v>
      </c>
      <c r="H14" s="72" t="str">
        <f>'Tube C'!G12</f>
        <v>G7</v>
      </c>
      <c r="I14" s="73">
        <f>'Tube C'!F12</f>
        <v>1.7035910750000021</v>
      </c>
      <c r="J14" s="76">
        <v>20.103953920070495</v>
      </c>
      <c r="K14" s="72" t="str">
        <f>'Tube D'!G12</f>
        <v>D10</v>
      </c>
      <c r="L14" s="77">
        <f>'Tube D'!F12</f>
        <v>1.7032632470000024</v>
      </c>
      <c r="M14" s="76">
        <v>11.941879666983434</v>
      </c>
      <c r="N14" s="72" t="str">
        <f>'Tube E'!G12</f>
        <v>F2</v>
      </c>
      <c r="O14" s="73">
        <f>'Tube E'!F12</f>
        <v>1.7020338920000029</v>
      </c>
      <c r="P14" s="75">
        <v>23.116009732301791</v>
      </c>
    </row>
    <row r="15" spans="1:16">
      <c r="A15" s="56">
        <v>12</v>
      </c>
      <c r="B15" s="72" t="str">
        <f>'Tube A'!G13</f>
        <v>E2</v>
      </c>
      <c r="C15" s="73">
        <f>'Tube A'!F13</f>
        <v>1.6978267660000004</v>
      </c>
      <c r="D15" s="74">
        <v>11.55446508905716</v>
      </c>
      <c r="E15" s="72" t="str">
        <f>'Tube B'!G13</f>
        <v>B5</v>
      </c>
      <c r="F15" s="73">
        <f>'Tube B'!F13</f>
        <v>1.6978814040000021</v>
      </c>
      <c r="G15" s="74">
        <v>9.6062131411138321</v>
      </c>
      <c r="H15" s="72" t="str">
        <f>'Tube C'!G13</f>
        <v>H7</v>
      </c>
      <c r="I15" s="73">
        <f>'Tube C'!F13</f>
        <v>1.6970345150000004</v>
      </c>
      <c r="J15" s="76">
        <v>10.785297384117042</v>
      </c>
      <c r="K15" s="72" t="str">
        <f>'Tube D'!G13</f>
        <v>C10</v>
      </c>
      <c r="L15" s="77">
        <f>'Tube D'!F13</f>
        <v>1.6967066870000007</v>
      </c>
      <c r="M15" s="76">
        <v>5.3482697119524465</v>
      </c>
      <c r="N15" s="72" t="str">
        <f>'Tube E'!G13</f>
        <v>E2</v>
      </c>
      <c r="O15" s="73">
        <f>'Tube E'!F13</f>
        <v>1.696570092</v>
      </c>
      <c r="P15" s="75">
        <v>11.415385955622375</v>
      </c>
    </row>
    <row r="16" spans="1:16">
      <c r="A16" s="56">
        <v>13</v>
      </c>
      <c r="B16" s="72" t="str">
        <f>'Tube A'!G14</f>
        <v>D2</v>
      </c>
      <c r="C16" s="73">
        <f>'Tube A'!F14</f>
        <v>1.6923629659999992</v>
      </c>
      <c r="D16" s="74">
        <v>4.173497354625745</v>
      </c>
      <c r="E16" s="72" t="str">
        <f>'Tube B'!G14</f>
        <v>C5</v>
      </c>
      <c r="F16" s="73">
        <f>'Tube B'!F14</f>
        <v>1.6904233170000005</v>
      </c>
      <c r="G16" s="74">
        <v>4.1403119485252153</v>
      </c>
      <c r="H16" s="72" t="str">
        <f>'Tube C'!G14</f>
        <v>H8</v>
      </c>
      <c r="I16" s="73">
        <f>'Tube C'!F14</f>
        <v>1.6926634749999998</v>
      </c>
      <c r="J16" s="76">
        <v>3.6923470019954512</v>
      </c>
      <c r="K16" s="72" t="str">
        <f>'Tube D'!G14</f>
        <v>B10</v>
      </c>
      <c r="L16" s="77">
        <f>'Tube D'!F14</f>
        <v>1.6914341200000003</v>
      </c>
      <c r="M16" s="76">
        <v>2.2500381479709488</v>
      </c>
      <c r="N16" s="72" t="str">
        <f>'Tube E'!G14</f>
        <v>D2</v>
      </c>
      <c r="O16" s="73">
        <f>'Tube E'!F14</f>
        <v>1.6900135320000018</v>
      </c>
      <c r="P16" s="75">
        <v>4.4941778394649345</v>
      </c>
    </row>
    <row r="17" spans="1:16">
      <c r="A17" s="56">
        <v>14</v>
      </c>
      <c r="B17" s="72" t="str">
        <f>'Tube A'!G15</f>
        <v>C2</v>
      </c>
      <c r="C17" s="73">
        <f>'Tube A'!F15</f>
        <v>1.685997639</v>
      </c>
      <c r="D17" s="74">
        <v>1.8756928061429186</v>
      </c>
      <c r="E17" s="72" t="str">
        <f>'Tube B'!G15</f>
        <v>D5</v>
      </c>
      <c r="F17" s="73">
        <f>'Tube B'!F15</f>
        <v>1.6849595170000011</v>
      </c>
      <c r="G17" s="74">
        <v>2.1886803557303023</v>
      </c>
      <c r="H17" s="72" t="str">
        <f>'Tube C'!G15</f>
        <v>G8</v>
      </c>
      <c r="I17" s="73">
        <f>'Tube C'!F15</f>
        <v>1.6861069150000016</v>
      </c>
      <c r="J17" s="74">
        <v>2.0108685570123708</v>
      </c>
      <c r="K17" s="72" t="str">
        <f>'Tube D'!G15</f>
        <v>A10</v>
      </c>
      <c r="L17" s="73">
        <f>'Tube D'!F15</f>
        <v>1.6859703200000009</v>
      </c>
      <c r="M17" s="74">
        <v>1.3244097394668251</v>
      </c>
      <c r="N17" s="72" t="str">
        <f>'Tube E'!G15</f>
        <v>C2</v>
      </c>
      <c r="O17" s="73">
        <f>'Tube E'!F15</f>
        <v>1.6845497320000025</v>
      </c>
      <c r="P17" s="75">
        <v>2.7452551233434552</v>
      </c>
    </row>
    <row r="18" spans="1:16">
      <c r="A18" s="56">
        <v>15</v>
      </c>
      <c r="B18" s="72" t="str">
        <f>'Tube A'!G16</f>
        <v>B2</v>
      </c>
      <c r="C18" s="73">
        <f>'Tube A'!F16</f>
        <v>1.6805338390000006</v>
      </c>
      <c r="D18" s="74">
        <v>1.0674899987291309</v>
      </c>
      <c r="E18" s="72" t="str">
        <f>'Tube B'!G16</f>
        <v>E5</v>
      </c>
      <c r="F18" s="73">
        <f>'Tube B'!F16</f>
        <v>1.6794957170000018</v>
      </c>
      <c r="G18" s="74">
        <v>1.2320733343691328</v>
      </c>
      <c r="H18" s="72" t="str">
        <f>'Tube C'!G16</f>
        <v>F8</v>
      </c>
      <c r="I18" s="73">
        <f>'Tube C'!F16</f>
        <v>1.6795503550000017</v>
      </c>
      <c r="J18" s="74">
        <v>1.2268379658664417</v>
      </c>
      <c r="K18" s="72" t="str">
        <f>'Tube D'!G16</f>
        <v>A11</v>
      </c>
      <c r="L18" s="73">
        <f>'Tube D'!F16</f>
        <v>1.6805065200000016</v>
      </c>
      <c r="M18" s="74">
        <v>0.72968866308206781</v>
      </c>
      <c r="N18" s="72" t="str">
        <f>'Tube E'!G16</f>
        <v>B2</v>
      </c>
      <c r="O18" s="73">
        <f>'Tube E'!F16</f>
        <v>1.6790859320000013</v>
      </c>
      <c r="P18" s="75">
        <v>1.8844758813167604</v>
      </c>
    </row>
    <row r="19" spans="1:16">
      <c r="A19" s="56">
        <v>16</v>
      </c>
      <c r="B19" s="72" t="str">
        <f>'Tube A'!G17</f>
        <v>A2</v>
      </c>
      <c r="C19" s="73">
        <f>'Tube A'!F17</f>
        <v>1.6750700390000013</v>
      </c>
      <c r="D19" s="74">
        <v>0.5217644573489465</v>
      </c>
      <c r="E19" s="72" t="str">
        <f>'Tube B'!G17</f>
        <v>F5</v>
      </c>
      <c r="F19" s="73">
        <f>'Tube B'!F17</f>
        <v>1.6729391570000001</v>
      </c>
      <c r="G19" s="74">
        <v>0.78771884570382278</v>
      </c>
      <c r="H19" s="72" t="str">
        <f>'Tube C'!G17</f>
        <v>E8</v>
      </c>
      <c r="I19" s="73">
        <f>'Tube C'!F17</f>
        <v>1.6742777879999995</v>
      </c>
      <c r="J19" s="74">
        <v>0.66921135186217651</v>
      </c>
      <c r="K19" s="72" t="str">
        <f>'Tube D'!G17</f>
        <v>B11</v>
      </c>
      <c r="L19" s="73">
        <f>'Tube D'!F17</f>
        <v>1.6739499599999998</v>
      </c>
      <c r="M19" s="74">
        <v>0.4555335887324003</v>
      </c>
      <c r="N19" s="72" t="str">
        <f>'Tube E'!G17</f>
        <v>A2</v>
      </c>
      <c r="O19" s="73">
        <f>'Tube E'!F17</f>
        <v>1.6736221320000002</v>
      </c>
      <c r="P19" s="75">
        <v>0.83604555333593422</v>
      </c>
    </row>
    <row r="20" spans="1:16">
      <c r="A20" s="56">
        <v>17</v>
      </c>
      <c r="B20" s="72" t="str">
        <f>'Tube A'!G18</f>
        <v>A3</v>
      </c>
      <c r="C20" s="73">
        <f>'Tube A'!F18</f>
        <v>1.6697974719999991</v>
      </c>
      <c r="D20" s="74">
        <v>0.34271547359556359</v>
      </c>
      <c r="E20" s="72" t="str">
        <f>'Tube B'!G18</f>
        <v>G5</v>
      </c>
      <c r="F20" s="73">
        <f>'Tube B'!F18</f>
        <v>1.6676665899999996</v>
      </c>
      <c r="G20" s="74">
        <v>0.42866714664938271</v>
      </c>
      <c r="H20" s="72" t="str">
        <f>'Tube C'!G18</f>
        <v>D8</v>
      </c>
      <c r="I20" s="73">
        <f>'Tube C'!F18</f>
        <v>1.6688139880000001</v>
      </c>
      <c r="J20" s="74">
        <v>0.37471468430712473</v>
      </c>
      <c r="K20" s="72" t="str">
        <f>'Tube D'!G18</f>
        <v>C11</v>
      </c>
      <c r="L20" s="73">
        <f>'Tube D'!F18</f>
        <v>1.6684861600000005</v>
      </c>
      <c r="M20" s="74">
        <v>0.27893231012566294</v>
      </c>
      <c r="N20" s="72" t="str">
        <f>'Tube E'!G18</f>
        <v>A3</v>
      </c>
      <c r="O20" s="73">
        <f>'Tube E'!F18</f>
        <v>1.6681583320000009</v>
      </c>
      <c r="P20" s="74">
        <v>0.49616887881037525</v>
      </c>
    </row>
    <row r="21" spans="1:16">
      <c r="A21" s="56">
        <v>18</v>
      </c>
      <c r="B21" s="72" t="str">
        <f>'Tube A'!G19</f>
        <v>B3</v>
      </c>
      <c r="C21" s="73">
        <f>'Tube A'!F19</f>
        <v>1.6621481520000003</v>
      </c>
      <c r="D21" s="74">
        <v>0.34069807587307399</v>
      </c>
      <c r="E21" s="72" t="str">
        <f>'Tube B'!G19</f>
        <v>H5</v>
      </c>
      <c r="F21" s="73">
        <f>'Tube B'!F19</f>
        <v>1.6600172700000009</v>
      </c>
      <c r="G21" s="74">
        <v>0.31755787905565258</v>
      </c>
      <c r="H21" s="72" t="str">
        <f>'Tube C'!G19</f>
        <v>C8</v>
      </c>
      <c r="I21" s="73">
        <f>'Tube C'!F19</f>
        <v>1.662257428000002</v>
      </c>
      <c r="J21" s="74">
        <v>0.33245582631249559</v>
      </c>
      <c r="K21" s="72" t="str">
        <f>'Tube D'!G19</f>
        <v>D11</v>
      </c>
      <c r="L21" s="73">
        <f>'Tube D'!F19</f>
        <v>1.6608368400000018</v>
      </c>
      <c r="M21" s="74">
        <v>0.23571730993250148</v>
      </c>
      <c r="N21" s="72" t="str">
        <f>'Tube E'!G19</f>
        <v>B3</v>
      </c>
      <c r="O21" s="73">
        <f>'Tube E'!F19</f>
        <v>1.6572307320000021</v>
      </c>
      <c r="P21" s="74">
        <v>0.44280209452762387</v>
      </c>
    </row>
    <row r="22" spans="1:16">
      <c r="A22" s="56">
        <v>19</v>
      </c>
      <c r="B22" s="72" t="str">
        <f>'Tube A'!G20</f>
        <v>C3</v>
      </c>
      <c r="C22" s="73">
        <f>'Tube A'!F20</f>
        <v>1.6392001920000006</v>
      </c>
      <c r="D22" s="74">
        <v>0.30010864496326783</v>
      </c>
      <c r="E22" s="72" t="str">
        <f>'Tube B'!G20</f>
        <v>H6</v>
      </c>
      <c r="F22" s="73">
        <f>'Tube B'!F20</f>
        <v>1.6305127499999994</v>
      </c>
      <c r="G22" s="74">
        <v>0.40491363278054421</v>
      </c>
      <c r="H22" s="72" t="str">
        <f>'Tube C'!G20</f>
        <v>B8</v>
      </c>
      <c r="I22" s="73">
        <f>'Tube C'!F20</f>
        <v>1.6382167080000016</v>
      </c>
      <c r="J22" s="74">
        <v>0.39828182569127285</v>
      </c>
      <c r="K22" s="72" t="str">
        <f>'Tube D'!G20</f>
        <v>E11</v>
      </c>
      <c r="L22" s="73">
        <f>'Tube D'!F20</f>
        <v>1.6358945930000015</v>
      </c>
      <c r="M22" s="74">
        <v>0.16679720808478202</v>
      </c>
      <c r="N22" s="72" t="str">
        <f>'Tube E'!G20</f>
        <v>C3</v>
      </c>
      <c r="O22" s="73">
        <f>'Tube E'!F20</f>
        <v>1.6146130920000026</v>
      </c>
      <c r="P22" s="74">
        <v>0.4979896512433562</v>
      </c>
    </row>
    <row r="23" spans="1:16">
      <c r="A23" s="56">
        <v>20</v>
      </c>
      <c r="B23" s="72" t="str">
        <f>'Tube A'!G21</f>
        <v>D3</v>
      </c>
      <c r="C23" s="73">
        <f>'Tube A'!F21</f>
        <v>1.5430373120000009</v>
      </c>
      <c r="D23" s="74">
        <v>0.23295045644915846</v>
      </c>
      <c r="E23" s="72" t="str">
        <f>'Tube B'!G21</f>
        <v>G6</v>
      </c>
      <c r="F23" s="73">
        <f>'Tube B'!F21</f>
        <v>1.5257990230000011</v>
      </c>
      <c r="G23" s="74">
        <v>0.35437209030739131</v>
      </c>
      <c r="H23" s="72" t="str">
        <f>'Tube C'!G21</f>
        <v>A8</v>
      </c>
      <c r="I23" s="73">
        <f>'Tube C'!F21</f>
        <v>1.5398683080000009</v>
      </c>
      <c r="J23" s="74">
        <v>0.32511710185496256</v>
      </c>
      <c r="K23" s="72" t="str">
        <f>'Tube D'!G21</f>
        <v>F11</v>
      </c>
      <c r="L23" s="73">
        <f>'Tube D'!F21</f>
        <v>1.5255258330000014</v>
      </c>
      <c r="M23" s="74">
        <v>0.11272170785781559</v>
      </c>
      <c r="N23" s="72" t="str">
        <f>'Tube E'!G21</f>
        <v>D3</v>
      </c>
      <c r="O23" s="73">
        <f>'Tube E'!F21</f>
        <v>1.4847658850000016</v>
      </c>
      <c r="P23" s="74">
        <v>0.35725450384283491</v>
      </c>
    </row>
    <row r="24" spans="1:16">
      <c r="A24" s="56">
        <v>21</v>
      </c>
      <c r="B24" s="69" t="str">
        <f>'Tube A'!G22</f>
        <v>E3</v>
      </c>
      <c r="C24" s="70">
        <f>'Tube A'!F22</f>
        <v>1.3366969050000002</v>
      </c>
      <c r="D24" s="71">
        <v>0.11007743597232407</v>
      </c>
      <c r="E24" s="69" t="str">
        <f>'Tube B'!G22</f>
        <v>F6</v>
      </c>
      <c r="F24" s="70">
        <f>'Tube B'!F22</f>
        <v>1.3247311830000008</v>
      </c>
      <c r="G24" s="71">
        <v>0.23174559429499067</v>
      </c>
      <c r="H24" s="69" t="str">
        <f>'Tube C'!G22</f>
        <v>A9</v>
      </c>
      <c r="I24" s="70">
        <f>'Tube C'!F22</f>
        <v>1.3215075410000008</v>
      </c>
      <c r="J24" s="71">
        <v>0.20200782192725264</v>
      </c>
      <c r="K24" s="69" t="str">
        <f>'Tube D'!G22</f>
        <v>G11</v>
      </c>
      <c r="L24" s="70">
        <f>'Tube D'!F22</f>
        <v>1.3069738330000025</v>
      </c>
      <c r="M24" s="71">
        <v>6.338729378943482E-2</v>
      </c>
      <c r="N24" s="69" t="str">
        <f>'Tube E'!G22</f>
        <v>E3</v>
      </c>
      <c r="O24" s="70">
        <f>'Tube E'!F22</f>
        <v>1.2793270050000007</v>
      </c>
      <c r="P24" s="71">
        <v>0.19892989521578108</v>
      </c>
    </row>
    <row r="25" spans="1:16" ht="13" thickBot="1">
      <c r="A25" s="56">
        <v>22</v>
      </c>
      <c r="B25" s="78" t="str">
        <f>'Tube A'!G23</f>
        <v>F3</v>
      </c>
      <c r="C25" s="79">
        <f>'Tube A'!F23</f>
        <v>1.1290725050000017</v>
      </c>
      <c r="D25" s="80">
        <v>4.6909064096279485E-2</v>
      </c>
      <c r="E25" s="78" t="str">
        <f>'Tube B'!G23</f>
        <v>E6</v>
      </c>
      <c r="F25" s="79">
        <f>'Tube B'!F23</f>
        <v>1.1149212630000012</v>
      </c>
      <c r="G25" s="80">
        <v>7.8602037189287835E-2</v>
      </c>
      <c r="H25" s="78" t="str">
        <f>'Tube C'!G23</f>
        <v>B9</v>
      </c>
      <c r="I25" s="79">
        <f>'Tube C'!F23</f>
        <v>1.1040483010000024</v>
      </c>
      <c r="J25" s="80">
        <v>7.1590908526422817E-2</v>
      </c>
      <c r="K25" s="78" t="str">
        <f>'Tube D'!G23</f>
        <v>H11</v>
      </c>
      <c r="L25" s="79">
        <f>'Tube D'!F23</f>
        <v>1.0906073530000011</v>
      </c>
      <c r="M25" s="80">
        <v>3.5884784083609053E-2</v>
      </c>
      <c r="N25" s="78" t="str">
        <f>'Tube E'!G23</f>
        <v>F3</v>
      </c>
      <c r="O25" s="79">
        <f>'Tube E'!F23</f>
        <v>1.1022998850000008</v>
      </c>
      <c r="P25" s="80">
        <v>0.10604550582422619</v>
      </c>
    </row>
    <row r="26" spans="1:16" ht="13" thickTop="1">
      <c r="B26" s="73"/>
      <c r="C26" s="81" t="s">
        <v>187</v>
      </c>
      <c r="D26" s="82">
        <f>SUM(D5:D25)*40/TubeLoading!J29*100</f>
        <v>80.487677886517574</v>
      </c>
      <c r="E26" s="73"/>
      <c r="F26" s="81" t="s">
        <v>187</v>
      </c>
      <c r="G26" s="82">
        <f>SUM(G5:G25)*40/TubeLoading!J30*100</f>
        <v>102.51844940346064</v>
      </c>
      <c r="H26" s="73"/>
      <c r="I26" s="81" t="s">
        <v>187</v>
      </c>
      <c r="J26" s="82">
        <f>SUM(J5:J25)*40/TubeLoading!J31*100</f>
        <v>89.750028921089779</v>
      </c>
      <c r="K26" s="83"/>
      <c r="L26" s="81" t="s">
        <v>187</v>
      </c>
      <c r="M26" s="82">
        <f>SUM(M5:M25)*40/TubeLoading!J32*100</f>
        <v>65.286376348919845</v>
      </c>
      <c r="N26" s="73"/>
      <c r="O26" s="81" t="s">
        <v>187</v>
      </c>
      <c r="P26" s="82">
        <f>SUM(P5:P25)*40/TubeLoading!J33*100</f>
        <v>142.36176381199132</v>
      </c>
    </row>
    <row r="27" spans="1:16"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</row>
    <row r="28" spans="1:16"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</row>
    <row r="29" spans="1:16">
      <c r="A29" s="62"/>
    </row>
    <row r="30" spans="1:16">
      <c r="A30" s="62"/>
    </row>
    <row r="31" spans="1:16">
      <c r="A31" s="62"/>
    </row>
    <row r="55" spans="1:13">
      <c r="B55" s="73"/>
      <c r="C55" s="73"/>
      <c r="D55" s="73"/>
      <c r="E55" s="73"/>
      <c r="F55" s="73"/>
      <c r="G55" s="73"/>
      <c r="H55" s="73"/>
      <c r="I55" s="73"/>
      <c r="J55" s="73"/>
      <c r="K55" s="73"/>
      <c r="L55" s="73"/>
      <c r="M55" s="73"/>
    </row>
    <row r="56" spans="1:13">
      <c r="A56" s="62"/>
    </row>
    <row r="57" spans="1:13">
      <c r="A57" s="62"/>
    </row>
    <row r="58" spans="1:13">
      <c r="A58" s="62"/>
    </row>
    <row r="82" spans="1:13"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</row>
    <row r="83" spans="1:13"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</row>
    <row r="84" spans="1:13">
      <c r="A84" s="62"/>
    </row>
    <row r="85" spans="1:13">
      <c r="A85" s="62"/>
    </row>
    <row r="86" spans="1:13">
      <c r="A86" s="62"/>
    </row>
  </sheetData>
  <mergeCells count="5">
    <mergeCell ref="N2:P2"/>
    <mergeCell ref="B2:D2"/>
    <mergeCell ref="E2:G2"/>
    <mergeCell ref="H2:J2"/>
    <mergeCell ref="K2:M2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57"/>
  <sheetViews>
    <sheetView topLeftCell="A43" workbookViewId="0">
      <selection activeCell="H17" sqref="H17"/>
    </sheetView>
  </sheetViews>
  <sheetFormatPr defaultColWidth="8.90625" defaultRowHeight="12.5"/>
  <cols>
    <col min="1" max="1" width="17.90625" customWidth="1"/>
    <col min="2" max="2" width="8.90625" customWidth="1"/>
    <col min="3" max="3" width="87.08984375" customWidth="1"/>
  </cols>
  <sheetData>
    <row r="1" spans="1:6" ht="13">
      <c r="A1" s="1" t="s">
        <v>41</v>
      </c>
    </row>
    <row r="2" spans="1:6" ht="50">
      <c r="E2" s="2" t="s">
        <v>32</v>
      </c>
      <c r="F2" s="2" t="s">
        <v>9</v>
      </c>
    </row>
    <row r="3" spans="1:6" ht="16">
      <c r="A3" s="3" t="s">
        <v>10</v>
      </c>
      <c r="B3">
        <v>8.7899999999999991</v>
      </c>
      <c r="C3" s="4" t="s">
        <v>25</v>
      </c>
      <c r="E3" s="5">
        <v>1.2</v>
      </c>
      <c r="F3" s="6">
        <v>2040000000</v>
      </c>
    </row>
    <row r="4" spans="1:6" ht="16">
      <c r="A4" s="3" t="s">
        <v>11</v>
      </c>
      <c r="B4">
        <v>7.47</v>
      </c>
      <c r="C4" s="4" t="s">
        <v>26</v>
      </c>
      <c r="E4" s="5">
        <v>1.3</v>
      </c>
      <c r="F4" s="6">
        <v>1550000000</v>
      </c>
    </row>
    <row r="5" spans="1:6" ht="15.5">
      <c r="A5" s="3" t="s">
        <v>22</v>
      </c>
      <c r="B5" s="7">
        <f>F8</f>
        <v>1140000000</v>
      </c>
      <c r="C5" s="4" t="s">
        <v>27</v>
      </c>
      <c r="E5" s="5">
        <v>1.4</v>
      </c>
      <c r="F5" s="6">
        <v>1330000000</v>
      </c>
    </row>
    <row r="6" spans="1:6" ht="15.5">
      <c r="A6" s="3" t="s">
        <v>23</v>
      </c>
      <c r="B6">
        <v>44000</v>
      </c>
      <c r="C6" s="4" t="s">
        <v>28</v>
      </c>
      <c r="E6" s="5">
        <v>1.5</v>
      </c>
      <c r="F6" s="6">
        <v>1220000000</v>
      </c>
    </row>
    <row r="7" spans="1:6" ht="15.5">
      <c r="A7" s="3" t="s">
        <v>24</v>
      </c>
      <c r="B7">
        <f>36000*(PI())/30</f>
        <v>3769.9111843077521</v>
      </c>
      <c r="C7" s="4" t="s">
        <v>29</v>
      </c>
      <c r="E7" s="5">
        <v>1.6</v>
      </c>
      <c r="F7" s="6">
        <v>1170000000</v>
      </c>
    </row>
    <row r="8" spans="1:6" ht="15.5">
      <c r="A8" s="3" t="s">
        <v>8</v>
      </c>
      <c r="B8">
        <v>25</v>
      </c>
      <c r="C8" s="4" t="s">
        <v>7</v>
      </c>
      <c r="E8" s="5">
        <v>1.7</v>
      </c>
      <c r="F8" s="6">
        <v>1140000000</v>
      </c>
    </row>
    <row r="9" spans="1:6" ht="15.5">
      <c r="A9" s="3" t="s">
        <v>5</v>
      </c>
      <c r="B9">
        <f>649*B8</f>
        <v>16225</v>
      </c>
      <c r="C9" s="4" t="s">
        <v>6</v>
      </c>
      <c r="E9" s="5">
        <v>1.8</v>
      </c>
      <c r="F9" s="6">
        <v>1120000000</v>
      </c>
    </row>
    <row r="10" spans="1:6" ht="16">
      <c r="A10" s="3" t="s">
        <v>12</v>
      </c>
      <c r="B10">
        <f>2.8+(0.00834*(B9)^0.479)</f>
        <v>3.6666515629149536</v>
      </c>
      <c r="C10" s="4" t="s">
        <v>30</v>
      </c>
      <c r="E10" s="8">
        <v>1.9</v>
      </c>
      <c r="F10" s="9">
        <v>1120000000</v>
      </c>
    </row>
    <row r="11" spans="1:6" ht="15.5">
      <c r="A11" s="3" t="s">
        <v>37</v>
      </c>
      <c r="B11" s="10">
        <v>11</v>
      </c>
      <c r="C11" s="4" t="s">
        <v>31</v>
      </c>
    </row>
    <row r="12" spans="1:6" ht="16">
      <c r="A12" s="3" t="s">
        <v>13</v>
      </c>
      <c r="B12">
        <v>1.7</v>
      </c>
      <c r="C12" s="4" t="s">
        <v>36</v>
      </c>
    </row>
    <row r="13" spans="1:6" ht="16">
      <c r="A13" s="3" t="s">
        <v>14</v>
      </c>
      <c r="B13">
        <v>1.65</v>
      </c>
      <c r="C13" s="4" t="s">
        <v>34</v>
      </c>
    </row>
    <row r="14" spans="1:6" ht="16">
      <c r="A14" s="3" t="s">
        <v>15</v>
      </c>
      <c r="B14">
        <v>7.5</v>
      </c>
      <c r="C14" s="4" t="s">
        <v>21</v>
      </c>
    </row>
    <row r="15" spans="1:6" ht="16">
      <c r="A15" s="3" t="s">
        <v>16</v>
      </c>
      <c r="B15">
        <f>(1/3*(B4^2+B3*B4+B3^2))^(1/2)</f>
        <v>8.1389249904394614</v>
      </c>
      <c r="C15" s="4" t="s">
        <v>35</v>
      </c>
    </row>
    <row r="16" spans="1:6" ht="16">
      <c r="A16" s="3" t="s">
        <v>17</v>
      </c>
      <c r="B16">
        <v>5.0999999999999996</v>
      </c>
      <c r="C16" s="4" t="s">
        <v>4</v>
      </c>
    </row>
    <row r="17" spans="1:4" ht="15.5">
      <c r="A17" s="3"/>
      <c r="C17" s="4"/>
    </row>
    <row r="18" spans="1:4" ht="15.5">
      <c r="C18" s="11" t="s">
        <v>38</v>
      </c>
      <c r="D18" s="12">
        <f>B11*(B3-B4)^2</f>
        <v>19.166399999999982</v>
      </c>
    </row>
    <row r="19" spans="1:4" ht="15.5">
      <c r="C19" s="11" t="s">
        <v>2</v>
      </c>
      <c r="D19" s="12">
        <f>B11*((B3-B4)/3)^2</f>
        <v>2.1295999999999977</v>
      </c>
    </row>
    <row r="20" spans="1:4" ht="15.5">
      <c r="C20" s="11" t="s">
        <v>3</v>
      </c>
      <c r="D20" s="14">
        <f>(113000000000000*B5*(B13-1))/(B6^4*B14^2*B10)</f>
        <v>108.31629022640612</v>
      </c>
    </row>
    <row r="22" spans="1:4" ht="15.5">
      <c r="C22" s="11"/>
      <c r="D22" s="12"/>
    </row>
    <row r="23" spans="1:4" ht="15.5">
      <c r="C23" s="11"/>
      <c r="D23" s="12"/>
    </row>
    <row r="27" spans="1:4" ht="13">
      <c r="A27" s="1"/>
    </row>
    <row r="28" spans="1:4" ht="15.5">
      <c r="C28" s="4"/>
    </row>
    <row r="29" spans="1:4" ht="15.5">
      <c r="A29" s="3"/>
      <c r="C29" s="4"/>
    </row>
    <row r="30" spans="1:4" ht="15.5">
      <c r="A30" s="3"/>
      <c r="C30" s="4"/>
    </row>
    <row r="31" spans="1:4" ht="15.5">
      <c r="A31" s="3"/>
      <c r="B31" s="7"/>
      <c r="C31" s="4"/>
    </row>
    <row r="32" spans="1:4" ht="15.5">
      <c r="A32" s="3"/>
      <c r="C32" s="4"/>
    </row>
    <row r="33" spans="1:12" ht="15.5">
      <c r="A33" s="3"/>
      <c r="C33" s="4"/>
    </row>
    <row r="34" spans="1:12" ht="15.5">
      <c r="A34" s="3"/>
      <c r="C34" s="4"/>
    </row>
    <row r="35" spans="1:12" ht="15.5">
      <c r="A35" s="3"/>
      <c r="C35" s="4"/>
    </row>
    <row r="36" spans="1:12" ht="15.5">
      <c r="A36" s="3"/>
      <c r="C36" s="4"/>
    </row>
    <row r="37" spans="1:12" ht="15.5">
      <c r="A37" s="3"/>
      <c r="B37" s="10"/>
      <c r="C37" s="4"/>
    </row>
    <row r="38" spans="1:12" ht="15.5">
      <c r="A38" s="3"/>
      <c r="C38" s="4"/>
    </row>
    <row r="39" spans="1:12" ht="15.5">
      <c r="A39" s="3"/>
      <c r="C39" s="4"/>
    </row>
    <row r="40" spans="1:12" s="18" customFormat="1" ht="15.5">
      <c r="A40" s="17"/>
      <c r="C40" s="19"/>
    </row>
    <row r="41" spans="1:12" ht="15.5">
      <c r="A41" s="3"/>
      <c r="C41" s="4"/>
    </row>
    <row r="42" spans="1:12" ht="15.5">
      <c r="A42" s="3"/>
      <c r="C42" s="4"/>
    </row>
    <row r="43" spans="1:12" ht="15.5">
      <c r="A43" s="3"/>
      <c r="C43" s="4"/>
    </row>
    <row r="44" spans="1:12" ht="15.5">
      <c r="A44" s="3"/>
      <c r="C44" s="4"/>
    </row>
    <row r="45" spans="1:12" ht="15.5">
      <c r="A45" s="3"/>
      <c r="C45" s="4"/>
    </row>
    <row r="46" spans="1:12" ht="15.5">
      <c r="A46" s="3"/>
      <c r="C46" s="11"/>
    </row>
    <row r="47" spans="1:12" ht="15.5">
      <c r="C47" s="11"/>
      <c r="K47" s="20"/>
      <c r="L47" s="20"/>
    </row>
    <row r="48" spans="1:12" ht="15.5">
      <c r="C48" s="11"/>
    </row>
    <row r="49" spans="3:12" s="20" customFormat="1" ht="15.5">
      <c r="C49" s="21"/>
      <c r="K49"/>
      <c r="L49"/>
    </row>
    <row r="50" spans="3:12" ht="15.5">
      <c r="C50" s="11"/>
    </row>
    <row r="51" spans="3:12">
      <c r="D51" s="13"/>
    </row>
    <row r="52" spans="3:12" ht="15.5">
      <c r="C52" s="11"/>
      <c r="D52" s="14"/>
    </row>
    <row r="53" spans="3:12" ht="15.5">
      <c r="C53" s="11"/>
      <c r="D53" s="14"/>
    </row>
    <row r="54" spans="3:12" ht="15.5">
      <c r="C54" s="11"/>
      <c r="D54" s="14"/>
    </row>
    <row r="55" spans="3:12" ht="15.5">
      <c r="C55" s="11"/>
    </row>
    <row r="56" spans="3:12">
      <c r="D56" s="12"/>
    </row>
    <row r="57" spans="3:12">
      <c r="D57" s="12"/>
    </row>
  </sheetData>
  <phoneticPr fontId="9" type="noConversion"/>
  <pageMargins left="0.75" right="0.75" top="1" bottom="1" header="0.5" footer="0.5"/>
  <pageSetup scale="57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2"/>
  <sheetViews>
    <sheetView tabSelected="1" topLeftCell="A9" zoomScaleNormal="100" workbookViewId="0">
      <selection activeCell="J33" sqref="J33"/>
    </sheetView>
  </sheetViews>
  <sheetFormatPr defaultColWidth="11.36328125" defaultRowHeight="12.5"/>
  <cols>
    <col min="1" max="1" width="11.36328125" customWidth="1"/>
    <col min="2" max="2" width="16" customWidth="1"/>
    <col min="3" max="12" width="11.36328125" customWidth="1"/>
    <col min="13" max="13" width="12.26953125" bestFit="1" customWidth="1"/>
  </cols>
  <sheetData>
    <row r="1" spans="1:10" ht="13">
      <c r="A1" s="3" t="s">
        <v>54</v>
      </c>
      <c r="B1" s="24"/>
      <c r="C1" s="24"/>
      <c r="D1" s="24"/>
      <c r="E1" s="24"/>
      <c r="J1" s="3"/>
    </row>
    <row r="2" spans="1:10">
      <c r="A2" t="s">
        <v>51</v>
      </c>
      <c r="B2" s="24"/>
      <c r="C2" s="29"/>
      <c r="D2" s="25"/>
      <c r="E2" s="27"/>
    </row>
    <row r="3" spans="1:10">
      <c r="A3" t="s">
        <v>48</v>
      </c>
      <c r="B3" s="24"/>
      <c r="C3" s="29"/>
      <c r="D3" s="25"/>
      <c r="E3" s="27"/>
    </row>
    <row r="4" spans="1:10">
      <c r="A4" t="s">
        <v>49</v>
      </c>
      <c r="B4" s="24"/>
      <c r="C4" s="29"/>
      <c r="D4" s="25"/>
      <c r="E4" s="27"/>
    </row>
    <row r="5" spans="1:10">
      <c r="A5" t="s">
        <v>50</v>
      </c>
      <c r="B5" s="24"/>
      <c r="C5" s="29"/>
      <c r="D5" s="25"/>
      <c r="E5" s="27"/>
    </row>
    <row r="6" spans="1:10">
      <c r="A6" t="s">
        <v>52</v>
      </c>
      <c r="B6" s="24"/>
      <c r="C6" s="29"/>
      <c r="D6" s="25"/>
      <c r="E6" s="27"/>
    </row>
    <row r="7" spans="1:10">
      <c r="A7" t="s">
        <v>53</v>
      </c>
      <c r="B7" s="24"/>
      <c r="C7" s="29"/>
      <c r="D7" s="25"/>
      <c r="E7" s="27"/>
    </row>
    <row r="10" spans="1:10">
      <c r="A10" t="s">
        <v>44</v>
      </c>
    </row>
    <row r="12" spans="1:10" ht="13">
      <c r="A12" s="3" t="s">
        <v>18</v>
      </c>
      <c r="B12" s="3" t="s">
        <v>19</v>
      </c>
      <c r="C12" s="3" t="s">
        <v>20</v>
      </c>
      <c r="D12" s="3"/>
      <c r="E12" s="3" t="s">
        <v>1</v>
      </c>
    </row>
    <row r="13" spans="1:10">
      <c r="A13" s="31">
        <v>4</v>
      </c>
      <c r="B13" s="31">
        <f t="shared" ref="B13:B26" si="0">($E$45-1.73)*A13*1.52</f>
        <v>0.95645300800000588</v>
      </c>
      <c r="C13" s="31">
        <f t="shared" ref="C13:C26" si="1">B13+A13</f>
        <v>4.9564530080000058</v>
      </c>
    </row>
    <row r="14" spans="1:10">
      <c r="A14" s="31">
        <v>4.05</v>
      </c>
      <c r="B14" s="31">
        <f t="shared" si="0"/>
        <v>0.96840867060000591</v>
      </c>
      <c r="C14" s="31">
        <f t="shared" si="1"/>
        <v>5.0184086706000057</v>
      </c>
    </row>
    <row r="15" spans="1:10">
      <c r="A15" s="31">
        <v>4.0999999999999996</v>
      </c>
      <c r="B15" s="31">
        <f t="shared" si="0"/>
        <v>0.98036433320000582</v>
      </c>
      <c r="C15" s="31">
        <f t="shared" si="1"/>
        <v>5.0803643332000057</v>
      </c>
    </row>
    <row r="16" spans="1:10">
      <c r="A16" s="31">
        <v>4.1500000000000004</v>
      </c>
      <c r="B16" s="31">
        <f t="shared" si="0"/>
        <v>0.99231999580000618</v>
      </c>
      <c r="C16" s="15">
        <f t="shared" si="1"/>
        <v>5.1423199958000065</v>
      </c>
    </row>
    <row r="17" spans="1:12">
      <c r="A17" s="31">
        <v>4.2</v>
      </c>
      <c r="B17" s="31">
        <f t="shared" si="0"/>
        <v>1.0042756584000061</v>
      </c>
      <c r="C17" s="31">
        <f t="shared" si="1"/>
        <v>5.2042756584000065</v>
      </c>
    </row>
    <row r="18" spans="1:12">
      <c r="A18" s="31">
        <v>4.25</v>
      </c>
      <c r="B18" s="31">
        <f t="shared" si="0"/>
        <v>1.0162313210000062</v>
      </c>
      <c r="C18" s="31">
        <f t="shared" si="1"/>
        <v>5.2662313210000065</v>
      </c>
    </row>
    <row r="19" spans="1:12" ht="13">
      <c r="A19" s="31">
        <v>4.3</v>
      </c>
      <c r="B19" s="31">
        <f t="shared" si="0"/>
        <v>1.0281869836000062</v>
      </c>
      <c r="C19" s="31">
        <f t="shared" si="1"/>
        <v>5.3281869836000055</v>
      </c>
      <c r="E19" s="40" t="s">
        <v>45</v>
      </c>
      <c r="F19" s="40" t="s">
        <v>47</v>
      </c>
      <c r="G19" s="40" t="s">
        <v>46</v>
      </c>
      <c r="H19" s="52" t="s">
        <v>167</v>
      </c>
    </row>
    <row r="20" spans="1:12">
      <c r="A20" s="31">
        <v>4.3499999999999996</v>
      </c>
      <c r="B20" s="31">
        <f t="shared" si="0"/>
        <v>1.0401426462000063</v>
      </c>
      <c r="C20" s="31">
        <f t="shared" si="1"/>
        <v>5.3901426462000064</v>
      </c>
      <c r="E20">
        <f t="shared" ref="E20:E26" si="2">A20</f>
        <v>4.3499999999999996</v>
      </c>
      <c r="F20" s="38">
        <v>0.15</v>
      </c>
      <c r="G20" s="28">
        <f t="shared" ref="G20:G26" si="3">B20-F20</f>
        <v>0.89014264620000627</v>
      </c>
      <c r="H20">
        <v>5.0000000000000001E-3</v>
      </c>
    </row>
    <row r="21" spans="1:12">
      <c r="A21" s="31">
        <v>4.4000000000000004</v>
      </c>
      <c r="B21" s="31">
        <f t="shared" si="0"/>
        <v>1.0520983088000067</v>
      </c>
      <c r="C21" s="31">
        <f t="shared" si="1"/>
        <v>5.4520983088000072</v>
      </c>
      <c r="E21">
        <f t="shared" si="2"/>
        <v>4.4000000000000004</v>
      </c>
      <c r="F21">
        <f t="shared" ref="F21:F26" si="4">$F$20</f>
        <v>0.15</v>
      </c>
      <c r="G21" s="28">
        <f t="shared" si="3"/>
        <v>0.90209830880000663</v>
      </c>
      <c r="H21">
        <v>5.0000000000000001E-3</v>
      </c>
      <c r="I21" s="16"/>
      <c r="J21" s="16"/>
      <c r="K21" s="16"/>
    </row>
    <row r="22" spans="1:12">
      <c r="A22" s="31">
        <v>4.45</v>
      </c>
      <c r="B22" s="31">
        <f t="shared" si="0"/>
        <v>1.0640539714000066</v>
      </c>
      <c r="C22" s="31">
        <f t="shared" si="1"/>
        <v>5.5140539714000063</v>
      </c>
      <c r="E22">
        <f t="shared" si="2"/>
        <v>4.45</v>
      </c>
      <c r="F22">
        <f t="shared" si="4"/>
        <v>0.15</v>
      </c>
      <c r="G22" s="28">
        <f t="shared" si="3"/>
        <v>0.91405397140000655</v>
      </c>
      <c r="H22">
        <v>5.0000000000000001E-3</v>
      </c>
      <c r="I22" s="16"/>
      <c r="J22" s="16"/>
    </row>
    <row r="23" spans="1:12">
      <c r="A23" s="54">
        <v>4.5</v>
      </c>
      <c r="B23" s="53">
        <f t="shared" si="0"/>
        <v>1.0760096340000065</v>
      </c>
      <c r="C23" s="54">
        <f t="shared" si="1"/>
        <v>5.5760096340000063</v>
      </c>
      <c r="D23" s="54"/>
      <c r="E23" s="54">
        <f t="shared" si="2"/>
        <v>4.5</v>
      </c>
      <c r="F23" s="54">
        <f t="shared" si="4"/>
        <v>0.15</v>
      </c>
      <c r="G23" s="55">
        <f t="shared" si="3"/>
        <v>0.92600963400000647</v>
      </c>
      <c r="H23" s="54">
        <v>5.0000000000000001E-3</v>
      </c>
      <c r="I23" s="16"/>
      <c r="J23" s="16"/>
    </row>
    <row r="24" spans="1:12">
      <c r="A24" s="30">
        <v>4.55</v>
      </c>
      <c r="B24" s="30">
        <f t="shared" si="0"/>
        <v>1.0879652966000066</v>
      </c>
      <c r="C24" s="30">
        <f t="shared" si="1"/>
        <v>5.6379652966000062</v>
      </c>
      <c r="D24" s="30"/>
      <c r="E24" s="30">
        <f>A24</f>
        <v>4.55</v>
      </c>
      <c r="F24" s="30">
        <f t="shared" si="4"/>
        <v>0.15</v>
      </c>
      <c r="G24" s="51">
        <f>B24-F24</f>
        <v>0.9379652966000066</v>
      </c>
      <c r="H24">
        <v>5.0000000000000001E-3</v>
      </c>
      <c r="I24" s="16"/>
      <c r="J24" s="16"/>
    </row>
    <row r="25" spans="1:12">
      <c r="A25">
        <v>4.57</v>
      </c>
      <c r="B25" s="31">
        <f t="shared" si="0"/>
        <v>1.0927475616400069</v>
      </c>
      <c r="C25">
        <f t="shared" si="1"/>
        <v>5.6627475616400069</v>
      </c>
      <c r="E25">
        <f t="shared" si="2"/>
        <v>4.57</v>
      </c>
      <c r="F25">
        <f t="shared" si="4"/>
        <v>0.15</v>
      </c>
      <c r="G25" s="28">
        <f t="shared" si="3"/>
        <v>0.94274756164000684</v>
      </c>
      <c r="H25">
        <v>5.0000000000000001E-3</v>
      </c>
      <c r="I25" s="16"/>
      <c r="J25" s="16"/>
      <c r="K25" s="15"/>
    </row>
    <row r="26" spans="1:12">
      <c r="A26" s="30">
        <v>4.5999999999999996</v>
      </c>
      <c r="B26" s="31">
        <f t="shared" si="0"/>
        <v>1.0999209592000065</v>
      </c>
      <c r="C26" s="30">
        <f t="shared" si="1"/>
        <v>5.6999209592000062</v>
      </c>
      <c r="E26">
        <f t="shared" si="2"/>
        <v>4.5999999999999996</v>
      </c>
      <c r="F26">
        <f t="shared" si="4"/>
        <v>0.15</v>
      </c>
      <c r="G26" s="28">
        <f t="shared" si="3"/>
        <v>0.94992095920000652</v>
      </c>
      <c r="H26">
        <v>5.0000000000000001E-3</v>
      </c>
      <c r="I26" s="16"/>
      <c r="J26" s="16"/>
      <c r="K26" s="16"/>
    </row>
    <row r="27" spans="1:12">
      <c r="A27" s="30"/>
      <c r="B27" s="16"/>
      <c r="C27" s="30"/>
    </row>
    <row r="28" spans="1:12" ht="39">
      <c r="A28" s="102" t="s">
        <v>43</v>
      </c>
      <c r="B28" s="103" t="s">
        <v>39</v>
      </c>
      <c r="C28" s="103" t="s">
        <v>40</v>
      </c>
      <c r="D28" s="103" t="s">
        <v>42</v>
      </c>
      <c r="E28" s="103" t="s">
        <v>0</v>
      </c>
      <c r="F28" s="103" t="s">
        <v>153</v>
      </c>
      <c r="G28" s="104" t="s">
        <v>146</v>
      </c>
      <c r="H28" s="104" t="s">
        <v>147</v>
      </c>
      <c r="I28" s="104" t="s">
        <v>148</v>
      </c>
      <c r="J28" s="102" t="s">
        <v>195</v>
      </c>
      <c r="K28" s="103" t="s">
        <v>202</v>
      </c>
      <c r="L28" s="103" t="s">
        <v>201</v>
      </c>
    </row>
    <row r="29" spans="1:12" ht="14">
      <c r="A29" s="38" t="s">
        <v>138</v>
      </c>
      <c r="B29" s="88">
        <v>1.4020999999999999</v>
      </c>
      <c r="C29" s="88">
        <v>19.600000000000001</v>
      </c>
      <c r="D29" s="89">
        <f t="shared" ref="D29:D40" si="5">(20-C29)*-0.000175+B29</f>
        <v>1.4020299999999999</v>
      </c>
      <c r="E29" s="89">
        <f t="shared" ref="E29:E40" si="6">D29*10.9276-13.593</f>
        <v>1.7278230279999995</v>
      </c>
      <c r="F29" s="96">
        <v>3954</v>
      </c>
      <c r="G29" s="38">
        <v>184</v>
      </c>
      <c r="H29" s="90">
        <f>4000/G29</f>
        <v>21.739130434782609</v>
      </c>
      <c r="I29" s="90">
        <f>150-H29</f>
        <v>128.26086956521738</v>
      </c>
      <c r="J29" s="38">
        <f>G29*H29</f>
        <v>4000</v>
      </c>
      <c r="K29" s="91">
        <f>G$23+0.025</f>
        <v>0.95100963400000649</v>
      </c>
      <c r="L29" s="38">
        <f>H$23</f>
        <v>5.0000000000000001E-3</v>
      </c>
    </row>
    <row r="30" spans="1:12" ht="14">
      <c r="A30" t="s">
        <v>139</v>
      </c>
      <c r="B30" s="57">
        <v>1.4021999999999999</v>
      </c>
      <c r="C30" s="57">
        <v>19.600000000000001</v>
      </c>
      <c r="D30" s="42">
        <f t="shared" si="5"/>
        <v>1.4021299999999999</v>
      </c>
      <c r="E30" s="42">
        <f t="shared" si="6"/>
        <v>1.7289157879999983</v>
      </c>
      <c r="F30" s="97">
        <v>2014</v>
      </c>
      <c r="G30">
        <v>98.8</v>
      </c>
      <c r="H30" s="50">
        <f t="shared" ref="H30:H44" si="7">4000/G30</f>
        <v>40.48582995951417</v>
      </c>
      <c r="I30" s="50">
        <f>150-H30</f>
        <v>109.51417004048582</v>
      </c>
      <c r="J30">
        <f>G30*H30</f>
        <v>4000</v>
      </c>
      <c r="K30" s="91">
        <f t="shared" ref="K30:K44" si="8">G$23+0.025</f>
        <v>0.95100963400000649</v>
      </c>
      <c r="L30">
        <f t="shared" ref="L30:L44" si="9">H$23</f>
        <v>5.0000000000000001E-3</v>
      </c>
    </row>
    <row r="31" spans="1:12" ht="14">
      <c r="A31" s="38" t="s">
        <v>140</v>
      </c>
      <c r="B31" s="88">
        <v>1.4021999999999999</v>
      </c>
      <c r="C31" s="88">
        <v>19.7</v>
      </c>
      <c r="D31" s="89">
        <f t="shared" si="5"/>
        <v>1.4021474999999999</v>
      </c>
      <c r="E31" s="89">
        <f t="shared" si="6"/>
        <v>1.729107020999999</v>
      </c>
      <c r="F31" s="96">
        <v>1770</v>
      </c>
      <c r="G31" s="38">
        <v>160</v>
      </c>
      <c r="H31" s="90">
        <f t="shared" si="7"/>
        <v>25</v>
      </c>
      <c r="I31" s="90">
        <f t="shared" ref="I31" si="10">150-H31</f>
        <v>125</v>
      </c>
      <c r="J31" s="38">
        <f t="shared" ref="J31" si="11">G31*H31</f>
        <v>4000</v>
      </c>
      <c r="K31" s="91">
        <f t="shared" si="8"/>
        <v>0.95100963400000649</v>
      </c>
      <c r="L31" s="38">
        <f t="shared" si="9"/>
        <v>5.0000000000000001E-3</v>
      </c>
    </row>
    <row r="32" spans="1:12" ht="14">
      <c r="A32" t="s">
        <v>141</v>
      </c>
      <c r="B32" s="57">
        <v>1.4020999999999999</v>
      </c>
      <c r="C32" s="57">
        <v>19.7</v>
      </c>
      <c r="D32" s="42">
        <f t="shared" si="5"/>
        <v>1.4020474999999999</v>
      </c>
      <c r="E32" s="42">
        <f t="shared" si="6"/>
        <v>1.7280142609999984</v>
      </c>
      <c r="F32" s="97">
        <v>1787</v>
      </c>
      <c r="G32">
        <v>227</v>
      </c>
      <c r="H32" s="50">
        <f t="shared" si="7"/>
        <v>17.621145374449338</v>
      </c>
      <c r="I32" s="50">
        <f t="shared" ref="I32:I42" si="12">150-H32</f>
        <v>132.37885462555067</v>
      </c>
      <c r="J32">
        <f>G32*H32</f>
        <v>3999.9999999999995</v>
      </c>
      <c r="K32" s="91">
        <f t="shared" si="8"/>
        <v>0.95100963400000649</v>
      </c>
      <c r="L32">
        <f t="shared" si="9"/>
        <v>5.0000000000000001E-3</v>
      </c>
    </row>
    <row r="33" spans="1:12" ht="14">
      <c r="A33" s="38" t="s">
        <v>142</v>
      </c>
      <c r="B33" s="88">
        <v>1.4019999999999999</v>
      </c>
      <c r="C33" s="88">
        <v>20</v>
      </c>
      <c r="D33" s="89">
        <f t="shared" si="5"/>
        <v>1.4019999999999999</v>
      </c>
      <c r="E33" s="89">
        <f t="shared" si="6"/>
        <v>1.7274951999999999</v>
      </c>
      <c r="F33" s="96">
        <v>1461</v>
      </c>
      <c r="G33" s="38">
        <v>51.1</v>
      </c>
      <c r="H33" s="90">
        <f t="shared" si="7"/>
        <v>78.277886497064571</v>
      </c>
      <c r="I33" s="90">
        <f t="shared" si="12"/>
        <v>71.722113502935429</v>
      </c>
      <c r="J33" s="38">
        <f>G33*H33</f>
        <v>3999.9999999999995</v>
      </c>
      <c r="K33" s="91">
        <f t="shared" si="8"/>
        <v>0.95100963400000649</v>
      </c>
      <c r="L33" s="38">
        <f t="shared" si="9"/>
        <v>5.0000000000000001E-3</v>
      </c>
    </row>
    <row r="34" spans="1:12">
      <c r="A34" t="s">
        <v>143</v>
      </c>
      <c r="B34" s="57">
        <v>1.4018999999999999</v>
      </c>
      <c r="C34" s="57">
        <v>20</v>
      </c>
      <c r="D34" s="42">
        <f t="shared" si="5"/>
        <v>1.4018999999999999</v>
      </c>
      <c r="E34" s="42">
        <f t="shared" si="6"/>
        <v>1.7264024399999993</v>
      </c>
      <c r="F34" s="98" t="s">
        <v>205</v>
      </c>
      <c r="G34">
        <v>100</v>
      </c>
      <c r="H34" s="50">
        <f t="shared" si="7"/>
        <v>40</v>
      </c>
      <c r="I34" s="50">
        <f t="shared" si="12"/>
        <v>110</v>
      </c>
      <c r="J34">
        <f>G34*H34</f>
        <v>4000</v>
      </c>
      <c r="K34" s="91">
        <f t="shared" si="8"/>
        <v>0.95100963400000649</v>
      </c>
      <c r="L34">
        <f t="shared" si="9"/>
        <v>5.0000000000000001E-3</v>
      </c>
    </row>
    <row r="35" spans="1:12">
      <c r="A35" s="38" t="s">
        <v>144</v>
      </c>
      <c r="B35" s="88">
        <v>1.4020999999999999</v>
      </c>
      <c r="C35" s="88">
        <v>20</v>
      </c>
      <c r="D35" s="89">
        <f t="shared" si="5"/>
        <v>1.4020999999999999</v>
      </c>
      <c r="E35" s="89">
        <f t="shared" si="6"/>
        <v>1.7285879599999987</v>
      </c>
      <c r="F35" s="98" t="s">
        <v>206</v>
      </c>
      <c r="G35" s="38">
        <v>100</v>
      </c>
      <c r="H35" s="90">
        <f t="shared" si="7"/>
        <v>40</v>
      </c>
      <c r="I35" s="90">
        <f t="shared" si="12"/>
        <v>110</v>
      </c>
      <c r="J35" s="38">
        <f>G35*H35</f>
        <v>4000</v>
      </c>
      <c r="K35" s="91">
        <f t="shared" si="8"/>
        <v>0.95100963400000649</v>
      </c>
      <c r="L35" s="38">
        <f t="shared" si="9"/>
        <v>5.0000000000000001E-3</v>
      </c>
    </row>
    <row r="36" spans="1:12">
      <c r="A36" t="s">
        <v>145</v>
      </c>
      <c r="B36" s="57">
        <v>1.4019999999999999</v>
      </c>
      <c r="C36" s="57">
        <v>20</v>
      </c>
      <c r="D36" s="42">
        <f t="shared" si="5"/>
        <v>1.4019999999999999</v>
      </c>
      <c r="E36" s="42">
        <f t="shared" si="6"/>
        <v>1.7274951999999999</v>
      </c>
      <c r="F36" s="98" t="s">
        <v>207</v>
      </c>
      <c r="G36">
        <v>100</v>
      </c>
      <c r="H36" s="50">
        <f t="shared" si="7"/>
        <v>40</v>
      </c>
      <c r="I36" s="50">
        <f t="shared" si="12"/>
        <v>110</v>
      </c>
      <c r="J36">
        <f t="shared" ref="J36:J44" si="13">G36*H36</f>
        <v>4000</v>
      </c>
      <c r="K36" s="91">
        <f t="shared" si="8"/>
        <v>0.95100963400000649</v>
      </c>
      <c r="L36">
        <f t="shared" si="9"/>
        <v>5.0000000000000001E-3</v>
      </c>
    </row>
    <row r="37" spans="1:12">
      <c r="A37" s="38" t="s">
        <v>149</v>
      </c>
      <c r="B37" s="89">
        <v>1.4019999999999999</v>
      </c>
      <c r="C37" s="92">
        <v>20.100000000000001</v>
      </c>
      <c r="D37" s="89">
        <f t="shared" si="5"/>
        <v>1.4020174999999999</v>
      </c>
      <c r="E37" s="89">
        <f t="shared" si="6"/>
        <v>1.7276864329999988</v>
      </c>
      <c r="F37" s="98" t="s">
        <v>208</v>
      </c>
      <c r="G37" s="38">
        <v>100</v>
      </c>
      <c r="H37" s="90">
        <f t="shared" si="7"/>
        <v>40</v>
      </c>
      <c r="I37" s="90">
        <f t="shared" si="12"/>
        <v>110</v>
      </c>
      <c r="J37" s="38">
        <f>G37*H37</f>
        <v>4000</v>
      </c>
      <c r="K37" s="91">
        <f t="shared" si="8"/>
        <v>0.95100963400000649</v>
      </c>
      <c r="L37" s="38">
        <f t="shared" si="9"/>
        <v>5.0000000000000001E-3</v>
      </c>
    </row>
    <row r="38" spans="1:12">
      <c r="A38" t="s">
        <v>150</v>
      </c>
      <c r="B38" s="42">
        <v>1.4017999999999999</v>
      </c>
      <c r="C38" s="41">
        <v>20.2</v>
      </c>
      <c r="D38" s="42">
        <f t="shared" si="5"/>
        <v>1.4018349999999999</v>
      </c>
      <c r="E38" s="42">
        <f t="shared" si="6"/>
        <v>1.7256921460000001</v>
      </c>
      <c r="F38" s="98" t="s">
        <v>209</v>
      </c>
      <c r="G38">
        <v>100</v>
      </c>
      <c r="H38" s="50">
        <f t="shared" si="7"/>
        <v>40</v>
      </c>
      <c r="I38" s="50">
        <f t="shared" si="12"/>
        <v>110</v>
      </c>
      <c r="J38">
        <f t="shared" si="13"/>
        <v>4000</v>
      </c>
      <c r="K38" s="91">
        <f t="shared" si="8"/>
        <v>0.95100963400000649</v>
      </c>
      <c r="L38">
        <f t="shared" si="9"/>
        <v>5.0000000000000001E-3</v>
      </c>
    </row>
    <row r="39" spans="1:12" ht="14.5">
      <c r="A39" s="38" t="s">
        <v>151</v>
      </c>
      <c r="B39" s="89">
        <v>1.4020999999999999</v>
      </c>
      <c r="C39" s="92">
        <v>20.2</v>
      </c>
      <c r="D39" s="89">
        <f t="shared" si="5"/>
        <v>1.4021349999999999</v>
      </c>
      <c r="E39" s="89">
        <f t="shared" si="6"/>
        <v>1.7289704259999983</v>
      </c>
      <c r="F39" s="98" t="s">
        <v>210</v>
      </c>
      <c r="G39" s="101">
        <v>100</v>
      </c>
      <c r="H39" s="90">
        <f t="shared" si="7"/>
        <v>40</v>
      </c>
      <c r="I39" s="90">
        <f t="shared" si="12"/>
        <v>110</v>
      </c>
      <c r="J39" s="38">
        <f t="shared" si="13"/>
        <v>4000</v>
      </c>
      <c r="K39" s="91">
        <f t="shared" si="8"/>
        <v>0.95100963400000649</v>
      </c>
      <c r="L39" s="38">
        <f t="shared" si="9"/>
        <v>5.0000000000000001E-3</v>
      </c>
    </row>
    <row r="40" spans="1:12">
      <c r="A40" t="s">
        <v>152</v>
      </c>
      <c r="B40" s="42">
        <v>1.4020999999999999</v>
      </c>
      <c r="C40" s="41">
        <v>20.2</v>
      </c>
      <c r="D40" s="42">
        <f t="shared" si="5"/>
        <v>1.4021349999999999</v>
      </c>
      <c r="E40" s="42">
        <f t="shared" si="6"/>
        <v>1.7289704259999983</v>
      </c>
      <c r="F40" s="98" t="s">
        <v>211</v>
      </c>
      <c r="G40">
        <v>100</v>
      </c>
      <c r="H40" s="50">
        <f t="shared" si="7"/>
        <v>40</v>
      </c>
      <c r="I40" s="50">
        <f t="shared" si="12"/>
        <v>110</v>
      </c>
      <c r="J40">
        <f t="shared" si="13"/>
        <v>4000</v>
      </c>
      <c r="K40" s="91">
        <f t="shared" si="8"/>
        <v>0.95100963400000649</v>
      </c>
      <c r="L40">
        <f t="shared" si="9"/>
        <v>5.0000000000000001E-3</v>
      </c>
    </row>
    <row r="41" spans="1:12" ht="14">
      <c r="A41" s="38" t="s">
        <v>163</v>
      </c>
      <c r="B41" s="89"/>
      <c r="C41" s="92"/>
      <c r="D41" s="89">
        <f t="shared" ref="D41:D44" si="14">(20-C41)*-0.000175+B41</f>
        <v>-3.5000000000000001E-3</v>
      </c>
      <c r="E41" s="89">
        <f t="shared" ref="E41:E44" si="15">D41*10.9276-13.593</f>
        <v>-13.631246600000001</v>
      </c>
      <c r="F41" s="100"/>
      <c r="G41" s="38"/>
      <c r="H41" s="90" t="e">
        <f t="shared" si="7"/>
        <v>#DIV/0!</v>
      </c>
      <c r="I41" s="90" t="e">
        <f t="shared" si="12"/>
        <v>#DIV/0!</v>
      </c>
      <c r="J41" s="38" t="e">
        <f t="shared" si="13"/>
        <v>#DIV/0!</v>
      </c>
      <c r="K41" s="91">
        <f t="shared" si="8"/>
        <v>0.95100963400000649</v>
      </c>
      <c r="L41" s="38">
        <f t="shared" si="9"/>
        <v>5.0000000000000001E-3</v>
      </c>
    </row>
    <row r="42" spans="1:12" ht="14">
      <c r="A42" t="s">
        <v>164</v>
      </c>
      <c r="B42" s="42"/>
      <c r="C42" s="41"/>
      <c r="D42" s="42">
        <f t="shared" si="14"/>
        <v>-3.5000000000000001E-3</v>
      </c>
      <c r="E42" s="42">
        <f t="shared" si="15"/>
        <v>-13.631246600000001</v>
      </c>
      <c r="F42" s="99"/>
      <c r="H42" s="50" t="e">
        <f t="shared" si="7"/>
        <v>#DIV/0!</v>
      </c>
      <c r="I42" s="50" t="e">
        <f t="shared" si="12"/>
        <v>#DIV/0!</v>
      </c>
      <c r="J42" t="e">
        <f t="shared" si="13"/>
        <v>#DIV/0!</v>
      </c>
      <c r="K42" s="91">
        <f t="shared" si="8"/>
        <v>0.95100963400000649</v>
      </c>
      <c r="L42">
        <f t="shared" si="9"/>
        <v>5.0000000000000001E-3</v>
      </c>
    </row>
    <row r="43" spans="1:12" ht="14">
      <c r="A43" s="38" t="s">
        <v>165</v>
      </c>
      <c r="B43" s="89"/>
      <c r="C43" s="92"/>
      <c r="D43" s="89">
        <f t="shared" si="14"/>
        <v>-3.5000000000000001E-3</v>
      </c>
      <c r="E43" s="89">
        <f t="shared" si="15"/>
        <v>-13.631246600000001</v>
      </c>
      <c r="F43" s="100"/>
      <c r="G43" s="38"/>
      <c r="H43" s="90" t="e">
        <f t="shared" si="7"/>
        <v>#DIV/0!</v>
      </c>
      <c r="I43" s="90" t="e">
        <f t="shared" ref="I43:I44" si="16">150-H43</f>
        <v>#DIV/0!</v>
      </c>
      <c r="J43" s="38" t="e">
        <f t="shared" si="13"/>
        <v>#DIV/0!</v>
      </c>
      <c r="K43" s="91">
        <f t="shared" si="8"/>
        <v>0.95100963400000649</v>
      </c>
      <c r="L43" s="38">
        <f t="shared" si="9"/>
        <v>5.0000000000000001E-3</v>
      </c>
    </row>
    <row r="44" spans="1:12" ht="14">
      <c r="A44" t="s">
        <v>166</v>
      </c>
      <c r="B44" s="42"/>
      <c r="C44" s="41"/>
      <c r="D44" s="42">
        <f t="shared" si="14"/>
        <v>-3.5000000000000001E-3</v>
      </c>
      <c r="E44" s="42">
        <f t="shared" si="15"/>
        <v>-13.631246600000001</v>
      </c>
      <c r="F44" s="99"/>
      <c r="H44" s="50" t="e">
        <f t="shared" si="7"/>
        <v>#DIV/0!</v>
      </c>
      <c r="I44" s="50" t="e">
        <f t="shared" si="16"/>
        <v>#DIV/0!</v>
      </c>
      <c r="J44" t="e">
        <f t="shared" si="13"/>
        <v>#DIV/0!</v>
      </c>
      <c r="K44" s="91">
        <f t="shared" si="8"/>
        <v>0.95100963400000649</v>
      </c>
      <c r="L44">
        <f t="shared" si="9"/>
        <v>5.0000000000000001E-3</v>
      </c>
    </row>
    <row r="45" spans="1:12" ht="14">
      <c r="A45" s="45" t="s">
        <v>33</v>
      </c>
      <c r="B45" s="46">
        <v>1.4168000000000001</v>
      </c>
      <c r="C45" s="47">
        <v>19</v>
      </c>
      <c r="D45" s="48">
        <f>(20-C45)*-0.000175+B45</f>
        <v>1.416625</v>
      </c>
      <c r="E45" s="49">
        <f>D45*10.9276-13.593</f>
        <v>1.8873113500000009</v>
      </c>
      <c r="F45" s="87"/>
      <c r="H45" s="50"/>
      <c r="I45" s="50"/>
    </row>
    <row r="46" spans="1:12">
      <c r="B46" s="26"/>
      <c r="C46" s="23"/>
      <c r="F46" t="s">
        <v>203</v>
      </c>
    </row>
    <row r="47" spans="1:12">
      <c r="D47" s="22"/>
      <c r="E47" s="28"/>
    </row>
    <row r="48" spans="1:12">
      <c r="E48" s="28"/>
      <c r="F48" s="20"/>
    </row>
    <row r="49" spans="1:6">
      <c r="E49" s="28"/>
    </row>
    <row r="50" spans="1:6">
      <c r="A50" s="16"/>
      <c r="B50" s="16"/>
      <c r="C50" s="15"/>
    </row>
    <row r="52" spans="1:6">
      <c r="F52" s="22"/>
    </row>
  </sheetData>
  <sortState xmlns:xlrd2="http://schemas.microsoft.com/office/spreadsheetml/2017/richdata2" ref="F31:F40">
    <sortCondition ref="F31"/>
  </sortState>
  <phoneticPr fontId="12"/>
  <pageMargins left="0.75" right="0.75" top="1" bottom="1" header="0.5" footer="0.5"/>
  <pageSetup orientation="portrait" horizontalDpi="4294967292" vertic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1.4063000000000001</v>
      </c>
      <c r="D2" s="58">
        <v>18</v>
      </c>
      <c r="E2" s="58">
        <f t="shared" ref="E2:E23" si="0">((20-D2)*-0.000175+C2)-0.0008</f>
        <v>1.4051500000000001</v>
      </c>
      <c r="F2" s="59">
        <f t="shared" ref="F2:F23" si="1">E2*10.9276-13.593</f>
        <v>1.7619171400000013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1.4056999999999999</v>
      </c>
      <c r="D3" s="58">
        <v>18</v>
      </c>
      <c r="E3" s="58">
        <f t="shared" si="0"/>
        <v>1.40455</v>
      </c>
      <c r="F3" s="59">
        <f t="shared" si="1"/>
        <v>1.7553605799999996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1.4055</v>
      </c>
      <c r="D4" s="58">
        <v>18</v>
      </c>
      <c r="E4" s="58">
        <f t="shared" si="0"/>
        <v>1.40435</v>
      </c>
      <c r="F4" s="59">
        <f t="shared" si="1"/>
        <v>1.7531750600000002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1.4049</v>
      </c>
      <c r="D5" s="58">
        <v>18</v>
      </c>
      <c r="E5" s="58">
        <f t="shared" si="0"/>
        <v>1.4037500000000001</v>
      </c>
      <c r="F5" s="59">
        <f t="shared" si="1"/>
        <v>1.7466185000000003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1.4043000000000001</v>
      </c>
      <c r="D6" s="58">
        <v>18.100000000000001</v>
      </c>
      <c r="E6" s="58">
        <f t="shared" si="0"/>
        <v>1.4031675000000001</v>
      </c>
      <c r="F6" s="59">
        <f t="shared" si="1"/>
        <v>1.740253173000001</v>
      </c>
      <c r="G6" s="58" t="s">
        <v>67</v>
      </c>
    </row>
    <row r="7" spans="1:13">
      <c r="A7" s="58">
        <v>6</v>
      </c>
      <c r="B7" s="58" t="s">
        <v>61</v>
      </c>
      <c r="C7" s="59">
        <v>1.4036999999999999</v>
      </c>
      <c r="D7" s="58">
        <v>18.100000000000001</v>
      </c>
      <c r="E7" s="58">
        <f t="shared" si="0"/>
        <v>1.4025675</v>
      </c>
      <c r="F7" s="59">
        <f t="shared" si="1"/>
        <v>1.7336966129999993</v>
      </c>
      <c r="G7" s="58" t="s">
        <v>68</v>
      </c>
    </row>
    <row r="8" spans="1:13">
      <c r="A8" s="58">
        <v>7</v>
      </c>
      <c r="B8" s="58" t="s">
        <v>61</v>
      </c>
      <c r="C8" s="59">
        <v>1.4031</v>
      </c>
      <c r="D8" s="58">
        <v>18.100000000000001</v>
      </c>
      <c r="E8" s="58">
        <f t="shared" si="0"/>
        <v>1.4019675</v>
      </c>
      <c r="F8" s="59">
        <f t="shared" si="1"/>
        <v>1.7271400530000012</v>
      </c>
      <c r="G8" s="58" t="s">
        <v>69</v>
      </c>
    </row>
    <row r="9" spans="1:13">
      <c r="A9" s="58">
        <v>8</v>
      </c>
      <c r="B9" s="58" t="s">
        <v>61</v>
      </c>
      <c r="C9" s="59">
        <v>1.4025000000000001</v>
      </c>
      <c r="D9" s="58">
        <v>18.100000000000001</v>
      </c>
      <c r="E9" s="58">
        <f t="shared" si="0"/>
        <v>1.4013675000000001</v>
      </c>
      <c r="F9" s="59">
        <f t="shared" si="1"/>
        <v>1.7205834930000012</v>
      </c>
      <c r="G9" s="58" t="s">
        <v>70</v>
      </c>
    </row>
    <row r="10" spans="1:13">
      <c r="A10" s="43">
        <v>9</v>
      </c>
      <c r="B10" s="43" t="s">
        <v>61</v>
      </c>
      <c r="C10" s="44">
        <v>1.4020999999999999</v>
      </c>
      <c r="D10" s="43">
        <v>18.2</v>
      </c>
      <c r="E10" s="43">
        <f t="shared" si="0"/>
        <v>1.4009849999999999</v>
      </c>
      <c r="F10" s="44">
        <f t="shared" si="1"/>
        <v>1.7164036859999996</v>
      </c>
      <c r="G10" s="43" t="s">
        <v>71</v>
      </c>
    </row>
    <row r="11" spans="1:13">
      <c r="A11" s="43">
        <v>10</v>
      </c>
      <c r="B11" s="43" t="s">
        <v>61</v>
      </c>
      <c r="C11" s="44">
        <v>1.4015</v>
      </c>
      <c r="D11" s="43">
        <v>18.2</v>
      </c>
      <c r="E11" s="43">
        <f t="shared" si="0"/>
        <v>1.400385</v>
      </c>
      <c r="F11" s="44">
        <f t="shared" si="1"/>
        <v>1.7098471259999997</v>
      </c>
      <c r="G11" s="43" t="s">
        <v>72</v>
      </c>
    </row>
    <row r="12" spans="1:13">
      <c r="A12" s="43">
        <v>11</v>
      </c>
      <c r="B12" s="43" t="s">
        <v>61</v>
      </c>
      <c r="C12" s="44">
        <v>1.401</v>
      </c>
      <c r="D12" s="43">
        <v>18.2</v>
      </c>
      <c r="E12" s="43">
        <f t="shared" si="0"/>
        <v>1.399885</v>
      </c>
      <c r="F12" s="44">
        <f t="shared" si="1"/>
        <v>1.7043833260000003</v>
      </c>
      <c r="G12" s="43" t="s">
        <v>73</v>
      </c>
    </row>
    <row r="13" spans="1:13">
      <c r="A13" s="43">
        <v>12</v>
      </c>
      <c r="B13" s="43" t="s">
        <v>61</v>
      </c>
      <c r="C13" s="44">
        <v>1.4004000000000001</v>
      </c>
      <c r="D13" s="43">
        <v>18.2</v>
      </c>
      <c r="E13" s="43">
        <f t="shared" si="0"/>
        <v>1.3992850000000001</v>
      </c>
      <c r="F13" s="44">
        <f t="shared" si="1"/>
        <v>1.6978267660000004</v>
      </c>
      <c r="G13" s="43" t="s">
        <v>74</v>
      </c>
    </row>
    <row r="14" spans="1:13">
      <c r="A14" s="43">
        <v>13</v>
      </c>
      <c r="B14" s="43" t="s">
        <v>61</v>
      </c>
      <c r="C14" s="44">
        <v>1.3998999999999999</v>
      </c>
      <c r="D14" s="43">
        <v>18.2</v>
      </c>
      <c r="E14" s="43">
        <f t="shared" si="0"/>
        <v>1.3987849999999999</v>
      </c>
      <c r="F14" s="44">
        <f t="shared" si="1"/>
        <v>1.6923629659999992</v>
      </c>
      <c r="G14" s="43" t="s">
        <v>75</v>
      </c>
    </row>
    <row r="15" spans="1:13">
      <c r="A15" s="43">
        <v>14</v>
      </c>
      <c r="B15" s="43" t="s">
        <v>61</v>
      </c>
      <c r="C15" s="44">
        <v>1.3993</v>
      </c>
      <c r="D15" s="43">
        <v>18.3</v>
      </c>
      <c r="E15" s="43">
        <f t="shared" si="0"/>
        <v>1.3982025</v>
      </c>
      <c r="F15" s="44">
        <f t="shared" si="1"/>
        <v>1.685997639</v>
      </c>
      <c r="G15" s="43" t="s">
        <v>76</v>
      </c>
    </row>
    <row r="16" spans="1:13">
      <c r="A16" s="43">
        <v>15</v>
      </c>
      <c r="B16" s="43" t="s">
        <v>61</v>
      </c>
      <c r="C16" s="44">
        <v>1.3988</v>
      </c>
      <c r="D16" s="43">
        <v>18.3</v>
      </c>
      <c r="E16" s="43">
        <f t="shared" si="0"/>
        <v>1.3977025000000001</v>
      </c>
      <c r="F16" s="44">
        <f t="shared" si="1"/>
        <v>1.6805338390000006</v>
      </c>
      <c r="G16" s="43" t="s">
        <v>77</v>
      </c>
    </row>
    <row r="17" spans="1:7">
      <c r="A17" s="43">
        <v>16</v>
      </c>
      <c r="B17" s="43" t="s">
        <v>61</v>
      </c>
      <c r="C17" s="44">
        <v>1.3983000000000001</v>
      </c>
      <c r="D17" s="43">
        <v>18.3</v>
      </c>
      <c r="E17" s="43">
        <f t="shared" si="0"/>
        <v>1.3972025000000001</v>
      </c>
      <c r="F17" s="44">
        <f t="shared" si="1"/>
        <v>1.6750700390000013</v>
      </c>
      <c r="G17" s="43" t="s">
        <v>78</v>
      </c>
    </row>
    <row r="18" spans="1:7">
      <c r="A18" s="58">
        <v>17</v>
      </c>
      <c r="B18" s="58" t="s">
        <v>61</v>
      </c>
      <c r="C18" s="59">
        <v>1.3977999999999999</v>
      </c>
      <c r="D18" s="58">
        <v>18.399999999999999</v>
      </c>
      <c r="E18" s="58">
        <f t="shared" si="0"/>
        <v>1.39672</v>
      </c>
      <c r="F18" s="59">
        <f t="shared" si="1"/>
        <v>1.6697974719999991</v>
      </c>
      <c r="G18" s="58" t="s">
        <v>79</v>
      </c>
    </row>
    <row r="19" spans="1:7">
      <c r="A19" s="58">
        <v>18</v>
      </c>
      <c r="B19" s="58" t="s">
        <v>61</v>
      </c>
      <c r="C19" s="59">
        <v>1.3971</v>
      </c>
      <c r="D19" s="58">
        <v>18.399999999999999</v>
      </c>
      <c r="E19" s="58">
        <f t="shared" si="0"/>
        <v>1.39602</v>
      </c>
      <c r="F19" s="59">
        <f t="shared" si="1"/>
        <v>1.6621481520000003</v>
      </c>
      <c r="G19" s="58" t="s">
        <v>80</v>
      </c>
    </row>
    <row r="20" spans="1:7">
      <c r="A20" s="58">
        <v>19</v>
      </c>
      <c r="B20" s="58" t="s">
        <v>61</v>
      </c>
      <c r="C20" s="59">
        <v>1.395</v>
      </c>
      <c r="D20" s="58">
        <v>18.399999999999999</v>
      </c>
      <c r="E20" s="58">
        <f t="shared" si="0"/>
        <v>1.39392</v>
      </c>
      <c r="F20" s="59">
        <f t="shared" si="1"/>
        <v>1.6392001920000006</v>
      </c>
      <c r="G20" s="58" t="s">
        <v>81</v>
      </c>
    </row>
    <row r="21" spans="1:7">
      <c r="A21" s="58">
        <v>20</v>
      </c>
      <c r="B21" s="58" t="s">
        <v>61</v>
      </c>
      <c r="C21" s="59">
        <v>1.3862000000000001</v>
      </c>
      <c r="D21" s="58">
        <v>18.399999999999999</v>
      </c>
      <c r="E21" s="58">
        <f t="shared" si="0"/>
        <v>1.3851200000000001</v>
      </c>
      <c r="F21" s="59">
        <f t="shared" si="1"/>
        <v>1.5430373120000009</v>
      </c>
      <c r="G21" s="58" t="s">
        <v>82</v>
      </c>
    </row>
    <row r="22" spans="1:7">
      <c r="A22" s="58">
        <v>21</v>
      </c>
      <c r="B22" s="58" t="s">
        <v>61</v>
      </c>
      <c r="C22" s="59">
        <v>1.3673</v>
      </c>
      <c r="D22" s="58">
        <v>18.5</v>
      </c>
      <c r="E22" s="58">
        <f t="shared" si="0"/>
        <v>1.3662375</v>
      </c>
      <c r="F22" s="59">
        <f t="shared" si="1"/>
        <v>1.3366969050000002</v>
      </c>
      <c r="G22" s="58" t="s">
        <v>83</v>
      </c>
    </row>
    <row r="23" spans="1:7">
      <c r="A23" s="58">
        <v>22</v>
      </c>
      <c r="B23" s="58" t="s">
        <v>61</v>
      </c>
      <c r="C23" s="59">
        <v>1.3483000000000001</v>
      </c>
      <c r="D23" s="58">
        <v>18.5</v>
      </c>
      <c r="E23" s="58">
        <f t="shared" si="0"/>
        <v>1.3472375000000001</v>
      </c>
      <c r="F23" s="59">
        <f t="shared" si="1"/>
        <v>1.1290725050000017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1.4054</v>
      </c>
      <c r="D2" s="58">
        <v>18.5</v>
      </c>
      <c r="E2" s="58">
        <f t="shared" ref="E2:E23" si="0">((20-D2)*-0.000175+C2)-0.0008</f>
        <v>1.4043375</v>
      </c>
      <c r="F2" s="59">
        <f t="shared" ref="F2:F23" si="1">E2*10.9276-13.593</f>
        <v>1.7530384649999995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1.4055</v>
      </c>
      <c r="D3" s="58">
        <v>18.600000000000001</v>
      </c>
      <c r="E3" s="58">
        <f t="shared" si="0"/>
        <v>1.404455</v>
      </c>
      <c r="F3" s="59">
        <f t="shared" si="1"/>
        <v>1.7543224580000008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1.4052</v>
      </c>
      <c r="D4" s="60">
        <v>18.600000000000001</v>
      </c>
      <c r="E4" s="60">
        <f t="shared" si="0"/>
        <v>1.404155</v>
      </c>
      <c r="F4" s="61">
        <f t="shared" si="1"/>
        <v>1.7510441780000008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>
        <v>1.4047000000000001</v>
      </c>
      <c r="D5" s="60">
        <v>18.7</v>
      </c>
      <c r="E5" s="60">
        <f t="shared" si="0"/>
        <v>1.4036725000000001</v>
      </c>
      <c r="F5" s="61">
        <f t="shared" si="1"/>
        <v>1.7457716110000003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>
        <v>1.4040999999999999</v>
      </c>
      <c r="D6" s="60">
        <v>18.7</v>
      </c>
      <c r="E6" s="60">
        <f t="shared" si="0"/>
        <v>1.4030724999999999</v>
      </c>
      <c r="F6" s="61">
        <f t="shared" si="1"/>
        <v>1.7392150509999986</v>
      </c>
      <c r="G6" s="60" t="s">
        <v>89</v>
      </c>
    </row>
    <row r="7" spans="1:13">
      <c r="A7" s="60">
        <v>6</v>
      </c>
      <c r="B7" s="60" t="s">
        <v>61</v>
      </c>
      <c r="C7" s="61">
        <v>1.4035</v>
      </c>
      <c r="D7" s="60">
        <v>18.7</v>
      </c>
      <c r="E7" s="60">
        <f t="shared" si="0"/>
        <v>1.4024725</v>
      </c>
      <c r="F7" s="61">
        <f t="shared" si="1"/>
        <v>1.7326584910000005</v>
      </c>
      <c r="G7" s="60" t="s">
        <v>90</v>
      </c>
    </row>
    <row r="8" spans="1:13">
      <c r="A8" s="60">
        <v>7</v>
      </c>
      <c r="B8" s="60" t="s">
        <v>61</v>
      </c>
      <c r="C8" s="61">
        <v>1.4029</v>
      </c>
      <c r="D8" s="60">
        <v>18.7</v>
      </c>
      <c r="E8" s="60">
        <f t="shared" si="0"/>
        <v>1.4018725000000001</v>
      </c>
      <c r="F8" s="61">
        <f t="shared" si="1"/>
        <v>1.7261019310000005</v>
      </c>
      <c r="G8" s="60" t="s">
        <v>91</v>
      </c>
    </row>
    <row r="9" spans="1:13">
      <c r="A9" s="60">
        <v>8</v>
      </c>
      <c r="B9" s="60" t="s">
        <v>61</v>
      </c>
      <c r="C9" s="61">
        <v>1.4023000000000001</v>
      </c>
      <c r="D9" s="60">
        <v>18.8</v>
      </c>
      <c r="E9" s="60">
        <f t="shared" si="0"/>
        <v>1.4012900000000001</v>
      </c>
      <c r="F9" s="61">
        <f t="shared" si="1"/>
        <v>1.7197366040000013</v>
      </c>
      <c r="G9" s="60" t="s">
        <v>92</v>
      </c>
    </row>
    <row r="10" spans="1:13">
      <c r="A10" s="60">
        <v>9</v>
      </c>
      <c r="B10" s="60" t="s">
        <v>61</v>
      </c>
      <c r="C10" s="61">
        <v>1.4017999999999999</v>
      </c>
      <c r="D10" s="60">
        <v>18.8</v>
      </c>
      <c r="E10" s="60">
        <f t="shared" si="0"/>
        <v>1.40079</v>
      </c>
      <c r="F10" s="61">
        <f t="shared" si="1"/>
        <v>1.7142728040000001</v>
      </c>
      <c r="G10" s="60" t="s">
        <v>93</v>
      </c>
    </row>
    <row r="11" spans="1:13">
      <c r="A11" s="60">
        <v>10</v>
      </c>
      <c r="B11" s="60" t="s">
        <v>61</v>
      </c>
      <c r="C11" s="61">
        <v>1.4013</v>
      </c>
      <c r="D11" s="60">
        <v>18.8</v>
      </c>
      <c r="E11" s="60">
        <f t="shared" si="0"/>
        <v>1.40029</v>
      </c>
      <c r="F11" s="61">
        <f t="shared" si="1"/>
        <v>1.7088090040000008</v>
      </c>
      <c r="G11" s="60" t="s">
        <v>94</v>
      </c>
    </row>
    <row r="12" spans="1:13">
      <c r="A12" s="58">
        <v>11</v>
      </c>
      <c r="B12" s="58" t="s">
        <v>61</v>
      </c>
      <c r="C12" s="59">
        <v>1.4008</v>
      </c>
      <c r="D12" s="58">
        <v>18.8</v>
      </c>
      <c r="E12" s="58">
        <f t="shared" si="0"/>
        <v>1.3997900000000001</v>
      </c>
      <c r="F12" s="59">
        <f t="shared" si="1"/>
        <v>1.7033452040000014</v>
      </c>
      <c r="G12" s="58" t="s">
        <v>95</v>
      </c>
    </row>
    <row r="13" spans="1:13">
      <c r="A13" s="58">
        <v>12</v>
      </c>
      <c r="B13" s="58" t="s">
        <v>61</v>
      </c>
      <c r="C13" s="59">
        <v>1.4003000000000001</v>
      </c>
      <c r="D13" s="58">
        <v>18.8</v>
      </c>
      <c r="E13" s="58">
        <f t="shared" si="0"/>
        <v>1.3992900000000001</v>
      </c>
      <c r="F13" s="59">
        <f t="shared" si="1"/>
        <v>1.6978814040000021</v>
      </c>
      <c r="G13" s="58" t="s">
        <v>96</v>
      </c>
    </row>
    <row r="14" spans="1:13">
      <c r="A14" s="58">
        <v>13</v>
      </c>
      <c r="B14" s="58" t="s">
        <v>61</v>
      </c>
      <c r="C14" s="59">
        <v>1.3996</v>
      </c>
      <c r="D14" s="58">
        <v>18.899999999999999</v>
      </c>
      <c r="E14" s="58">
        <f t="shared" si="0"/>
        <v>1.3986075</v>
      </c>
      <c r="F14" s="59">
        <f t="shared" si="1"/>
        <v>1.6904233170000005</v>
      </c>
      <c r="G14" s="58" t="s">
        <v>97</v>
      </c>
    </row>
    <row r="15" spans="1:13">
      <c r="A15" s="58">
        <v>14</v>
      </c>
      <c r="B15" s="58" t="s">
        <v>61</v>
      </c>
      <c r="C15" s="59">
        <v>1.3991</v>
      </c>
      <c r="D15" s="58">
        <v>18.899999999999999</v>
      </c>
      <c r="E15" s="58">
        <f t="shared" si="0"/>
        <v>1.3981075000000001</v>
      </c>
      <c r="F15" s="59">
        <f t="shared" si="1"/>
        <v>1.6849595170000011</v>
      </c>
      <c r="G15" s="58" t="s">
        <v>98</v>
      </c>
    </row>
    <row r="16" spans="1:13">
      <c r="A16" s="58">
        <v>15</v>
      </c>
      <c r="B16" s="58" t="s">
        <v>61</v>
      </c>
      <c r="C16" s="59">
        <v>1.3986000000000001</v>
      </c>
      <c r="D16" s="58">
        <v>18.899999999999999</v>
      </c>
      <c r="E16" s="58">
        <f t="shared" si="0"/>
        <v>1.3976075000000001</v>
      </c>
      <c r="F16" s="59">
        <f t="shared" si="1"/>
        <v>1.6794957170000018</v>
      </c>
      <c r="G16" s="58" t="s">
        <v>99</v>
      </c>
    </row>
    <row r="17" spans="1:7">
      <c r="A17" s="58">
        <v>16</v>
      </c>
      <c r="B17" s="58" t="s">
        <v>61</v>
      </c>
      <c r="C17" s="59">
        <v>1.3979999999999999</v>
      </c>
      <c r="D17" s="58">
        <v>18.899999999999999</v>
      </c>
      <c r="E17" s="58">
        <f t="shared" si="0"/>
        <v>1.3970075</v>
      </c>
      <c r="F17" s="59">
        <f t="shared" si="1"/>
        <v>1.6729391570000001</v>
      </c>
      <c r="G17" s="58" t="s">
        <v>100</v>
      </c>
    </row>
    <row r="18" spans="1:7">
      <c r="A18" s="58">
        <v>17</v>
      </c>
      <c r="B18" s="58" t="s">
        <v>61</v>
      </c>
      <c r="C18" s="59">
        <v>1.3975</v>
      </c>
      <c r="D18" s="58">
        <v>19</v>
      </c>
      <c r="E18" s="58">
        <f t="shared" si="0"/>
        <v>1.396525</v>
      </c>
      <c r="F18" s="59">
        <f t="shared" si="1"/>
        <v>1.6676665899999996</v>
      </c>
      <c r="G18" s="58" t="s">
        <v>101</v>
      </c>
    </row>
    <row r="19" spans="1:7">
      <c r="A19" s="58">
        <v>18</v>
      </c>
      <c r="B19" s="58" t="s">
        <v>61</v>
      </c>
      <c r="C19" s="59">
        <v>1.3968</v>
      </c>
      <c r="D19" s="58">
        <v>19</v>
      </c>
      <c r="E19" s="58">
        <f t="shared" si="0"/>
        <v>1.3958250000000001</v>
      </c>
      <c r="F19" s="59">
        <f t="shared" si="1"/>
        <v>1.6600172700000009</v>
      </c>
      <c r="G19" s="58" t="s">
        <v>102</v>
      </c>
    </row>
    <row r="20" spans="1:7">
      <c r="A20" s="60">
        <v>19</v>
      </c>
      <c r="B20" s="60" t="s">
        <v>61</v>
      </c>
      <c r="C20" s="61">
        <v>1.3940999999999999</v>
      </c>
      <c r="D20" s="60">
        <v>19</v>
      </c>
      <c r="E20" s="60">
        <f t="shared" si="0"/>
        <v>1.3931249999999999</v>
      </c>
      <c r="F20" s="61">
        <f t="shared" si="1"/>
        <v>1.6305127499999994</v>
      </c>
      <c r="G20" s="60" t="s">
        <v>103</v>
      </c>
    </row>
    <row r="21" spans="1:7">
      <c r="A21" s="60">
        <v>20</v>
      </c>
      <c r="B21" s="60" t="s">
        <v>61</v>
      </c>
      <c r="C21" s="61">
        <v>1.3845000000000001</v>
      </c>
      <c r="D21" s="60">
        <v>19.100000000000001</v>
      </c>
      <c r="E21" s="60">
        <f t="shared" si="0"/>
        <v>1.3835425000000001</v>
      </c>
      <c r="F21" s="61">
        <f t="shared" si="1"/>
        <v>1.5257990230000011</v>
      </c>
      <c r="G21" s="60" t="s">
        <v>104</v>
      </c>
    </row>
    <row r="22" spans="1:7">
      <c r="A22" s="60">
        <v>21</v>
      </c>
      <c r="B22" s="60" t="s">
        <v>61</v>
      </c>
      <c r="C22" s="61">
        <v>1.3661000000000001</v>
      </c>
      <c r="D22" s="60">
        <v>19.100000000000001</v>
      </c>
      <c r="E22" s="60">
        <f t="shared" si="0"/>
        <v>1.3651425000000001</v>
      </c>
      <c r="F22" s="61">
        <f t="shared" si="1"/>
        <v>1.3247311830000008</v>
      </c>
      <c r="G22" s="60" t="s">
        <v>105</v>
      </c>
    </row>
    <row r="23" spans="1:7">
      <c r="A23" s="60">
        <v>22</v>
      </c>
      <c r="B23" s="60" t="s">
        <v>61</v>
      </c>
      <c r="C23" s="61">
        <v>1.3469</v>
      </c>
      <c r="D23" s="60">
        <v>19.100000000000001</v>
      </c>
      <c r="E23" s="60">
        <f t="shared" si="0"/>
        <v>1.3459425</v>
      </c>
      <c r="F23" s="61">
        <f t="shared" si="1"/>
        <v>1.1149212630000012</v>
      </c>
      <c r="G23" s="60" t="s">
        <v>106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topLeftCell="A3" workbookViewId="0">
      <selection activeCell="C24" sqref="C24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60">
        <v>1</v>
      </c>
      <c r="B2" s="60" t="s">
        <v>61</v>
      </c>
      <c r="C2" s="61">
        <v>1.4055</v>
      </c>
      <c r="D2" s="60">
        <v>19.100000000000001</v>
      </c>
      <c r="E2" s="60">
        <f t="shared" ref="E2:E23" si="0">((20-D2)*-0.000175+C2)-0.0008</f>
        <v>1.4045425</v>
      </c>
      <c r="F2" s="61">
        <f t="shared" ref="F2:F23" si="1">E2*10.9276-13.593</f>
        <v>1.7552786230000006</v>
      </c>
      <c r="G2" s="60" t="s">
        <v>107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60">
        <v>2</v>
      </c>
      <c r="B3" s="60" t="s">
        <v>61</v>
      </c>
      <c r="C3" s="61">
        <v>1.4053</v>
      </c>
      <c r="D3" s="60">
        <v>19.2</v>
      </c>
      <c r="E3" s="60">
        <f t="shared" si="0"/>
        <v>1.4043600000000001</v>
      </c>
      <c r="F3" s="61">
        <f t="shared" si="1"/>
        <v>1.7532843360000001</v>
      </c>
      <c r="G3" s="60" t="s">
        <v>108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>
        <v>1.4049</v>
      </c>
      <c r="D4" s="60">
        <v>19.2</v>
      </c>
      <c r="E4" s="60">
        <f t="shared" si="0"/>
        <v>1.4039600000000001</v>
      </c>
      <c r="F4" s="61">
        <f t="shared" si="1"/>
        <v>1.7489132960000013</v>
      </c>
      <c r="G4" s="60" t="s">
        <v>109</v>
      </c>
      <c r="I4" t="s">
        <v>156</v>
      </c>
    </row>
    <row r="5" spans="1:13">
      <c r="A5" s="60">
        <v>4</v>
      </c>
      <c r="B5" s="60" t="s">
        <v>61</v>
      </c>
      <c r="C5" s="61">
        <v>1.4045000000000001</v>
      </c>
      <c r="D5" s="60">
        <v>19.3</v>
      </c>
      <c r="E5" s="60">
        <f t="shared" si="0"/>
        <v>1.4035775000000001</v>
      </c>
      <c r="F5" s="61">
        <f t="shared" si="1"/>
        <v>1.7447334890000015</v>
      </c>
      <c r="G5" s="60" t="s">
        <v>110</v>
      </c>
      <c r="I5" t="s">
        <v>157</v>
      </c>
    </row>
    <row r="6" spans="1:13">
      <c r="A6" s="58">
        <v>5</v>
      </c>
      <c r="B6" s="58" t="s">
        <v>61</v>
      </c>
      <c r="C6" s="59">
        <v>1.4039999999999999</v>
      </c>
      <c r="D6" s="58">
        <v>19.3</v>
      </c>
      <c r="E6" s="58">
        <f t="shared" si="0"/>
        <v>1.4030775</v>
      </c>
      <c r="F6" s="59">
        <f t="shared" si="1"/>
        <v>1.7392696890000003</v>
      </c>
      <c r="G6" s="58" t="s">
        <v>111</v>
      </c>
    </row>
    <row r="7" spans="1:13">
      <c r="A7" s="58">
        <v>6</v>
      </c>
      <c r="B7" s="58" t="s">
        <v>61</v>
      </c>
      <c r="C7" s="59">
        <v>1.4035</v>
      </c>
      <c r="D7" s="58">
        <v>19.3</v>
      </c>
      <c r="E7" s="58">
        <f t="shared" si="0"/>
        <v>1.4025775</v>
      </c>
      <c r="F7" s="59">
        <f t="shared" si="1"/>
        <v>1.733805889000001</v>
      </c>
      <c r="G7" s="58" t="s">
        <v>112</v>
      </c>
    </row>
    <row r="8" spans="1:13">
      <c r="A8" s="58">
        <v>7</v>
      </c>
      <c r="B8" s="58" t="s">
        <v>61</v>
      </c>
      <c r="C8" s="59">
        <v>1.4028</v>
      </c>
      <c r="D8" s="58">
        <v>19.399999999999999</v>
      </c>
      <c r="E8" s="58">
        <f t="shared" si="0"/>
        <v>1.4018950000000001</v>
      </c>
      <c r="F8" s="59">
        <f t="shared" si="1"/>
        <v>1.7263478020000012</v>
      </c>
      <c r="G8" s="58" t="s">
        <v>113</v>
      </c>
    </row>
    <row r="9" spans="1:13">
      <c r="A9" s="58">
        <v>8</v>
      </c>
      <c r="B9" s="58" t="s">
        <v>61</v>
      </c>
      <c r="C9" s="59">
        <v>1.4023000000000001</v>
      </c>
      <c r="D9" s="58">
        <v>19.399999999999999</v>
      </c>
      <c r="E9" s="58">
        <f t="shared" si="0"/>
        <v>1.4013950000000002</v>
      </c>
      <c r="F9" s="59">
        <f t="shared" si="1"/>
        <v>1.7208840020000018</v>
      </c>
      <c r="G9" s="58" t="s">
        <v>114</v>
      </c>
    </row>
    <row r="10" spans="1:13">
      <c r="A10" s="58">
        <v>9</v>
      </c>
      <c r="B10" s="58" t="s">
        <v>61</v>
      </c>
      <c r="C10" s="59">
        <v>1.4016999999999999</v>
      </c>
      <c r="D10" s="58">
        <v>19.399999999999999</v>
      </c>
      <c r="E10" s="58">
        <f t="shared" si="0"/>
        <v>1.400795</v>
      </c>
      <c r="F10" s="59">
        <f t="shared" si="1"/>
        <v>1.7143274420000001</v>
      </c>
      <c r="G10" s="58" t="s">
        <v>115</v>
      </c>
    </row>
    <row r="11" spans="1:13">
      <c r="A11" s="58">
        <v>10</v>
      </c>
      <c r="B11" s="58" t="s">
        <v>61</v>
      </c>
      <c r="C11" s="59">
        <v>1.4012</v>
      </c>
      <c r="D11" s="58">
        <v>19.5</v>
      </c>
      <c r="E11" s="58">
        <f t="shared" si="0"/>
        <v>1.4003125000000001</v>
      </c>
      <c r="F11" s="59">
        <f t="shared" si="1"/>
        <v>1.7090548750000014</v>
      </c>
      <c r="G11" s="58" t="s">
        <v>116</v>
      </c>
    </row>
    <row r="12" spans="1:13">
      <c r="A12" s="58">
        <v>11</v>
      </c>
      <c r="B12" s="58" t="s">
        <v>61</v>
      </c>
      <c r="C12" s="59">
        <v>1.4007000000000001</v>
      </c>
      <c r="D12" s="58">
        <v>19.5</v>
      </c>
      <c r="E12" s="58">
        <f t="shared" si="0"/>
        <v>1.3998125000000001</v>
      </c>
      <c r="F12" s="59">
        <f t="shared" si="1"/>
        <v>1.7035910750000021</v>
      </c>
      <c r="G12" s="58" t="s">
        <v>117</v>
      </c>
    </row>
    <row r="13" spans="1:13">
      <c r="A13" s="58">
        <v>12</v>
      </c>
      <c r="B13" s="58" t="s">
        <v>61</v>
      </c>
      <c r="C13" s="59">
        <v>1.4000999999999999</v>
      </c>
      <c r="D13" s="58">
        <v>19.5</v>
      </c>
      <c r="E13" s="58">
        <f t="shared" si="0"/>
        <v>1.3992125</v>
      </c>
      <c r="F13" s="59">
        <f t="shared" si="1"/>
        <v>1.6970345150000004</v>
      </c>
      <c r="G13" s="58" t="s">
        <v>118</v>
      </c>
    </row>
    <row r="14" spans="1:13">
      <c r="A14" s="60">
        <v>13</v>
      </c>
      <c r="B14" s="60" t="s">
        <v>61</v>
      </c>
      <c r="C14" s="61">
        <v>1.3996999999999999</v>
      </c>
      <c r="D14" s="60">
        <v>19.5</v>
      </c>
      <c r="E14" s="60">
        <f t="shared" si="0"/>
        <v>1.3988125</v>
      </c>
      <c r="F14" s="61">
        <f t="shared" si="1"/>
        <v>1.6926634749999998</v>
      </c>
      <c r="G14" s="60" t="s">
        <v>119</v>
      </c>
    </row>
    <row r="15" spans="1:13">
      <c r="A15" s="60">
        <v>14</v>
      </c>
      <c r="B15" s="60" t="s">
        <v>61</v>
      </c>
      <c r="C15" s="61">
        <v>1.3991</v>
      </c>
      <c r="D15" s="60">
        <v>19.5</v>
      </c>
      <c r="E15" s="60">
        <f t="shared" si="0"/>
        <v>1.3982125000000001</v>
      </c>
      <c r="F15" s="61">
        <f t="shared" si="1"/>
        <v>1.6861069150000016</v>
      </c>
      <c r="G15" s="60" t="s">
        <v>120</v>
      </c>
    </row>
    <row r="16" spans="1:13">
      <c r="A16" s="60">
        <v>15</v>
      </c>
      <c r="B16" s="60" t="s">
        <v>61</v>
      </c>
      <c r="C16" s="61">
        <v>1.3985000000000001</v>
      </c>
      <c r="D16" s="60">
        <v>19.5</v>
      </c>
      <c r="E16" s="60">
        <f t="shared" si="0"/>
        <v>1.3976125000000001</v>
      </c>
      <c r="F16" s="61">
        <f t="shared" si="1"/>
        <v>1.6795503550000017</v>
      </c>
      <c r="G16" s="60" t="s">
        <v>121</v>
      </c>
    </row>
    <row r="17" spans="1:7">
      <c r="A17" s="60">
        <v>16</v>
      </c>
      <c r="B17" s="60" t="s">
        <v>61</v>
      </c>
      <c r="C17" s="61">
        <v>1.3979999999999999</v>
      </c>
      <c r="D17" s="60">
        <v>19.600000000000001</v>
      </c>
      <c r="E17" s="60">
        <f t="shared" si="0"/>
        <v>1.39713</v>
      </c>
      <c r="F17" s="61">
        <f t="shared" si="1"/>
        <v>1.6742777879999995</v>
      </c>
      <c r="G17" s="60" t="s">
        <v>122</v>
      </c>
    </row>
    <row r="18" spans="1:7">
      <c r="A18" s="60">
        <v>17</v>
      </c>
      <c r="B18" s="60" t="s">
        <v>61</v>
      </c>
      <c r="C18" s="61">
        <v>1.3975</v>
      </c>
      <c r="D18" s="60">
        <v>19.600000000000001</v>
      </c>
      <c r="E18" s="60">
        <f t="shared" si="0"/>
        <v>1.39663</v>
      </c>
      <c r="F18" s="61">
        <f t="shared" si="1"/>
        <v>1.6688139880000001</v>
      </c>
      <c r="G18" s="60" t="s">
        <v>123</v>
      </c>
    </row>
    <row r="19" spans="1:7">
      <c r="A19" s="60">
        <v>18</v>
      </c>
      <c r="B19" s="60" t="s">
        <v>61</v>
      </c>
      <c r="C19" s="61">
        <v>1.3969</v>
      </c>
      <c r="D19" s="60">
        <v>19.600000000000001</v>
      </c>
      <c r="E19" s="60">
        <f t="shared" si="0"/>
        <v>1.3960300000000001</v>
      </c>
      <c r="F19" s="61">
        <f t="shared" si="1"/>
        <v>1.662257428000002</v>
      </c>
      <c r="G19" s="60" t="s">
        <v>124</v>
      </c>
    </row>
    <row r="20" spans="1:7">
      <c r="A20" s="60">
        <v>19</v>
      </c>
      <c r="B20" s="60" t="s">
        <v>61</v>
      </c>
      <c r="C20" s="61">
        <v>1.3947000000000001</v>
      </c>
      <c r="D20" s="60">
        <v>19.600000000000001</v>
      </c>
      <c r="E20" s="60">
        <f t="shared" si="0"/>
        <v>1.3938300000000001</v>
      </c>
      <c r="F20" s="61">
        <f t="shared" si="1"/>
        <v>1.6382167080000016</v>
      </c>
      <c r="G20" s="60" t="s">
        <v>125</v>
      </c>
    </row>
    <row r="21" spans="1:7">
      <c r="A21" s="60">
        <v>20</v>
      </c>
      <c r="B21" s="60" t="s">
        <v>61</v>
      </c>
      <c r="C21" s="61">
        <v>1.3856999999999999</v>
      </c>
      <c r="D21" s="60">
        <v>19.600000000000001</v>
      </c>
      <c r="E21" s="60">
        <f t="shared" si="0"/>
        <v>1.38483</v>
      </c>
      <c r="F21" s="61">
        <f t="shared" si="1"/>
        <v>1.5398683080000009</v>
      </c>
      <c r="G21" s="60" t="s">
        <v>126</v>
      </c>
    </row>
    <row r="22" spans="1:7">
      <c r="A22" s="58">
        <v>21</v>
      </c>
      <c r="B22" s="58" t="s">
        <v>61</v>
      </c>
      <c r="C22" s="59">
        <v>1.3656999999999999</v>
      </c>
      <c r="D22" s="58">
        <v>19.7</v>
      </c>
      <c r="E22" s="58">
        <f t="shared" si="0"/>
        <v>1.3648475</v>
      </c>
      <c r="F22" s="59">
        <f t="shared" si="1"/>
        <v>1.3215075410000008</v>
      </c>
      <c r="G22" s="58" t="s">
        <v>127</v>
      </c>
    </row>
    <row r="23" spans="1:7">
      <c r="A23" s="58">
        <v>22</v>
      </c>
      <c r="B23" s="58" t="s">
        <v>61</v>
      </c>
      <c r="C23" s="59">
        <v>1.3458000000000001</v>
      </c>
      <c r="D23" s="58">
        <v>19.7</v>
      </c>
      <c r="E23" s="58">
        <f t="shared" si="0"/>
        <v>1.3449475000000002</v>
      </c>
      <c r="F23" s="59">
        <f t="shared" si="1"/>
        <v>1.1040483010000024</v>
      </c>
      <c r="G23" s="58" t="s">
        <v>128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3"/>
  <sheetViews>
    <sheetView topLeftCell="A2" workbookViewId="0">
      <selection activeCell="C31" sqref="C31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1.4054</v>
      </c>
      <c r="D2" s="58">
        <v>19.7</v>
      </c>
      <c r="E2" s="58">
        <f t="shared" ref="E2:E23" si="0">((20-D2)*-0.000175+C2)-0.0008</f>
        <v>1.4045475000000001</v>
      </c>
      <c r="F2" s="59">
        <f t="shared" ref="F2:F23" si="1">E2*10.9276-13.593</f>
        <v>1.7553332610000005</v>
      </c>
      <c r="G2" s="58" t="s">
        <v>129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1.4053</v>
      </c>
      <c r="D3" s="58">
        <v>19.7</v>
      </c>
      <c r="E3" s="58">
        <f t="shared" si="0"/>
        <v>1.4044475000000001</v>
      </c>
      <c r="F3" s="59">
        <f t="shared" si="1"/>
        <v>1.754240501</v>
      </c>
      <c r="G3" s="58" t="s">
        <v>130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1.4049</v>
      </c>
      <c r="D4" s="58">
        <v>19.7</v>
      </c>
      <c r="E4" s="58">
        <f t="shared" si="0"/>
        <v>1.4040475000000001</v>
      </c>
      <c r="F4" s="59">
        <f t="shared" si="1"/>
        <v>1.7498694610000012</v>
      </c>
      <c r="G4" s="58" t="s">
        <v>131</v>
      </c>
      <c r="I4" t="s">
        <v>156</v>
      </c>
    </row>
    <row r="5" spans="1:13">
      <c r="A5" s="58">
        <v>4</v>
      </c>
      <c r="B5" s="58" t="s">
        <v>61</v>
      </c>
      <c r="C5" s="59">
        <v>1.4045000000000001</v>
      </c>
      <c r="D5" s="58">
        <v>19.8</v>
      </c>
      <c r="E5" s="58">
        <f t="shared" si="0"/>
        <v>1.4036650000000002</v>
      </c>
      <c r="F5" s="59">
        <f t="shared" si="1"/>
        <v>1.7456896540000013</v>
      </c>
      <c r="G5" s="58" t="s">
        <v>132</v>
      </c>
      <c r="I5" t="s">
        <v>157</v>
      </c>
    </row>
    <row r="6" spans="1:13">
      <c r="A6" s="58">
        <v>5</v>
      </c>
      <c r="B6" s="58" t="s">
        <v>61</v>
      </c>
      <c r="C6" s="59">
        <v>1.4038999999999999</v>
      </c>
      <c r="D6" s="58">
        <v>19.8</v>
      </c>
      <c r="E6" s="58">
        <f t="shared" si="0"/>
        <v>1.403065</v>
      </c>
      <c r="F6" s="59">
        <f t="shared" si="1"/>
        <v>1.7391330939999996</v>
      </c>
      <c r="G6" s="58" t="s">
        <v>133</v>
      </c>
    </row>
    <row r="7" spans="1:13">
      <c r="A7" s="58">
        <v>6</v>
      </c>
      <c r="B7" s="58" t="s">
        <v>61</v>
      </c>
      <c r="C7" s="59">
        <v>1.4033</v>
      </c>
      <c r="D7" s="58">
        <v>19.8</v>
      </c>
      <c r="E7" s="58">
        <f t="shared" si="0"/>
        <v>1.4024650000000001</v>
      </c>
      <c r="F7" s="59">
        <f t="shared" si="1"/>
        <v>1.7325765340000014</v>
      </c>
      <c r="G7" s="58" t="s">
        <v>134</v>
      </c>
    </row>
    <row r="8" spans="1:13">
      <c r="A8" s="60">
        <v>7</v>
      </c>
      <c r="B8" s="60" t="s">
        <v>61</v>
      </c>
      <c r="C8" s="61">
        <v>1.4028</v>
      </c>
      <c r="D8" s="60">
        <v>19.8</v>
      </c>
      <c r="E8" s="60">
        <f t="shared" si="0"/>
        <v>1.4019650000000001</v>
      </c>
      <c r="F8" s="61">
        <f t="shared" si="1"/>
        <v>1.7271127340000021</v>
      </c>
      <c r="G8" s="60" t="s">
        <v>135</v>
      </c>
    </row>
    <row r="9" spans="1:13">
      <c r="A9" s="60">
        <v>8</v>
      </c>
      <c r="B9" s="60" t="s">
        <v>61</v>
      </c>
      <c r="C9" s="61">
        <v>1.4021999999999999</v>
      </c>
      <c r="D9" s="60">
        <v>19.8</v>
      </c>
      <c r="E9" s="60">
        <f t="shared" si="0"/>
        <v>1.401365</v>
      </c>
      <c r="F9" s="61">
        <f t="shared" si="1"/>
        <v>1.7205561740000004</v>
      </c>
      <c r="G9" s="60" t="s">
        <v>136</v>
      </c>
    </row>
    <row r="10" spans="1:13">
      <c r="A10" s="60">
        <v>9</v>
      </c>
      <c r="B10" s="60" t="s">
        <v>61</v>
      </c>
      <c r="C10" s="61">
        <v>1.4016999999999999</v>
      </c>
      <c r="D10" s="60">
        <v>19.899999999999999</v>
      </c>
      <c r="E10" s="60">
        <f t="shared" si="0"/>
        <v>1.4008825</v>
      </c>
      <c r="F10" s="61">
        <f t="shared" si="1"/>
        <v>1.7152836069999999</v>
      </c>
      <c r="G10" s="60" t="s">
        <v>137</v>
      </c>
    </row>
    <row r="11" spans="1:13">
      <c r="A11" s="60">
        <v>10</v>
      </c>
      <c r="B11" s="60" t="s">
        <v>61</v>
      </c>
      <c r="C11" s="61">
        <v>1.4011</v>
      </c>
      <c r="D11" s="60">
        <v>19.899999999999999</v>
      </c>
      <c r="E11" s="60">
        <f t="shared" si="0"/>
        <v>1.4002825000000001</v>
      </c>
      <c r="F11" s="61">
        <f t="shared" si="1"/>
        <v>1.7087270470000018</v>
      </c>
      <c r="G11" s="60" t="s">
        <v>158</v>
      </c>
    </row>
    <row r="12" spans="1:13">
      <c r="A12" s="60">
        <v>11</v>
      </c>
      <c r="B12" s="60" t="s">
        <v>61</v>
      </c>
      <c r="C12" s="61">
        <v>1.4006000000000001</v>
      </c>
      <c r="D12" s="60">
        <v>19.899999999999999</v>
      </c>
      <c r="E12" s="60">
        <f t="shared" si="0"/>
        <v>1.3997825000000002</v>
      </c>
      <c r="F12" s="61">
        <f t="shared" si="1"/>
        <v>1.7032632470000024</v>
      </c>
      <c r="G12" s="60" t="s">
        <v>159</v>
      </c>
    </row>
    <row r="13" spans="1:13">
      <c r="A13" s="60">
        <v>12</v>
      </c>
      <c r="B13" s="60" t="s">
        <v>61</v>
      </c>
      <c r="C13" s="61">
        <v>1.4</v>
      </c>
      <c r="D13" s="60">
        <v>19.899999999999999</v>
      </c>
      <c r="E13" s="60">
        <f t="shared" si="0"/>
        <v>1.3991825</v>
      </c>
      <c r="F13" s="61">
        <f t="shared" si="1"/>
        <v>1.6967066870000007</v>
      </c>
      <c r="G13" s="60" t="s">
        <v>160</v>
      </c>
    </row>
    <row r="14" spans="1:13">
      <c r="A14" s="60">
        <v>13</v>
      </c>
      <c r="B14" s="60" t="s">
        <v>61</v>
      </c>
      <c r="C14" s="61">
        <v>1.3995</v>
      </c>
      <c r="D14" s="60">
        <v>20</v>
      </c>
      <c r="E14" s="60">
        <f t="shared" si="0"/>
        <v>1.3987000000000001</v>
      </c>
      <c r="F14" s="61">
        <f t="shared" si="1"/>
        <v>1.6914341200000003</v>
      </c>
      <c r="G14" s="60" t="s">
        <v>161</v>
      </c>
    </row>
    <row r="15" spans="1:13">
      <c r="A15" s="60">
        <v>14</v>
      </c>
      <c r="B15" s="60" t="s">
        <v>61</v>
      </c>
      <c r="C15" s="61">
        <v>1.399</v>
      </c>
      <c r="D15" s="60">
        <v>20</v>
      </c>
      <c r="E15" s="60">
        <f t="shared" si="0"/>
        <v>1.3982000000000001</v>
      </c>
      <c r="F15" s="61">
        <f t="shared" si="1"/>
        <v>1.6859703200000009</v>
      </c>
      <c r="G15" s="60" t="s">
        <v>162</v>
      </c>
    </row>
    <row r="16" spans="1:13">
      <c r="A16" s="58">
        <v>15</v>
      </c>
      <c r="B16" s="58" t="s">
        <v>61</v>
      </c>
      <c r="C16" s="59">
        <v>1.3985000000000001</v>
      </c>
      <c r="D16" s="58">
        <v>20</v>
      </c>
      <c r="E16" s="58">
        <f t="shared" si="0"/>
        <v>1.3977000000000002</v>
      </c>
      <c r="F16" s="59">
        <f t="shared" si="1"/>
        <v>1.6805065200000016</v>
      </c>
      <c r="G16" s="58" t="s">
        <v>175</v>
      </c>
    </row>
    <row r="17" spans="1:7">
      <c r="A17" s="58">
        <v>16</v>
      </c>
      <c r="B17" s="58" t="s">
        <v>61</v>
      </c>
      <c r="C17" s="59">
        <v>1.3978999999999999</v>
      </c>
      <c r="D17" s="58">
        <v>20</v>
      </c>
      <c r="E17" s="58">
        <f t="shared" si="0"/>
        <v>1.3971</v>
      </c>
      <c r="F17" s="59">
        <f t="shared" si="1"/>
        <v>1.6739499599999998</v>
      </c>
      <c r="G17" s="58" t="s">
        <v>176</v>
      </c>
    </row>
    <row r="18" spans="1:7">
      <c r="A18" s="58">
        <v>17</v>
      </c>
      <c r="B18" s="58" t="s">
        <v>61</v>
      </c>
      <c r="C18" s="59">
        <v>1.3974</v>
      </c>
      <c r="D18" s="58">
        <v>20</v>
      </c>
      <c r="E18" s="58">
        <f t="shared" si="0"/>
        <v>1.3966000000000001</v>
      </c>
      <c r="F18" s="59">
        <f t="shared" si="1"/>
        <v>1.6684861600000005</v>
      </c>
      <c r="G18" s="58" t="s">
        <v>177</v>
      </c>
    </row>
    <row r="19" spans="1:7">
      <c r="A19" s="58">
        <v>18</v>
      </c>
      <c r="B19" s="58" t="s">
        <v>61</v>
      </c>
      <c r="C19" s="59">
        <v>1.3967000000000001</v>
      </c>
      <c r="D19" s="58">
        <v>20</v>
      </c>
      <c r="E19" s="58">
        <f t="shared" si="0"/>
        <v>1.3959000000000001</v>
      </c>
      <c r="F19" s="59">
        <f t="shared" si="1"/>
        <v>1.6608368400000018</v>
      </c>
      <c r="G19" s="58" t="s">
        <v>178</v>
      </c>
    </row>
    <row r="20" spans="1:7">
      <c r="A20" s="58">
        <v>19</v>
      </c>
      <c r="B20" s="58" t="s">
        <v>61</v>
      </c>
      <c r="C20" s="59">
        <v>1.3944000000000001</v>
      </c>
      <c r="D20" s="58">
        <v>20.100000000000001</v>
      </c>
      <c r="E20" s="58">
        <f t="shared" si="0"/>
        <v>1.3936175000000002</v>
      </c>
      <c r="F20" s="59">
        <f t="shared" si="1"/>
        <v>1.6358945930000015</v>
      </c>
      <c r="G20" s="58" t="s">
        <v>179</v>
      </c>
    </row>
    <row r="21" spans="1:7">
      <c r="A21" s="58">
        <v>20</v>
      </c>
      <c r="B21" s="58" t="s">
        <v>61</v>
      </c>
      <c r="C21" s="59">
        <v>1.3843000000000001</v>
      </c>
      <c r="D21" s="58">
        <v>20.100000000000001</v>
      </c>
      <c r="E21" s="58">
        <f t="shared" si="0"/>
        <v>1.3835175000000002</v>
      </c>
      <c r="F21" s="59">
        <f t="shared" si="1"/>
        <v>1.5255258330000014</v>
      </c>
      <c r="G21" s="58" t="s">
        <v>180</v>
      </c>
    </row>
    <row r="22" spans="1:7">
      <c r="A22" s="58">
        <v>21</v>
      </c>
      <c r="B22" s="58" t="s">
        <v>61</v>
      </c>
      <c r="C22" s="59">
        <v>1.3643000000000001</v>
      </c>
      <c r="D22" s="58">
        <v>20.100000000000001</v>
      </c>
      <c r="E22" s="58">
        <f t="shared" si="0"/>
        <v>1.3635175000000002</v>
      </c>
      <c r="F22" s="59">
        <f t="shared" si="1"/>
        <v>1.3069738330000025</v>
      </c>
      <c r="G22" s="58" t="s">
        <v>181</v>
      </c>
    </row>
    <row r="23" spans="1:7">
      <c r="A23" s="58">
        <v>22</v>
      </c>
      <c r="B23" s="58" t="s">
        <v>61</v>
      </c>
      <c r="C23" s="59">
        <v>1.3445</v>
      </c>
      <c r="D23" s="58">
        <v>20.100000000000001</v>
      </c>
      <c r="E23" s="58">
        <f t="shared" si="0"/>
        <v>1.3437175000000001</v>
      </c>
      <c r="F23" s="59">
        <f t="shared" si="1"/>
        <v>1.0906073530000011</v>
      </c>
      <c r="G23" s="58" t="s">
        <v>182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23"/>
  <sheetViews>
    <sheetView topLeftCell="A3" workbookViewId="0">
      <selection activeCell="J13" sqref="J1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>
        <v>1.4051</v>
      </c>
      <c r="D2" s="58">
        <v>20.2</v>
      </c>
      <c r="E2" s="58">
        <f t="shared" ref="E2:E23" si="0">((20-D2)*-0.000175+C2)-0.0008</f>
        <v>1.4043350000000001</v>
      </c>
      <c r="F2" s="59">
        <f t="shared" ref="F2:F23" si="1">E2*10.9276-13.593</f>
        <v>1.7530111460000004</v>
      </c>
      <c r="G2" s="58" t="s">
        <v>63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>
        <v>1.4051</v>
      </c>
      <c r="D3" s="58">
        <v>20.2</v>
      </c>
      <c r="E3" s="58">
        <f t="shared" si="0"/>
        <v>1.4043350000000001</v>
      </c>
      <c r="F3" s="59">
        <f t="shared" si="1"/>
        <v>1.7530111460000004</v>
      </c>
      <c r="G3" s="58" t="s">
        <v>64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58">
        <v>3</v>
      </c>
      <c r="B4" s="58" t="s">
        <v>61</v>
      </c>
      <c r="C4" s="59">
        <v>1.4047000000000001</v>
      </c>
      <c r="D4" s="58">
        <v>20.3</v>
      </c>
      <c r="E4" s="58">
        <f t="shared" si="0"/>
        <v>1.4039525000000002</v>
      </c>
      <c r="F4" s="59">
        <f t="shared" si="1"/>
        <v>1.7488313390000023</v>
      </c>
      <c r="G4" s="58" t="s">
        <v>65</v>
      </c>
      <c r="I4" t="s">
        <v>156</v>
      </c>
    </row>
    <row r="5" spans="1:13">
      <c r="A5" s="58">
        <v>4</v>
      </c>
      <c r="B5" s="58" t="s">
        <v>61</v>
      </c>
      <c r="C5" s="59">
        <v>1.4041999999999999</v>
      </c>
      <c r="D5" s="58">
        <v>20.3</v>
      </c>
      <c r="E5" s="58">
        <f t="shared" si="0"/>
        <v>1.4034525</v>
      </c>
      <c r="F5" s="59">
        <f t="shared" si="1"/>
        <v>1.7433675389999994</v>
      </c>
      <c r="G5" s="58" t="s">
        <v>66</v>
      </c>
      <c r="I5" t="s">
        <v>157</v>
      </c>
    </row>
    <row r="6" spans="1:13">
      <c r="A6" s="58">
        <v>5</v>
      </c>
      <c r="B6" s="58" t="s">
        <v>61</v>
      </c>
      <c r="C6" s="59">
        <v>1.4036999999999999</v>
      </c>
      <c r="D6" s="58">
        <v>20.3</v>
      </c>
      <c r="E6" s="58">
        <f t="shared" si="0"/>
        <v>1.4029525</v>
      </c>
      <c r="F6" s="59">
        <f t="shared" si="1"/>
        <v>1.7379037390000001</v>
      </c>
      <c r="G6" s="58" t="s">
        <v>67</v>
      </c>
    </row>
    <row r="7" spans="1:13">
      <c r="A7" s="58">
        <v>6</v>
      </c>
      <c r="B7" s="58" t="s">
        <v>61</v>
      </c>
      <c r="C7" s="59">
        <v>1.4031</v>
      </c>
      <c r="D7" s="58">
        <v>20.3</v>
      </c>
      <c r="E7" s="58">
        <f t="shared" si="0"/>
        <v>1.4023525000000001</v>
      </c>
      <c r="F7" s="59">
        <f t="shared" si="1"/>
        <v>1.7313471790000019</v>
      </c>
      <c r="G7" s="58" t="s">
        <v>68</v>
      </c>
    </row>
    <row r="8" spans="1:13">
      <c r="A8" s="58">
        <v>7</v>
      </c>
      <c r="B8" s="58" t="s">
        <v>61</v>
      </c>
      <c r="C8" s="59">
        <v>1.4026000000000001</v>
      </c>
      <c r="D8" s="58">
        <v>20.3</v>
      </c>
      <c r="E8" s="58">
        <f t="shared" si="0"/>
        <v>1.4018525000000002</v>
      </c>
      <c r="F8" s="59">
        <f t="shared" si="1"/>
        <v>1.7258833790000025</v>
      </c>
      <c r="G8" s="58" t="s">
        <v>69</v>
      </c>
    </row>
    <row r="9" spans="1:13">
      <c r="A9" s="58">
        <v>8</v>
      </c>
      <c r="B9" s="58" t="s">
        <v>61</v>
      </c>
      <c r="C9" s="59">
        <v>1.4019999999999999</v>
      </c>
      <c r="D9" s="58">
        <v>20.3</v>
      </c>
      <c r="E9" s="58">
        <f t="shared" si="0"/>
        <v>1.4012525</v>
      </c>
      <c r="F9" s="59">
        <f t="shared" si="1"/>
        <v>1.7193268190000008</v>
      </c>
      <c r="G9" s="58" t="s">
        <v>70</v>
      </c>
    </row>
    <row r="10" spans="1:13">
      <c r="A10" s="43">
        <v>9</v>
      </c>
      <c r="B10" s="43" t="s">
        <v>61</v>
      </c>
      <c r="C10" s="44">
        <v>1.4015</v>
      </c>
      <c r="D10" s="43">
        <v>20.3</v>
      </c>
      <c r="E10" s="43">
        <f t="shared" si="0"/>
        <v>1.4007525000000001</v>
      </c>
      <c r="F10" s="44">
        <f t="shared" si="1"/>
        <v>1.7138630190000015</v>
      </c>
      <c r="G10" s="43" t="s">
        <v>71</v>
      </c>
    </row>
    <row r="11" spans="1:13">
      <c r="A11" s="43">
        <v>10</v>
      </c>
      <c r="B11" s="43" t="s">
        <v>61</v>
      </c>
      <c r="C11" s="44">
        <v>1.4009</v>
      </c>
      <c r="D11" s="43">
        <v>20.399999999999999</v>
      </c>
      <c r="E11" s="43">
        <f t="shared" si="0"/>
        <v>1.4001700000000001</v>
      </c>
      <c r="F11" s="44">
        <f t="shared" si="1"/>
        <v>1.7074976920000022</v>
      </c>
      <c r="G11" s="43" t="s">
        <v>72</v>
      </c>
    </row>
    <row r="12" spans="1:13">
      <c r="A12" s="43">
        <v>11</v>
      </c>
      <c r="B12" s="43" t="s">
        <v>61</v>
      </c>
      <c r="C12" s="44">
        <v>1.4004000000000001</v>
      </c>
      <c r="D12" s="43">
        <v>20.399999999999999</v>
      </c>
      <c r="E12" s="43">
        <f t="shared" si="0"/>
        <v>1.3996700000000002</v>
      </c>
      <c r="F12" s="44">
        <f t="shared" si="1"/>
        <v>1.7020338920000029</v>
      </c>
      <c r="G12" s="43" t="s">
        <v>73</v>
      </c>
    </row>
    <row r="13" spans="1:13">
      <c r="A13" s="43">
        <v>12</v>
      </c>
      <c r="B13" s="43" t="s">
        <v>61</v>
      </c>
      <c r="C13" s="44">
        <v>1.3998999999999999</v>
      </c>
      <c r="D13" s="43">
        <v>20.399999999999999</v>
      </c>
      <c r="E13" s="43">
        <f t="shared" si="0"/>
        <v>1.39917</v>
      </c>
      <c r="F13" s="44">
        <f t="shared" si="1"/>
        <v>1.696570092</v>
      </c>
      <c r="G13" s="43" t="s">
        <v>74</v>
      </c>
    </row>
    <row r="14" spans="1:13">
      <c r="A14" s="43">
        <v>13</v>
      </c>
      <c r="B14" s="43" t="s">
        <v>61</v>
      </c>
      <c r="C14" s="44">
        <v>1.3993</v>
      </c>
      <c r="D14" s="43">
        <v>20.399999999999999</v>
      </c>
      <c r="E14" s="43">
        <f t="shared" si="0"/>
        <v>1.3985700000000001</v>
      </c>
      <c r="F14" s="44">
        <f t="shared" si="1"/>
        <v>1.6900135320000018</v>
      </c>
      <c r="G14" s="43" t="s">
        <v>75</v>
      </c>
    </row>
    <row r="15" spans="1:13">
      <c r="A15" s="43">
        <v>14</v>
      </c>
      <c r="B15" s="43" t="s">
        <v>61</v>
      </c>
      <c r="C15" s="44">
        <v>1.3988</v>
      </c>
      <c r="D15" s="43">
        <v>20.399999999999999</v>
      </c>
      <c r="E15" s="43">
        <f t="shared" si="0"/>
        <v>1.3980700000000001</v>
      </c>
      <c r="F15" s="44">
        <f t="shared" si="1"/>
        <v>1.6845497320000025</v>
      </c>
      <c r="G15" s="43" t="s">
        <v>76</v>
      </c>
    </row>
    <row r="16" spans="1:13">
      <c r="A16" s="43">
        <v>15</v>
      </c>
      <c r="B16" s="43" t="s">
        <v>61</v>
      </c>
      <c r="C16" s="44">
        <v>1.3983000000000001</v>
      </c>
      <c r="D16" s="43">
        <v>20.399999999999999</v>
      </c>
      <c r="E16" s="43">
        <f t="shared" si="0"/>
        <v>1.3975700000000002</v>
      </c>
      <c r="F16" s="44">
        <f t="shared" si="1"/>
        <v>1.6790859320000013</v>
      </c>
      <c r="G16" s="43" t="s">
        <v>77</v>
      </c>
    </row>
    <row r="17" spans="1:7">
      <c r="A17" s="43">
        <v>16</v>
      </c>
      <c r="B17" s="43" t="s">
        <v>61</v>
      </c>
      <c r="C17" s="44">
        <v>1.3977999999999999</v>
      </c>
      <c r="D17" s="43">
        <v>20.399999999999999</v>
      </c>
      <c r="E17" s="43">
        <f t="shared" si="0"/>
        <v>1.39707</v>
      </c>
      <c r="F17" s="44">
        <f t="shared" si="1"/>
        <v>1.6736221320000002</v>
      </c>
      <c r="G17" s="43" t="s">
        <v>78</v>
      </c>
    </row>
    <row r="18" spans="1:7">
      <c r="A18" s="58">
        <v>17</v>
      </c>
      <c r="B18" s="58" t="s">
        <v>61</v>
      </c>
      <c r="C18" s="59">
        <v>1.3973</v>
      </c>
      <c r="D18" s="58">
        <v>20.399999999999999</v>
      </c>
      <c r="E18" s="58">
        <f t="shared" si="0"/>
        <v>1.3965700000000001</v>
      </c>
      <c r="F18" s="59">
        <f t="shared" si="1"/>
        <v>1.6681583320000009</v>
      </c>
      <c r="G18" s="58" t="s">
        <v>79</v>
      </c>
    </row>
    <row r="19" spans="1:7">
      <c r="A19" s="58">
        <v>18</v>
      </c>
      <c r="B19" s="58" t="s">
        <v>61</v>
      </c>
      <c r="C19" s="59">
        <v>1.3963000000000001</v>
      </c>
      <c r="D19" s="58">
        <v>20.399999999999999</v>
      </c>
      <c r="E19" s="58">
        <f t="shared" si="0"/>
        <v>1.3955700000000002</v>
      </c>
      <c r="F19" s="59">
        <f t="shared" si="1"/>
        <v>1.6572307320000021</v>
      </c>
      <c r="G19" s="58" t="s">
        <v>80</v>
      </c>
    </row>
    <row r="20" spans="1:7">
      <c r="A20" s="58">
        <v>19</v>
      </c>
      <c r="B20" s="58" t="s">
        <v>61</v>
      </c>
      <c r="C20" s="59">
        <v>1.3924000000000001</v>
      </c>
      <c r="D20" s="58">
        <v>20.399999999999999</v>
      </c>
      <c r="E20" s="58">
        <f t="shared" si="0"/>
        <v>1.3916700000000002</v>
      </c>
      <c r="F20" s="59">
        <f t="shared" si="1"/>
        <v>1.6146130920000026</v>
      </c>
      <c r="G20" s="58" t="s">
        <v>81</v>
      </c>
    </row>
    <row r="21" spans="1:7">
      <c r="A21" s="58">
        <v>20</v>
      </c>
      <c r="B21" s="58" t="s">
        <v>61</v>
      </c>
      <c r="C21" s="59">
        <v>1.3805000000000001</v>
      </c>
      <c r="D21" s="58">
        <v>20.5</v>
      </c>
      <c r="E21" s="58">
        <f t="shared" si="0"/>
        <v>1.3797875000000002</v>
      </c>
      <c r="F21" s="59">
        <f t="shared" si="1"/>
        <v>1.4847658850000016</v>
      </c>
      <c r="G21" s="58" t="s">
        <v>82</v>
      </c>
    </row>
    <row r="22" spans="1:7">
      <c r="A22" s="58">
        <v>21</v>
      </c>
      <c r="B22" s="58" t="s">
        <v>61</v>
      </c>
      <c r="C22" s="59">
        <v>1.3616999999999999</v>
      </c>
      <c r="D22" s="58">
        <v>20.5</v>
      </c>
      <c r="E22" s="58">
        <f t="shared" si="0"/>
        <v>1.3609875</v>
      </c>
      <c r="F22" s="59">
        <f t="shared" si="1"/>
        <v>1.2793270050000007</v>
      </c>
      <c r="G22" s="58" t="s">
        <v>83</v>
      </c>
    </row>
    <row r="23" spans="1:7">
      <c r="A23" s="58">
        <v>22</v>
      </c>
      <c r="B23" s="58" t="s">
        <v>61</v>
      </c>
      <c r="C23" s="59">
        <v>1.3454999999999999</v>
      </c>
      <c r="D23" s="58">
        <v>20.5</v>
      </c>
      <c r="E23" s="58">
        <f t="shared" si="0"/>
        <v>1.3447875</v>
      </c>
      <c r="F23" s="59">
        <f t="shared" si="1"/>
        <v>1.1022998850000008</v>
      </c>
      <c r="G23" s="58" t="s">
        <v>84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3"/>
  <sheetViews>
    <sheetView workbookViewId="0">
      <selection activeCell="A2" sqref="A2:G23"/>
    </sheetView>
  </sheetViews>
  <sheetFormatPr defaultColWidth="11.36328125" defaultRowHeight="12.5"/>
  <sheetData>
    <row r="1" spans="1:13" ht="26">
      <c r="A1" s="32" t="s">
        <v>55</v>
      </c>
      <c r="B1" s="32" t="s">
        <v>56</v>
      </c>
      <c r="C1" s="33" t="s">
        <v>57</v>
      </c>
      <c r="D1" s="34" t="s">
        <v>58</v>
      </c>
      <c r="E1" s="35" t="s">
        <v>59</v>
      </c>
      <c r="F1" s="36" t="s">
        <v>60</v>
      </c>
      <c r="G1" s="36" t="s">
        <v>62</v>
      </c>
    </row>
    <row r="2" spans="1:13">
      <c r="A2" s="58">
        <v>1</v>
      </c>
      <c r="B2" s="58" t="s">
        <v>61</v>
      </c>
      <c r="C2" s="59"/>
      <c r="D2" s="58"/>
      <c r="E2" s="58">
        <f t="shared" ref="E2:E23" si="0">((20-D2)*-0.000175+C2)-0.0008</f>
        <v>-4.3E-3</v>
      </c>
      <c r="F2" s="59">
        <f t="shared" ref="F2:F23" si="1">E2*10.9276-13.593</f>
        <v>-13.63998868</v>
      </c>
      <c r="G2" s="58" t="s">
        <v>85</v>
      </c>
      <c r="I2" t="s">
        <v>154</v>
      </c>
      <c r="L2">
        <f>((20-K2)*-0.000175+J2)-0.0008</f>
        <v>-4.3E-3</v>
      </c>
      <c r="M2" s="37">
        <f>L2*10.9276-13.593</f>
        <v>-13.63998868</v>
      </c>
    </row>
    <row r="3" spans="1:13">
      <c r="A3" s="58">
        <v>2</v>
      </c>
      <c r="B3" s="58" t="s">
        <v>61</v>
      </c>
      <c r="C3" s="59"/>
      <c r="D3" s="58"/>
      <c r="E3" s="58">
        <f t="shared" si="0"/>
        <v>-4.3E-3</v>
      </c>
      <c r="F3" s="59">
        <f t="shared" si="1"/>
        <v>-13.63998868</v>
      </c>
      <c r="G3" s="58" t="s">
        <v>86</v>
      </c>
      <c r="I3" t="s">
        <v>155</v>
      </c>
      <c r="L3">
        <f>((20-K3)*-0.000175+J3)-0.0008</f>
        <v>-4.3E-3</v>
      </c>
      <c r="M3" s="37">
        <f>L3*10.9276-13.593</f>
        <v>-13.63998868</v>
      </c>
    </row>
    <row r="4" spans="1:13">
      <c r="A4" s="60">
        <v>3</v>
      </c>
      <c r="B4" s="60" t="s">
        <v>61</v>
      </c>
      <c r="C4" s="61"/>
      <c r="D4" s="60"/>
      <c r="E4" s="60">
        <f t="shared" si="0"/>
        <v>-4.3E-3</v>
      </c>
      <c r="F4" s="61">
        <f t="shared" si="1"/>
        <v>-13.63998868</v>
      </c>
      <c r="G4" s="60" t="s">
        <v>87</v>
      </c>
      <c r="I4" t="s">
        <v>156</v>
      </c>
    </row>
    <row r="5" spans="1:13">
      <c r="A5" s="60">
        <v>4</v>
      </c>
      <c r="B5" s="60" t="s">
        <v>61</v>
      </c>
      <c r="C5" s="61"/>
      <c r="D5" s="60"/>
      <c r="E5" s="60">
        <f t="shared" si="0"/>
        <v>-4.3E-3</v>
      </c>
      <c r="F5" s="61">
        <f t="shared" si="1"/>
        <v>-13.63998868</v>
      </c>
      <c r="G5" s="60" t="s">
        <v>88</v>
      </c>
      <c r="I5" t="s">
        <v>157</v>
      </c>
    </row>
    <row r="6" spans="1:13">
      <c r="A6" s="60">
        <v>5</v>
      </c>
      <c r="B6" s="60" t="s">
        <v>61</v>
      </c>
      <c r="C6" s="61"/>
      <c r="D6" s="60"/>
      <c r="E6" s="60">
        <f t="shared" si="0"/>
        <v>-4.3E-3</v>
      </c>
      <c r="F6" s="61">
        <f t="shared" si="1"/>
        <v>-13.63998868</v>
      </c>
      <c r="G6" s="60" t="s">
        <v>89</v>
      </c>
    </row>
    <row r="7" spans="1:13">
      <c r="A7" s="60">
        <v>6</v>
      </c>
      <c r="B7" s="60" t="s">
        <v>61</v>
      </c>
      <c r="C7" s="61"/>
      <c r="D7" s="60"/>
      <c r="E7" s="60">
        <f t="shared" si="0"/>
        <v>-4.3E-3</v>
      </c>
      <c r="F7" s="61">
        <f t="shared" si="1"/>
        <v>-13.63998868</v>
      </c>
      <c r="G7" s="60" t="s">
        <v>90</v>
      </c>
    </row>
    <row r="8" spans="1:13">
      <c r="A8" s="60">
        <v>7</v>
      </c>
      <c r="B8" s="60" t="s">
        <v>61</v>
      </c>
      <c r="C8" s="61"/>
      <c r="D8" s="60"/>
      <c r="E8" s="60">
        <f t="shared" si="0"/>
        <v>-4.3E-3</v>
      </c>
      <c r="F8" s="61">
        <f t="shared" si="1"/>
        <v>-13.63998868</v>
      </c>
      <c r="G8" s="60" t="s">
        <v>91</v>
      </c>
    </row>
    <row r="9" spans="1:13">
      <c r="A9" s="60">
        <v>8</v>
      </c>
      <c r="B9" s="60" t="s">
        <v>61</v>
      </c>
      <c r="C9" s="61"/>
      <c r="D9" s="60"/>
      <c r="E9" s="60">
        <f t="shared" si="0"/>
        <v>-4.3E-3</v>
      </c>
      <c r="F9" s="61">
        <f t="shared" si="1"/>
        <v>-13.63998868</v>
      </c>
      <c r="G9" s="60" t="s">
        <v>92</v>
      </c>
    </row>
    <row r="10" spans="1:13">
      <c r="A10" s="60">
        <v>9</v>
      </c>
      <c r="B10" s="60" t="s">
        <v>61</v>
      </c>
      <c r="C10" s="61"/>
      <c r="D10" s="60"/>
      <c r="E10" s="60">
        <f t="shared" si="0"/>
        <v>-4.3E-3</v>
      </c>
      <c r="F10" s="61">
        <f t="shared" si="1"/>
        <v>-13.63998868</v>
      </c>
      <c r="G10" s="60" t="s">
        <v>93</v>
      </c>
    </row>
    <row r="11" spans="1:13">
      <c r="A11" s="60">
        <v>10</v>
      </c>
      <c r="B11" s="60" t="s">
        <v>61</v>
      </c>
      <c r="C11" s="61"/>
      <c r="D11" s="60"/>
      <c r="E11" s="60">
        <f t="shared" si="0"/>
        <v>-4.3E-3</v>
      </c>
      <c r="F11" s="61">
        <f t="shared" si="1"/>
        <v>-13.63998868</v>
      </c>
      <c r="G11" s="60" t="s">
        <v>94</v>
      </c>
    </row>
    <row r="12" spans="1:13">
      <c r="A12" s="58">
        <v>11</v>
      </c>
      <c r="B12" s="58" t="s">
        <v>61</v>
      </c>
      <c r="C12" s="59"/>
      <c r="D12" s="58"/>
      <c r="E12" s="58">
        <f t="shared" si="0"/>
        <v>-4.3E-3</v>
      </c>
      <c r="F12" s="59">
        <f t="shared" si="1"/>
        <v>-13.63998868</v>
      </c>
      <c r="G12" s="58" t="s">
        <v>95</v>
      </c>
    </row>
    <row r="13" spans="1:13">
      <c r="A13" s="58">
        <v>12</v>
      </c>
      <c r="B13" s="58" t="s">
        <v>61</v>
      </c>
      <c r="C13" s="59"/>
      <c r="D13" s="58"/>
      <c r="E13" s="58">
        <f t="shared" si="0"/>
        <v>-4.3E-3</v>
      </c>
      <c r="F13" s="59">
        <f t="shared" si="1"/>
        <v>-13.63998868</v>
      </c>
      <c r="G13" s="58" t="s">
        <v>96</v>
      </c>
    </row>
    <row r="14" spans="1:13">
      <c r="A14" s="58">
        <v>13</v>
      </c>
      <c r="B14" s="58" t="s">
        <v>61</v>
      </c>
      <c r="C14" s="59"/>
      <c r="D14" s="58"/>
      <c r="E14" s="58">
        <f t="shared" si="0"/>
        <v>-4.3E-3</v>
      </c>
      <c r="F14" s="59">
        <f t="shared" si="1"/>
        <v>-13.63998868</v>
      </c>
      <c r="G14" s="58" t="s">
        <v>97</v>
      </c>
    </row>
    <row r="15" spans="1:13">
      <c r="A15" s="58">
        <v>14</v>
      </c>
      <c r="B15" s="58" t="s">
        <v>61</v>
      </c>
      <c r="C15" s="59"/>
      <c r="D15" s="58"/>
      <c r="E15" s="58">
        <f t="shared" si="0"/>
        <v>-4.3E-3</v>
      </c>
      <c r="F15" s="59">
        <f t="shared" si="1"/>
        <v>-13.63998868</v>
      </c>
      <c r="G15" s="58" t="s">
        <v>98</v>
      </c>
    </row>
    <row r="16" spans="1:13">
      <c r="A16" s="58">
        <v>15</v>
      </c>
      <c r="B16" s="58" t="s">
        <v>61</v>
      </c>
      <c r="C16" s="59"/>
      <c r="D16" s="58"/>
      <c r="E16" s="58">
        <f t="shared" si="0"/>
        <v>-4.3E-3</v>
      </c>
      <c r="F16" s="59">
        <f t="shared" si="1"/>
        <v>-13.63998868</v>
      </c>
      <c r="G16" s="58" t="s">
        <v>99</v>
      </c>
    </row>
    <row r="17" spans="1:7">
      <c r="A17" s="58">
        <v>16</v>
      </c>
      <c r="B17" s="58" t="s">
        <v>61</v>
      </c>
      <c r="C17" s="59"/>
      <c r="D17" s="58"/>
      <c r="E17" s="58">
        <f t="shared" si="0"/>
        <v>-4.3E-3</v>
      </c>
      <c r="F17" s="59">
        <f t="shared" si="1"/>
        <v>-13.63998868</v>
      </c>
      <c r="G17" s="58" t="s">
        <v>100</v>
      </c>
    </row>
    <row r="18" spans="1:7">
      <c r="A18" s="58">
        <v>17</v>
      </c>
      <c r="B18" s="58" t="s">
        <v>61</v>
      </c>
      <c r="C18" s="59"/>
      <c r="D18" s="58"/>
      <c r="E18" s="58">
        <f t="shared" si="0"/>
        <v>-4.3E-3</v>
      </c>
      <c r="F18" s="59">
        <f t="shared" si="1"/>
        <v>-13.63998868</v>
      </c>
      <c r="G18" s="58" t="s">
        <v>101</v>
      </c>
    </row>
    <row r="19" spans="1:7">
      <c r="A19" s="58">
        <v>18</v>
      </c>
      <c r="B19" s="58" t="s">
        <v>61</v>
      </c>
      <c r="C19" s="59"/>
      <c r="D19" s="58"/>
      <c r="E19" s="58">
        <f t="shared" si="0"/>
        <v>-4.3E-3</v>
      </c>
      <c r="F19" s="59">
        <f t="shared" si="1"/>
        <v>-13.63998868</v>
      </c>
      <c r="G19" s="58" t="s">
        <v>102</v>
      </c>
    </row>
    <row r="20" spans="1:7">
      <c r="A20" s="60">
        <v>19</v>
      </c>
      <c r="B20" s="60" t="s">
        <v>61</v>
      </c>
      <c r="C20" s="61"/>
      <c r="D20" s="60"/>
      <c r="E20" s="60">
        <f t="shared" si="0"/>
        <v>-4.3E-3</v>
      </c>
      <c r="F20" s="61">
        <f t="shared" si="1"/>
        <v>-13.63998868</v>
      </c>
      <c r="G20" s="60" t="s">
        <v>103</v>
      </c>
    </row>
    <row r="21" spans="1:7">
      <c r="A21" s="60">
        <v>20</v>
      </c>
      <c r="B21" s="60" t="s">
        <v>61</v>
      </c>
      <c r="C21" s="61"/>
      <c r="D21" s="60"/>
      <c r="E21" s="60">
        <f t="shared" si="0"/>
        <v>-4.3E-3</v>
      </c>
      <c r="F21" s="61">
        <f t="shared" si="1"/>
        <v>-13.63998868</v>
      </c>
      <c r="G21" s="60" t="s">
        <v>104</v>
      </c>
    </row>
    <row r="22" spans="1:7">
      <c r="A22" s="60">
        <v>21</v>
      </c>
      <c r="B22" s="60" t="s">
        <v>61</v>
      </c>
      <c r="C22" s="61"/>
      <c r="D22" s="60"/>
      <c r="E22" s="60">
        <f t="shared" si="0"/>
        <v>-4.3E-3</v>
      </c>
      <c r="F22" s="61">
        <f t="shared" si="1"/>
        <v>-13.63998868</v>
      </c>
      <c r="G22" s="60" t="s">
        <v>105</v>
      </c>
    </row>
    <row r="23" spans="1:7">
      <c r="A23" s="60">
        <v>22</v>
      </c>
      <c r="B23" s="60" t="s">
        <v>61</v>
      </c>
      <c r="C23" s="61"/>
      <c r="D23" s="60"/>
      <c r="E23" s="60">
        <f t="shared" si="0"/>
        <v>-4.3E-3</v>
      </c>
      <c r="F23" s="61">
        <f t="shared" si="1"/>
        <v>-13.63998868</v>
      </c>
      <c r="G23" s="60" t="s">
        <v>106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Table of Contents</vt:lpstr>
      <vt:lpstr>Summary</vt:lpstr>
      <vt:lpstr>TubeLoading</vt:lpstr>
      <vt:lpstr>Tube A</vt:lpstr>
      <vt:lpstr>Tube B</vt:lpstr>
      <vt:lpstr>Tube C</vt:lpstr>
      <vt:lpstr>Tube D</vt:lpstr>
      <vt:lpstr>Tube E</vt:lpstr>
      <vt:lpstr>Tube F</vt:lpstr>
      <vt:lpstr>Tube G</vt:lpstr>
      <vt:lpstr>Tube H</vt:lpstr>
      <vt:lpstr>Tube I</vt:lpstr>
      <vt:lpstr>Tube J</vt:lpstr>
      <vt:lpstr>Tube K</vt:lpstr>
      <vt:lpstr>Tube L</vt:lpstr>
      <vt:lpstr>Tube M</vt:lpstr>
      <vt:lpstr>Tube N</vt:lpstr>
      <vt:lpstr>Tube O</vt:lpstr>
      <vt:lpstr>Tube P</vt:lpstr>
      <vt:lpstr>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Lafler, Marissa Renee</dc:creator>
  <cp:lastModifiedBy>Petar Penev</cp:lastModifiedBy>
  <cp:lastPrinted>2021-07-08T20:26:59Z</cp:lastPrinted>
  <dcterms:created xsi:type="dcterms:W3CDTF">2008-04-25T16:16:04Z</dcterms:created>
  <dcterms:modified xsi:type="dcterms:W3CDTF">2023-04-19T18:38:34Z</dcterms:modified>
</cp:coreProperties>
</file>