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WORKING_FOLDER\2021_PCOD_SEPTEMBER\"/>
    </mc:Choice>
  </mc:AlternateContent>
  <bookViews>
    <workbookView xWindow="0" yWindow="0" windowWidth="11070" windowHeight="5670" activeTab="7"/>
  </bookViews>
  <sheets>
    <sheet name="Sheet1" sheetId="1" r:id="rId1"/>
    <sheet name="Sheet2" sheetId="2" r:id="rId2"/>
    <sheet name="Sheet3" sheetId="3" r:id="rId3"/>
    <sheet name="Sheet4" sheetId="4" r:id="rId4"/>
    <sheet name="Sheet11" sheetId="11" r:id="rId5"/>
    <sheet name="Sheet7" sheetId="7" r:id="rId6"/>
    <sheet name="Sheet6" sheetId="6" r:id="rId7"/>
    <sheet name="Sheet5" sheetId="5" r:id="rId8"/>
    <sheet name="Sheet12" sheetId="12" r:id="rId9"/>
    <sheet name="Sheet8" sheetId="8" r:id="rId10"/>
    <sheet name="Sheet9" sheetId="9" r:id="rId11"/>
    <sheet name="Sheet10" sheetId="10" r:id="rId12"/>
    <sheet name="Sheet12 (2)" sheetId="13" r:id="rId1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0" i="5" l="1"/>
  <c r="O11" i="5"/>
  <c r="O12" i="5"/>
  <c r="O13" i="5"/>
  <c r="O14" i="5"/>
  <c r="O15" i="5"/>
  <c r="O16" i="5"/>
  <c r="M10" i="5"/>
  <c r="N10" i="5"/>
  <c r="M11" i="5"/>
  <c r="N11" i="5"/>
  <c r="M12" i="5"/>
  <c r="N12" i="5"/>
  <c r="M13" i="5"/>
  <c r="N13" i="5"/>
  <c r="M14" i="5"/>
  <c r="N14" i="5"/>
  <c r="M15" i="5"/>
  <c r="N15" i="5"/>
  <c r="M16" i="5"/>
  <c r="N16" i="5"/>
  <c r="L16" i="5"/>
  <c r="L11" i="5"/>
  <c r="L12" i="5"/>
  <c r="L13" i="5"/>
  <c r="L14" i="5"/>
  <c r="L15" i="5"/>
  <c r="L10" i="5"/>
  <c r="P30" i="5"/>
  <c r="P31" i="5"/>
  <c r="P32" i="5"/>
  <c r="P33" i="5"/>
  <c r="P34" i="5"/>
  <c r="P35" i="5"/>
  <c r="P36" i="5"/>
  <c r="Q28" i="5"/>
  <c r="Q23" i="5"/>
  <c r="Q24" i="5"/>
  <c r="Q25" i="5"/>
  <c r="Q26" i="5"/>
  <c r="Q27" i="5"/>
  <c r="L2" i="5"/>
  <c r="M2" i="5"/>
  <c r="N2" i="5"/>
  <c r="L3" i="5"/>
  <c r="M3" i="5"/>
  <c r="N3" i="5"/>
  <c r="L4" i="5"/>
  <c r="M4" i="5"/>
  <c r="N4" i="5"/>
  <c r="L5" i="5"/>
  <c r="M5" i="5"/>
  <c r="N5" i="5"/>
  <c r="L6" i="5"/>
  <c r="M6" i="5"/>
  <c r="N6" i="5"/>
  <c r="L7" i="5"/>
  <c r="M7" i="5"/>
  <c r="N7" i="5"/>
  <c r="L8" i="5"/>
  <c r="M8" i="5"/>
  <c r="N8" i="5"/>
  <c r="O20" i="5"/>
  <c r="P21" i="5"/>
  <c r="O21" i="5"/>
  <c r="P22" i="5"/>
  <c r="O22" i="5"/>
  <c r="P23" i="5"/>
  <c r="O23" i="5"/>
  <c r="P24" i="5"/>
  <c r="O24" i="5"/>
  <c r="P25" i="5"/>
  <c r="O25" i="5"/>
  <c r="P26" i="5"/>
  <c r="O26" i="5"/>
  <c r="P27" i="5"/>
  <c r="P11" i="5"/>
  <c r="P12" i="5"/>
  <c r="P13" i="5"/>
  <c r="P14" i="5"/>
  <c r="P15" i="5"/>
  <c r="P16" i="5"/>
  <c r="P17" i="5"/>
  <c r="O2" i="5"/>
  <c r="O3" i="5"/>
  <c r="O4" i="5"/>
  <c r="O5" i="5"/>
  <c r="O6" i="5"/>
  <c r="O7" i="5"/>
  <c r="O8" i="5"/>
  <c r="C47" i="13" l="1"/>
  <c r="D47" i="13"/>
  <c r="E47" i="13"/>
  <c r="F47" i="13"/>
  <c r="G47" i="13"/>
  <c r="H47" i="13"/>
  <c r="I47" i="13"/>
  <c r="J47" i="13"/>
  <c r="K47" i="13"/>
  <c r="M47" i="13"/>
  <c r="N47" i="13"/>
  <c r="O47" i="13"/>
  <c r="P47" i="13"/>
  <c r="Q47" i="13"/>
  <c r="R47" i="13"/>
  <c r="S47" i="13"/>
  <c r="T47" i="13"/>
  <c r="U47" i="13"/>
  <c r="V47" i="13"/>
  <c r="B47" i="13"/>
  <c r="C46" i="13"/>
  <c r="D46" i="13"/>
  <c r="E46" i="13"/>
  <c r="F46" i="13"/>
  <c r="G46" i="13"/>
  <c r="H46" i="13"/>
  <c r="I46" i="13"/>
  <c r="J46" i="13"/>
  <c r="K46" i="13"/>
  <c r="M46" i="13"/>
  <c r="N46" i="13"/>
  <c r="O46" i="13"/>
  <c r="P46" i="13"/>
  <c r="Q46" i="13"/>
  <c r="R46" i="13"/>
  <c r="S46" i="13"/>
  <c r="T46" i="13"/>
  <c r="U46" i="13"/>
  <c r="V46" i="13"/>
  <c r="B46" i="13"/>
  <c r="AC49" i="12"/>
  <c r="AC92" i="12" s="1"/>
  <c r="AC50" i="12"/>
  <c r="AC51" i="12"/>
  <c r="AC52" i="12"/>
  <c r="AC53" i="12"/>
  <c r="AC54" i="12"/>
  <c r="AC55" i="12"/>
  <c r="AC56" i="12"/>
  <c r="AC57" i="12"/>
  <c r="AC58" i="12"/>
  <c r="AC59" i="12"/>
  <c r="AC60" i="12"/>
  <c r="AC61" i="12"/>
  <c r="AC62" i="12"/>
  <c r="AC63" i="12"/>
  <c r="AC64" i="12"/>
  <c r="AC65" i="12"/>
  <c r="AC66" i="12"/>
  <c r="AC67" i="12"/>
  <c r="AC68" i="12"/>
  <c r="AC69" i="12"/>
  <c r="AC70" i="12"/>
  <c r="AC71" i="12"/>
  <c r="AC72" i="12"/>
  <c r="AC73" i="12"/>
  <c r="AC74" i="12"/>
  <c r="AC75" i="12"/>
  <c r="AC76" i="12"/>
  <c r="AC77" i="12"/>
  <c r="AC78" i="12"/>
  <c r="AC79" i="12"/>
  <c r="AC80" i="12"/>
  <c r="AC81" i="12"/>
  <c r="AC82" i="12"/>
  <c r="AC83" i="12"/>
  <c r="AC84" i="12"/>
  <c r="AC85" i="12"/>
  <c r="AC86" i="12"/>
  <c r="AC87" i="12"/>
  <c r="AC88" i="12"/>
  <c r="AC89" i="12"/>
  <c r="AC90" i="12"/>
  <c r="Z49" i="12"/>
  <c r="Z92" i="12" s="1"/>
  <c r="Z50" i="12"/>
  <c r="Z51" i="12"/>
  <c r="Z52" i="12"/>
  <c r="Z53" i="12"/>
  <c r="Z54" i="12"/>
  <c r="Z55" i="12"/>
  <c r="Z56" i="12"/>
  <c r="Z57" i="12"/>
  <c r="Z58" i="12"/>
  <c r="Z59" i="12"/>
  <c r="Z60" i="12"/>
  <c r="Z61" i="12"/>
  <c r="Z62" i="12"/>
  <c r="Z63" i="12"/>
  <c r="Z64" i="12"/>
  <c r="Z65" i="12"/>
  <c r="Z66" i="12"/>
  <c r="Z67" i="12"/>
  <c r="Z68" i="12"/>
  <c r="Z69" i="12"/>
  <c r="Z70" i="12"/>
  <c r="Z71" i="12"/>
  <c r="Z72" i="12"/>
  <c r="Z73" i="12"/>
  <c r="Z74" i="12"/>
  <c r="Z75" i="12"/>
  <c r="Z76" i="12"/>
  <c r="Z77" i="12"/>
  <c r="Z78" i="12"/>
  <c r="Z79" i="12"/>
  <c r="Z80" i="12"/>
  <c r="Z81" i="12"/>
  <c r="Z82" i="12"/>
  <c r="Z83" i="12"/>
  <c r="Z84" i="12"/>
  <c r="Z85" i="12"/>
  <c r="Z86" i="12"/>
  <c r="Z87" i="12"/>
  <c r="Z88" i="12"/>
  <c r="Z89" i="12"/>
  <c r="Z90" i="12"/>
  <c r="W49" i="12"/>
  <c r="W50" i="12"/>
  <c r="W92" i="12" s="1"/>
  <c r="W51" i="12"/>
  <c r="W52" i="12"/>
  <c r="W53" i="12"/>
  <c r="W54" i="12"/>
  <c r="W55" i="12"/>
  <c r="W56" i="12"/>
  <c r="W57" i="12"/>
  <c r="W58" i="12"/>
  <c r="W59" i="12"/>
  <c r="W60" i="12"/>
  <c r="W61" i="12"/>
  <c r="W62" i="12"/>
  <c r="W63" i="12"/>
  <c r="W64" i="12"/>
  <c r="W65" i="12"/>
  <c r="W66" i="12"/>
  <c r="W67" i="12"/>
  <c r="W68" i="12"/>
  <c r="W69" i="12"/>
  <c r="W70" i="12"/>
  <c r="W71" i="12"/>
  <c r="W72" i="12"/>
  <c r="W73" i="12"/>
  <c r="W74" i="12"/>
  <c r="W75" i="12"/>
  <c r="W76" i="12"/>
  <c r="W77" i="12"/>
  <c r="W78" i="12"/>
  <c r="W79" i="12"/>
  <c r="W80" i="12"/>
  <c r="W81" i="12"/>
  <c r="W82" i="12"/>
  <c r="W83" i="12"/>
  <c r="W84" i="12"/>
  <c r="W85" i="12"/>
  <c r="W86" i="12"/>
  <c r="W87" i="12"/>
  <c r="W88" i="12"/>
  <c r="W89" i="12"/>
  <c r="W90" i="12"/>
  <c r="T49" i="12"/>
  <c r="T92" i="12" s="1"/>
  <c r="T50" i="12"/>
  <c r="T51" i="12"/>
  <c r="T52" i="12"/>
  <c r="T53" i="12"/>
  <c r="T54" i="12"/>
  <c r="T55" i="12"/>
  <c r="T56" i="12"/>
  <c r="T57" i="12"/>
  <c r="T58" i="12"/>
  <c r="T59" i="12"/>
  <c r="T60" i="12"/>
  <c r="T61" i="12"/>
  <c r="T62" i="12"/>
  <c r="T63" i="12"/>
  <c r="T64" i="12"/>
  <c r="T65" i="12"/>
  <c r="T66" i="12"/>
  <c r="T67" i="12"/>
  <c r="T68" i="12"/>
  <c r="T69" i="12"/>
  <c r="T70" i="12"/>
  <c r="T71" i="12"/>
  <c r="T72" i="12"/>
  <c r="T73" i="12"/>
  <c r="T74" i="12"/>
  <c r="T75" i="12"/>
  <c r="T76" i="12"/>
  <c r="T77" i="12"/>
  <c r="T78" i="12"/>
  <c r="T79" i="12"/>
  <c r="T80" i="12"/>
  <c r="T81" i="12"/>
  <c r="T82" i="12"/>
  <c r="T83" i="12"/>
  <c r="T84" i="12"/>
  <c r="T85" i="12"/>
  <c r="T86" i="12"/>
  <c r="T87" i="12"/>
  <c r="T88" i="12"/>
  <c r="T89" i="12"/>
  <c r="T90" i="12"/>
  <c r="Q49" i="12"/>
  <c r="Q92" i="12" s="1"/>
  <c r="Q50" i="12"/>
  <c r="Q51" i="12"/>
  <c r="Q52" i="12"/>
  <c r="Q53" i="12"/>
  <c r="Q54" i="12"/>
  <c r="Q55" i="12"/>
  <c r="Q56" i="12"/>
  <c r="Q57" i="12"/>
  <c r="Q58" i="12"/>
  <c r="Q59" i="12"/>
  <c r="Q60" i="12"/>
  <c r="Q61" i="12"/>
  <c r="Q62" i="12"/>
  <c r="Q63" i="12"/>
  <c r="Q64" i="12"/>
  <c r="Q65" i="12"/>
  <c r="Q66" i="12"/>
  <c r="Q67" i="12"/>
  <c r="Q68" i="12"/>
  <c r="Q69" i="12"/>
  <c r="Q70" i="12"/>
  <c r="Q71" i="12"/>
  <c r="Q72" i="12"/>
  <c r="Q73" i="12"/>
  <c r="Q74" i="12"/>
  <c r="Q75" i="12"/>
  <c r="Q76" i="12"/>
  <c r="Q77" i="12"/>
  <c r="Q78" i="12"/>
  <c r="Q79" i="12"/>
  <c r="Q80" i="12"/>
  <c r="Q81" i="12"/>
  <c r="Q82" i="12"/>
  <c r="Q83" i="12"/>
  <c r="Q84" i="12"/>
  <c r="Q85" i="12"/>
  <c r="Q86" i="12"/>
  <c r="Q87" i="12"/>
  <c r="Q88" i="12"/>
  <c r="Q89" i="12"/>
  <c r="Q90" i="12"/>
  <c r="N49" i="12"/>
  <c r="N92" i="12" s="1"/>
  <c r="N50" i="12"/>
  <c r="N51" i="12"/>
  <c r="N52" i="12"/>
  <c r="N53" i="12"/>
  <c r="N54" i="12"/>
  <c r="N55" i="12"/>
  <c r="N56" i="12"/>
  <c r="N57" i="12"/>
  <c r="N58" i="12"/>
  <c r="N59" i="12"/>
  <c r="N60" i="12"/>
  <c r="N61" i="12"/>
  <c r="N62" i="12"/>
  <c r="N63" i="12"/>
  <c r="N64" i="12"/>
  <c r="N65" i="12"/>
  <c r="N66" i="12"/>
  <c r="N67" i="12"/>
  <c r="N68" i="12"/>
  <c r="N69" i="12"/>
  <c r="N70" i="12"/>
  <c r="N71" i="12"/>
  <c r="N72" i="12"/>
  <c r="N73" i="12"/>
  <c r="N74" i="12"/>
  <c r="N75" i="12"/>
  <c r="N76" i="12"/>
  <c r="N77" i="12"/>
  <c r="N78" i="12"/>
  <c r="N79" i="12"/>
  <c r="N80" i="12"/>
  <c r="N81" i="12"/>
  <c r="N82" i="12"/>
  <c r="N83" i="12"/>
  <c r="N84" i="12"/>
  <c r="N85" i="12"/>
  <c r="N86" i="12"/>
  <c r="N87" i="12"/>
  <c r="N88" i="12"/>
  <c r="N89" i="12"/>
  <c r="N90" i="12"/>
  <c r="K49" i="12"/>
  <c r="K50" i="12"/>
  <c r="K51" i="12"/>
  <c r="K52" i="12"/>
  <c r="K53" i="12"/>
  <c r="K54" i="12"/>
  <c r="K55" i="12"/>
  <c r="K56" i="12"/>
  <c r="K57" i="12"/>
  <c r="K58" i="12"/>
  <c r="K59" i="12"/>
  <c r="K60" i="12"/>
  <c r="K61" i="12"/>
  <c r="K62" i="12"/>
  <c r="K63" i="12"/>
  <c r="K64" i="12"/>
  <c r="K65" i="12"/>
  <c r="K66" i="12"/>
  <c r="K67" i="12"/>
  <c r="K68" i="12"/>
  <c r="K69" i="12"/>
  <c r="K70" i="12"/>
  <c r="K71" i="12"/>
  <c r="K72" i="12"/>
  <c r="K73" i="12"/>
  <c r="K74" i="12"/>
  <c r="K75" i="12"/>
  <c r="K76" i="12"/>
  <c r="K77" i="12"/>
  <c r="K78" i="12"/>
  <c r="K79" i="12"/>
  <c r="K80" i="12"/>
  <c r="K81" i="12"/>
  <c r="K82" i="12"/>
  <c r="K83" i="12"/>
  <c r="K84" i="12"/>
  <c r="K85" i="12"/>
  <c r="K86" i="12"/>
  <c r="K87" i="12"/>
  <c r="K88" i="12"/>
  <c r="K89" i="12"/>
  <c r="K90" i="12"/>
  <c r="K92" i="12"/>
  <c r="H49" i="12"/>
  <c r="H92" i="12" s="1"/>
  <c r="H50" i="12"/>
  <c r="H51" i="12"/>
  <c r="H52" i="12"/>
  <c r="H53" i="12"/>
  <c r="H54" i="12"/>
  <c r="H55" i="12"/>
  <c r="H56" i="12"/>
  <c r="H57" i="12"/>
  <c r="H58" i="12"/>
  <c r="H59" i="12"/>
  <c r="H60" i="12"/>
  <c r="H61" i="12"/>
  <c r="H62" i="12"/>
  <c r="H63" i="12"/>
  <c r="H64" i="12"/>
  <c r="H65" i="12"/>
  <c r="H66" i="12"/>
  <c r="H67" i="12"/>
  <c r="H68" i="12"/>
  <c r="H69" i="12"/>
  <c r="H70" i="12"/>
  <c r="H71" i="12"/>
  <c r="H72" i="12"/>
  <c r="H73" i="12"/>
  <c r="H74" i="12"/>
  <c r="H75" i="12"/>
  <c r="H76" i="12"/>
  <c r="H77" i="12"/>
  <c r="H78" i="12"/>
  <c r="H79" i="12"/>
  <c r="H80" i="12"/>
  <c r="H81" i="12"/>
  <c r="H82" i="12"/>
  <c r="H83" i="12"/>
  <c r="H84" i="12"/>
  <c r="H85" i="12"/>
  <c r="H86" i="12"/>
  <c r="H87" i="12"/>
  <c r="H88" i="12"/>
  <c r="H89" i="12"/>
  <c r="H90" i="12"/>
  <c r="E49" i="12"/>
  <c r="E92" i="12" s="1"/>
  <c r="E50" i="12"/>
  <c r="E51" i="12"/>
  <c r="E52" i="12"/>
  <c r="E53" i="12"/>
  <c r="E54" i="12"/>
  <c r="E55" i="12"/>
  <c r="E56" i="12"/>
  <c r="E57" i="12"/>
  <c r="E58" i="12"/>
  <c r="E59" i="12"/>
  <c r="E60" i="12"/>
  <c r="E61" i="12"/>
  <c r="E62" i="12"/>
  <c r="E63" i="12"/>
  <c r="E64" i="12"/>
  <c r="E65" i="12"/>
  <c r="E66" i="12"/>
  <c r="E67" i="12"/>
  <c r="E68" i="12"/>
  <c r="E69" i="12"/>
  <c r="E70" i="12"/>
  <c r="E71" i="12"/>
  <c r="E72" i="12"/>
  <c r="E73" i="12"/>
  <c r="E74" i="12"/>
  <c r="E75" i="12"/>
  <c r="E76" i="12"/>
  <c r="E77" i="12"/>
  <c r="E78" i="12"/>
  <c r="E79" i="12"/>
  <c r="E80" i="12"/>
  <c r="E81" i="12"/>
  <c r="E82" i="12"/>
  <c r="E83" i="12"/>
  <c r="E84" i="12"/>
  <c r="E85" i="12"/>
  <c r="E86" i="12"/>
  <c r="E87" i="12"/>
  <c r="E88" i="12"/>
  <c r="E89" i="12"/>
  <c r="E90" i="12"/>
  <c r="B49" i="12"/>
  <c r="B50" i="12"/>
  <c r="B51" i="12"/>
  <c r="B52" i="12"/>
  <c r="B53" i="12"/>
  <c r="B54" i="12"/>
  <c r="B92" i="12" s="1"/>
  <c r="B55" i="12"/>
  <c r="B56" i="12"/>
  <c r="B57" i="12"/>
  <c r="B58" i="12"/>
  <c r="B59" i="12"/>
  <c r="B60" i="12"/>
  <c r="B61" i="12"/>
  <c r="B62" i="12"/>
  <c r="B63" i="12"/>
  <c r="B64" i="12"/>
  <c r="B65" i="12"/>
  <c r="B66" i="12"/>
  <c r="B67" i="12"/>
  <c r="B68" i="12"/>
  <c r="B69" i="12"/>
  <c r="B70" i="12"/>
  <c r="B71" i="12"/>
  <c r="B72" i="12"/>
  <c r="B73" i="12"/>
  <c r="B74" i="12"/>
  <c r="B75" i="12"/>
  <c r="B76" i="12"/>
  <c r="B77" i="12"/>
  <c r="B78" i="12"/>
  <c r="B79" i="12"/>
  <c r="B80" i="12"/>
  <c r="B81" i="12"/>
  <c r="B82" i="12"/>
  <c r="B83" i="12"/>
  <c r="B84" i="12"/>
  <c r="B85" i="12"/>
  <c r="B86" i="12"/>
  <c r="B87" i="12"/>
  <c r="B88" i="12"/>
  <c r="B89" i="12"/>
  <c r="B90" i="12"/>
  <c r="F49" i="12"/>
  <c r="I49" i="12"/>
  <c r="L49" i="12"/>
  <c r="O49" i="12"/>
  <c r="R49" i="12"/>
  <c r="U49" i="12"/>
  <c r="X49" i="12"/>
  <c r="X92" i="12" s="1"/>
  <c r="AA49" i="12"/>
  <c r="AD49" i="12"/>
  <c r="F50" i="12"/>
  <c r="I50" i="12"/>
  <c r="L50" i="12"/>
  <c r="O50" i="12"/>
  <c r="R50" i="12"/>
  <c r="U50" i="12"/>
  <c r="X50" i="12"/>
  <c r="AA50" i="12"/>
  <c r="AD50" i="12"/>
  <c r="F51" i="12"/>
  <c r="I51" i="12"/>
  <c r="L51" i="12"/>
  <c r="O51" i="12"/>
  <c r="R51" i="12"/>
  <c r="U51" i="12"/>
  <c r="X51" i="12"/>
  <c r="AA51" i="12"/>
  <c r="AD51" i="12"/>
  <c r="F52" i="12"/>
  <c r="I52" i="12"/>
  <c r="L52" i="12"/>
  <c r="O52" i="12"/>
  <c r="R52" i="12"/>
  <c r="U52" i="12"/>
  <c r="X52" i="12"/>
  <c r="AA52" i="12"/>
  <c r="AD52" i="12"/>
  <c r="F53" i="12"/>
  <c r="I53" i="12"/>
  <c r="L53" i="12"/>
  <c r="O53" i="12"/>
  <c r="R53" i="12"/>
  <c r="U53" i="12"/>
  <c r="X53" i="12"/>
  <c r="AA53" i="12"/>
  <c r="AD53" i="12"/>
  <c r="F54" i="12"/>
  <c r="I54" i="12"/>
  <c r="L54" i="12"/>
  <c r="O54" i="12"/>
  <c r="R54" i="12"/>
  <c r="U54" i="12"/>
  <c r="X54" i="12"/>
  <c r="AA54" i="12"/>
  <c r="AD54" i="12"/>
  <c r="F55" i="12"/>
  <c r="I55" i="12"/>
  <c r="L55" i="12"/>
  <c r="O55" i="12"/>
  <c r="R55" i="12"/>
  <c r="U55" i="12"/>
  <c r="X55" i="12"/>
  <c r="AA55" i="12"/>
  <c r="AD55" i="12"/>
  <c r="F56" i="12"/>
  <c r="I56" i="12"/>
  <c r="L56" i="12"/>
  <c r="O56" i="12"/>
  <c r="R56" i="12"/>
  <c r="U56" i="12"/>
  <c r="X56" i="12"/>
  <c r="AA56" i="12"/>
  <c r="AD56" i="12"/>
  <c r="F57" i="12"/>
  <c r="I57" i="12"/>
  <c r="L57" i="12"/>
  <c r="O57" i="12"/>
  <c r="R57" i="12"/>
  <c r="U57" i="12"/>
  <c r="X57" i="12"/>
  <c r="AA57" i="12"/>
  <c r="AD57" i="12"/>
  <c r="F58" i="12"/>
  <c r="I58" i="12"/>
  <c r="L58" i="12"/>
  <c r="O58" i="12"/>
  <c r="R58" i="12"/>
  <c r="U58" i="12"/>
  <c r="X58" i="12"/>
  <c r="AA58" i="12"/>
  <c r="AD58" i="12"/>
  <c r="F59" i="12"/>
  <c r="I59" i="12"/>
  <c r="L59" i="12"/>
  <c r="O59" i="12"/>
  <c r="R59" i="12"/>
  <c r="U59" i="12"/>
  <c r="X59" i="12"/>
  <c r="AA59" i="12"/>
  <c r="AD59" i="12"/>
  <c r="F60" i="12"/>
  <c r="I60" i="12"/>
  <c r="L60" i="12"/>
  <c r="O60" i="12"/>
  <c r="R60" i="12"/>
  <c r="U60" i="12"/>
  <c r="X60" i="12"/>
  <c r="AA60" i="12"/>
  <c r="AD60" i="12"/>
  <c r="F61" i="12"/>
  <c r="I61" i="12"/>
  <c r="L61" i="12"/>
  <c r="O61" i="12"/>
  <c r="R61" i="12"/>
  <c r="U61" i="12"/>
  <c r="X61" i="12"/>
  <c r="AA61" i="12"/>
  <c r="AD61" i="12"/>
  <c r="F62" i="12"/>
  <c r="I62" i="12"/>
  <c r="L62" i="12"/>
  <c r="O62" i="12"/>
  <c r="R62" i="12"/>
  <c r="U62" i="12"/>
  <c r="X62" i="12"/>
  <c r="AA62" i="12"/>
  <c r="AD62" i="12"/>
  <c r="F63" i="12"/>
  <c r="I63" i="12"/>
  <c r="L63" i="12"/>
  <c r="O63" i="12"/>
  <c r="R63" i="12"/>
  <c r="U63" i="12"/>
  <c r="X63" i="12"/>
  <c r="AA63" i="12"/>
  <c r="AD63" i="12"/>
  <c r="F64" i="12"/>
  <c r="I64" i="12"/>
  <c r="L64" i="12"/>
  <c r="O64" i="12"/>
  <c r="R64" i="12"/>
  <c r="U64" i="12"/>
  <c r="X64" i="12"/>
  <c r="AA64" i="12"/>
  <c r="AD64" i="12"/>
  <c r="F65" i="12"/>
  <c r="I65" i="12"/>
  <c r="L65" i="12"/>
  <c r="O65" i="12"/>
  <c r="R65" i="12"/>
  <c r="U65" i="12"/>
  <c r="X65" i="12"/>
  <c r="AA65" i="12"/>
  <c r="AD65" i="12"/>
  <c r="F66" i="12"/>
  <c r="I66" i="12"/>
  <c r="L66" i="12"/>
  <c r="O66" i="12"/>
  <c r="R66" i="12"/>
  <c r="U66" i="12"/>
  <c r="X66" i="12"/>
  <c r="AA66" i="12"/>
  <c r="AD66" i="12"/>
  <c r="F67" i="12"/>
  <c r="I67" i="12"/>
  <c r="L67" i="12"/>
  <c r="O67" i="12"/>
  <c r="R67" i="12"/>
  <c r="U67" i="12"/>
  <c r="X67" i="12"/>
  <c r="AA67" i="12"/>
  <c r="AD67" i="12"/>
  <c r="F68" i="12"/>
  <c r="I68" i="12"/>
  <c r="L68" i="12"/>
  <c r="O68" i="12"/>
  <c r="R68" i="12"/>
  <c r="U68" i="12"/>
  <c r="X68" i="12"/>
  <c r="AA68" i="12"/>
  <c r="AD68" i="12"/>
  <c r="F69" i="12"/>
  <c r="I69" i="12"/>
  <c r="L69" i="12"/>
  <c r="O69" i="12"/>
  <c r="R69" i="12"/>
  <c r="U69" i="12"/>
  <c r="X69" i="12"/>
  <c r="AA69" i="12"/>
  <c r="AD69" i="12"/>
  <c r="F70" i="12"/>
  <c r="I70" i="12"/>
  <c r="L70" i="12"/>
  <c r="O70" i="12"/>
  <c r="R70" i="12"/>
  <c r="U70" i="12"/>
  <c r="X70" i="12"/>
  <c r="AA70" i="12"/>
  <c r="AD70" i="12"/>
  <c r="F71" i="12"/>
  <c r="I71" i="12"/>
  <c r="L71" i="12"/>
  <c r="O71" i="12"/>
  <c r="R71" i="12"/>
  <c r="U71" i="12"/>
  <c r="X71" i="12"/>
  <c r="AA71" i="12"/>
  <c r="AD71" i="12"/>
  <c r="F72" i="12"/>
  <c r="I72" i="12"/>
  <c r="L72" i="12"/>
  <c r="O72" i="12"/>
  <c r="R72" i="12"/>
  <c r="U72" i="12"/>
  <c r="X72" i="12"/>
  <c r="AA72" i="12"/>
  <c r="AD72" i="12"/>
  <c r="F73" i="12"/>
  <c r="I73" i="12"/>
  <c r="L73" i="12"/>
  <c r="O73" i="12"/>
  <c r="R73" i="12"/>
  <c r="U73" i="12"/>
  <c r="X73" i="12"/>
  <c r="AA73" i="12"/>
  <c r="AD73" i="12"/>
  <c r="F74" i="12"/>
  <c r="I74" i="12"/>
  <c r="L74" i="12"/>
  <c r="O74" i="12"/>
  <c r="R74" i="12"/>
  <c r="U74" i="12"/>
  <c r="X74" i="12"/>
  <c r="AA74" i="12"/>
  <c r="AD74" i="12"/>
  <c r="F75" i="12"/>
  <c r="I75" i="12"/>
  <c r="L75" i="12"/>
  <c r="O75" i="12"/>
  <c r="R75" i="12"/>
  <c r="U75" i="12"/>
  <c r="X75" i="12"/>
  <c r="AA75" i="12"/>
  <c r="AD75" i="12"/>
  <c r="F76" i="12"/>
  <c r="I76" i="12"/>
  <c r="L76" i="12"/>
  <c r="O76" i="12"/>
  <c r="R76" i="12"/>
  <c r="U76" i="12"/>
  <c r="X76" i="12"/>
  <c r="AA76" i="12"/>
  <c r="AD76" i="12"/>
  <c r="F77" i="12"/>
  <c r="I77" i="12"/>
  <c r="L77" i="12"/>
  <c r="O77" i="12"/>
  <c r="R77" i="12"/>
  <c r="U77" i="12"/>
  <c r="X77" i="12"/>
  <c r="AA77" i="12"/>
  <c r="AD77" i="12"/>
  <c r="F78" i="12"/>
  <c r="I78" i="12"/>
  <c r="L78" i="12"/>
  <c r="O78" i="12"/>
  <c r="R78" i="12"/>
  <c r="U78" i="12"/>
  <c r="X78" i="12"/>
  <c r="AA78" i="12"/>
  <c r="AD78" i="12"/>
  <c r="F79" i="12"/>
  <c r="I79" i="12"/>
  <c r="L79" i="12"/>
  <c r="O79" i="12"/>
  <c r="R79" i="12"/>
  <c r="U79" i="12"/>
  <c r="X79" i="12"/>
  <c r="AA79" i="12"/>
  <c r="AD79" i="12"/>
  <c r="F80" i="12"/>
  <c r="I80" i="12"/>
  <c r="L80" i="12"/>
  <c r="O80" i="12"/>
  <c r="R80" i="12"/>
  <c r="U80" i="12"/>
  <c r="X80" i="12"/>
  <c r="AA80" i="12"/>
  <c r="AD80" i="12"/>
  <c r="F81" i="12"/>
  <c r="I81" i="12"/>
  <c r="L81" i="12"/>
  <c r="O81" i="12"/>
  <c r="R81" i="12"/>
  <c r="U81" i="12"/>
  <c r="X81" i="12"/>
  <c r="AA81" i="12"/>
  <c r="AD81" i="12"/>
  <c r="F82" i="12"/>
  <c r="I82" i="12"/>
  <c r="L82" i="12"/>
  <c r="O82" i="12"/>
  <c r="R82" i="12"/>
  <c r="U82" i="12"/>
  <c r="X82" i="12"/>
  <c r="AA82" i="12"/>
  <c r="AD82" i="12"/>
  <c r="F83" i="12"/>
  <c r="I83" i="12"/>
  <c r="L83" i="12"/>
  <c r="O83" i="12"/>
  <c r="R83" i="12"/>
  <c r="U83" i="12"/>
  <c r="X83" i="12"/>
  <c r="AA83" i="12"/>
  <c r="AD83" i="12"/>
  <c r="F84" i="12"/>
  <c r="I84" i="12"/>
  <c r="L84" i="12"/>
  <c r="O84" i="12"/>
  <c r="R84" i="12"/>
  <c r="U84" i="12"/>
  <c r="X84" i="12"/>
  <c r="AA84" i="12"/>
  <c r="AD84" i="12"/>
  <c r="F85" i="12"/>
  <c r="I85" i="12"/>
  <c r="L85" i="12"/>
  <c r="O85" i="12"/>
  <c r="R85" i="12"/>
  <c r="U85" i="12"/>
  <c r="X85" i="12"/>
  <c r="AA85" i="12"/>
  <c r="AD85" i="12"/>
  <c r="F86" i="12"/>
  <c r="I86" i="12"/>
  <c r="L86" i="12"/>
  <c r="O86" i="12"/>
  <c r="R86" i="12"/>
  <c r="U86" i="12"/>
  <c r="X86" i="12"/>
  <c r="AA86" i="12"/>
  <c r="AD86" i="12"/>
  <c r="F87" i="12"/>
  <c r="I87" i="12"/>
  <c r="L87" i="12"/>
  <c r="O87" i="12"/>
  <c r="R87" i="12"/>
  <c r="U87" i="12"/>
  <c r="X87" i="12"/>
  <c r="AA87" i="12"/>
  <c r="AD87" i="12"/>
  <c r="F88" i="12"/>
  <c r="I88" i="12"/>
  <c r="L88" i="12"/>
  <c r="O88" i="12"/>
  <c r="R88" i="12"/>
  <c r="U88" i="12"/>
  <c r="X88" i="12"/>
  <c r="AA88" i="12"/>
  <c r="AD88" i="12"/>
  <c r="F89" i="12"/>
  <c r="I89" i="12"/>
  <c r="L89" i="12"/>
  <c r="O89" i="12"/>
  <c r="R89" i="12"/>
  <c r="U89" i="12"/>
  <c r="X89" i="12"/>
  <c r="AA89" i="12"/>
  <c r="AD89" i="12"/>
  <c r="F90" i="12"/>
  <c r="I90" i="12"/>
  <c r="L90" i="12"/>
  <c r="O90" i="12"/>
  <c r="R90" i="12"/>
  <c r="U90" i="12"/>
  <c r="X90" i="12"/>
  <c r="AA90" i="12"/>
  <c r="AD90" i="12"/>
  <c r="C50" i="12"/>
  <c r="C51" i="12"/>
  <c r="C52" i="12"/>
  <c r="C53" i="12"/>
  <c r="C54" i="12"/>
  <c r="C55" i="12"/>
  <c r="C56" i="12"/>
  <c r="C57" i="12"/>
  <c r="C58" i="12"/>
  <c r="C59" i="12"/>
  <c r="C60" i="12"/>
  <c r="C61" i="12"/>
  <c r="C62" i="12"/>
  <c r="C63" i="12"/>
  <c r="C64" i="12"/>
  <c r="C65" i="12"/>
  <c r="C66" i="12"/>
  <c r="C67" i="12"/>
  <c r="C68" i="12"/>
  <c r="C69" i="12"/>
  <c r="C70" i="12"/>
  <c r="C71" i="12"/>
  <c r="C72" i="12"/>
  <c r="C73" i="12"/>
  <c r="C74" i="12"/>
  <c r="C75" i="12"/>
  <c r="C76" i="12"/>
  <c r="C77" i="12"/>
  <c r="C78" i="12"/>
  <c r="C79" i="12"/>
  <c r="C80" i="12"/>
  <c r="C81" i="12"/>
  <c r="C82" i="12"/>
  <c r="C83" i="12"/>
  <c r="C84" i="12"/>
  <c r="C85" i="12"/>
  <c r="C86" i="12"/>
  <c r="C87" i="12"/>
  <c r="C88" i="12"/>
  <c r="C89" i="12"/>
  <c r="C90" i="12"/>
  <c r="C49" i="12"/>
  <c r="C92" i="12" s="1"/>
  <c r="D24" i="11"/>
  <c r="D34" i="11"/>
  <c r="D23" i="11"/>
  <c r="D33" i="11"/>
  <c r="D22" i="11"/>
  <c r="D32" i="11"/>
  <c r="D21" i="11"/>
  <c r="D31" i="11"/>
  <c r="D19" i="11"/>
  <c r="D29" i="11"/>
  <c r="D20" i="11"/>
  <c r="D30" i="11"/>
  <c r="D18" i="11"/>
  <c r="D28" i="11"/>
  <c r="D17" i="11"/>
  <c r="D27" i="11"/>
  <c r="D16" i="11"/>
  <c r="D26" i="11"/>
  <c r="D25" i="11"/>
  <c r="D15" i="11"/>
  <c r="C21" i="10"/>
  <c r="D21" i="10"/>
  <c r="E21" i="10"/>
  <c r="F21" i="10"/>
  <c r="G21" i="10"/>
  <c r="H21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6" i="10"/>
  <c r="C23" i="4"/>
  <c r="D23" i="4"/>
  <c r="E23" i="4"/>
  <c r="F23" i="4"/>
  <c r="G23" i="4"/>
  <c r="H23" i="4"/>
  <c r="I23" i="4"/>
  <c r="J23" i="4"/>
  <c r="K23" i="4"/>
  <c r="L23" i="4"/>
  <c r="A23" i="4"/>
  <c r="O92" i="12" l="1"/>
  <c r="AA92" i="12"/>
  <c r="AD92" i="12"/>
  <c r="F92" i="12"/>
  <c r="R92" i="12"/>
  <c r="U92" i="12"/>
  <c r="I92" i="12"/>
  <c r="L92" i="12"/>
  <c r="E10" i="4"/>
  <c r="M10" i="4"/>
  <c r="B42" i="8"/>
  <c r="D41" i="8"/>
  <c r="B41" i="8"/>
  <c r="B34" i="8"/>
  <c r="C33" i="8"/>
  <c r="C32" i="8"/>
  <c r="C27" i="8"/>
  <c r="D27" i="8" s="1"/>
  <c r="B27" i="8"/>
  <c r="C26" i="8"/>
  <c r="D26" i="8" s="1"/>
  <c r="B26" i="8"/>
  <c r="C25" i="8"/>
  <c r="D25" i="8" s="1"/>
  <c r="B25" i="8"/>
  <c r="C23" i="8"/>
  <c r="C20" i="8"/>
  <c r="C18" i="8"/>
  <c r="H15" i="8"/>
  <c r="D15" i="8"/>
  <c r="D12" i="8"/>
  <c r="E12" i="8" s="1"/>
  <c r="D11" i="8"/>
  <c r="E11" i="8" s="1"/>
  <c r="E10" i="8"/>
  <c r="D10" i="8"/>
  <c r="E9" i="8"/>
  <c r="D9" i="8"/>
  <c r="C8" i="8"/>
  <c r="D8" i="8" s="1"/>
  <c r="E8" i="8" s="1"/>
  <c r="E7" i="8"/>
  <c r="D7" i="8"/>
  <c r="B5" i="8"/>
  <c r="C4" i="8"/>
  <c r="I8" i="8" s="1"/>
  <c r="D2" i="8"/>
  <c r="E2" i="8" s="1"/>
  <c r="I1" i="8"/>
  <c r="V10" i="4"/>
  <c r="T10" i="4"/>
  <c r="E12" i="4"/>
  <c r="E11" i="4"/>
  <c r="E5" i="4"/>
  <c r="E6" i="4"/>
  <c r="E7" i="4"/>
  <c r="E8" i="4"/>
  <c r="E9" i="4"/>
  <c r="E4" i="4"/>
  <c r="E3" i="4"/>
  <c r="M12" i="4"/>
  <c r="V12" i="4"/>
  <c r="T12" i="4"/>
  <c r="D28" i="8" l="1"/>
  <c r="C34" i="8"/>
  <c r="D4" i="8"/>
  <c r="B35" i="8"/>
  <c r="L5" i="8" l="1"/>
  <c r="I5" i="8"/>
  <c r="E3" i="8"/>
  <c r="E4" i="8"/>
  <c r="D32" i="8"/>
  <c r="C35" i="8"/>
  <c r="D35" i="8" s="1"/>
  <c r="B36" i="8"/>
  <c r="D34" i="8"/>
  <c r="D33" i="8"/>
  <c r="C36" i="8" l="1"/>
  <c r="D36" i="8" s="1"/>
  <c r="B37" i="8"/>
  <c r="C37" i="8" s="1"/>
  <c r="D37" i="8" s="1"/>
  <c r="B38" i="8"/>
  <c r="V8" i="4" l="1"/>
  <c r="T8" i="4"/>
  <c r="M8" i="4"/>
  <c r="V7" i="4"/>
  <c r="T7" i="4"/>
  <c r="M7" i="4"/>
  <c r="M6" i="4"/>
  <c r="V9" i="4"/>
  <c r="T9" i="4"/>
  <c r="M9" i="4"/>
  <c r="V6" i="4"/>
  <c r="T6" i="4"/>
  <c r="V11" i="4"/>
  <c r="T11" i="4"/>
  <c r="M11" i="4"/>
  <c r="V5" i="4"/>
  <c r="T5" i="4"/>
  <c r="M5" i="4"/>
  <c r="V4" i="4"/>
  <c r="M4" i="4"/>
  <c r="T4" i="4"/>
  <c r="V3" i="4"/>
  <c r="T3" i="4"/>
  <c r="M3" i="4"/>
  <c r="H5" i="3"/>
  <c r="Q5" i="3"/>
  <c r="O5" i="3"/>
  <c r="G5" i="3"/>
  <c r="H9" i="3"/>
  <c r="H7" i="3"/>
  <c r="O7" i="3"/>
  <c r="Q7" i="3"/>
  <c r="Q6" i="3"/>
  <c r="O6" i="3"/>
  <c r="H6" i="3" l="1"/>
  <c r="G9" i="3"/>
  <c r="G6" i="3"/>
  <c r="Q17" i="3" l="1"/>
  <c r="O17" i="3"/>
  <c r="H17" i="3"/>
  <c r="G17" i="3"/>
  <c r="H18" i="3"/>
  <c r="H16" i="3"/>
  <c r="H15" i="3"/>
  <c r="H3" i="3"/>
  <c r="H2" i="3"/>
  <c r="Q4" i="3"/>
  <c r="O4" i="3"/>
  <c r="G4" i="3"/>
  <c r="H4" i="3"/>
  <c r="Q14" i="3"/>
  <c r="O14" i="3"/>
  <c r="H14" i="3"/>
  <c r="G14" i="3"/>
  <c r="Q16" i="3"/>
  <c r="O16" i="3"/>
  <c r="G16" i="3"/>
  <c r="Q21" i="3"/>
  <c r="O21" i="3"/>
  <c r="Q19" i="3"/>
  <c r="O19" i="3"/>
  <c r="Q18" i="3"/>
  <c r="O18" i="3"/>
  <c r="Q15" i="3"/>
  <c r="O15" i="3"/>
  <c r="G3" i="3"/>
  <c r="G15" i="3"/>
  <c r="G18" i="3"/>
  <c r="G19" i="3"/>
  <c r="G21" i="3"/>
  <c r="Q3" i="3"/>
  <c r="O3" i="3"/>
  <c r="Q2" i="3"/>
  <c r="O2" i="3"/>
  <c r="G2" i="3"/>
  <c r="G2" i="2"/>
  <c r="T33" i="2"/>
  <c r="R33" i="2"/>
  <c r="G33" i="2"/>
  <c r="T23" i="2"/>
  <c r="R23" i="2"/>
  <c r="G23" i="2"/>
  <c r="G22" i="2"/>
  <c r="T22" i="2"/>
  <c r="R22" i="2"/>
  <c r="T11" i="2"/>
  <c r="R11" i="2"/>
  <c r="G11" i="2"/>
  <c r="R27" i="2"/>
  <c r="R28" i="2"/>
  <c r="T27" i="2"/>
  <c r="T28" i="2"/>
  <c r="G27" i="2"/>
  <c r="T26" i="2"/>
  <c r="R26" i="2"/>
  <c r="G26" i="2" l="1"/>
  <c r="G28" i="2"/>
  <c r="T19" i="2" l="1"/>
  <c r="T20" i="2"/>
  <c r="R19" i="2"/>
  <c r="R20" i="2"/>
  <c r="G19" i="2"/>
  <c r="G20" i="2"/>
  <c r="G21" i="2"/>
  <c r="T21" i="2"/>
  <c r="R21" i="2"/>
  <c r="AR14" i="2"/>
  <c r="AS14" i="2"/>
  <c r="AT14" i="2"/>
  <c r="AR15" i="2"/>
  <c r="AS15" i="2"/>
  <c r="AT15" i="2"/>
  <c r="AR16" i="2"/>
  <c r="AS16" i="2"/>
  <c r="AT16" i="2"/>
  <c r="AQ15" i="2"/>
  <c r="AQ16" i="2"/>
  <c r="AQ14" i="2"/>
  <c r="G15" i="2"/>
  <c r="G14" i="2"/>
  <c r="G13" i="2"/>
  <c r="T13" i="2"/>
  <c r="T15" i="2"/>
  <c r="T14" i="2"/>
  <c r="R13" i="2"/>
  <c r="R15" i="2"/>
  <c r="R14" i="2"/>
  <c r="G9" i="2"/>
  <c r="T9" i="2"/>
  <c r="R9" i="2"/>
  <c r="G10" i="2"/>
  <c r="G8" i="2"/>
  <c r="T10" i="2"/>
  <c r="R10" i="2"/>
  <c r="T8" i="2"/>
  <c r="R8" i="2"/>
  <c r="G5" i="2" l="1"/>
  <c r="G3" i="2"/>
  <c r="G4" i="2"/>
  <c r="T4" i="2"/>
  <c r="R4" i="2"/>
  <c r="T3" i="2"/>
  <c r="R3" i="2"/>
  <c r="T2" i="2"/>
  <c r="R2" i="2"/>
  <c r="T5" i="2"/>
  <c r="R5" i="2"/>
</calcChain>
</file>

<file path=xl/sharedStrings.xml><?xml version="1.0" encoding="utf-8"?>
<sst xmlns="http://schemas.openxmlformats.org/spreadsheetml/2006/main" count="562" uniqueCount="216">
  <si>
    <t>Model</t>
  </si>
  <si>
    <t>19.1 tuned</t>
  </si>
  <si>
    <t>Notes</t>
  </si>
  <si>
    <t>2020 Reference model</t>
  </si>
  <si>
    <t>2020 reference model tuned variance adjustment factors</t>
  </si>
  <si>
    <t>20.1 tuned</t>
  </si>
  <si>
    <t>Growth on temp, rec on heatwave #3 the cube root of spawning heatwave index</t>
  </si>
  <si>
    <t>21.1 tuned</t>
  </si>
  <si>
    <t>21.1 tuned 501</t>
  </si>
  <si>
    <t>Growth on temp and R0 on cube root of spawning heatwave index</t>
  </si>
  <si>
    <t>Growth on temp and R0 on cube root of spawning heatwave index and M on  #5</t>
  </si>
  <si>
    <t>Rho</t>
  </si>
  <si>
    <t>WH_rho</t>
  </si>
  <si>
    <t>RMSE</t>
  </si>
  <si>
    <t>LLIke</t>
  </si>
  <si>
    <t>Model19.1</t>
  </si>
  <si>
    <t>Param</t>
  </si>
  <si>
    <t>Model21.1</t>
  </si>
  <si>
    <t>Note</t>
  </si>
  <si>
    <t>Corr</t>
  </si>
  <si>
    <t>slope</t>
  </si>
  <si>
    <t>Midpoint</t>
  </si>
  <si>
    <t>M_env</t>
  </si>
  <si>
    <t>M</t>
  </si>
  <si>
    <t>UnfishedSPbio</t>
  </si>
  <si>
    <t>B2021</t>
  </si>
  <si>
    <t>ratio21</t>
  </si>
  <si>
    <t>ratio22</t>
  </si>
  <si>
    <t>Model20.1a</t>
  </si>
  <si>
    <t>Model20.1b</t>
  </si>
  <si>
    <t>B2022</t>
  </si>
  <si>
    <t>AIC</t>
  </si>
  <si>
    <t>Model21.2a</t>
  </si>
  <si>
    <t>Model21.3a</t>
  </si>
  <si>
    <t>MAX_M</t>
  </si>
  <si>
    <t>Same as model 19.1, but with Laurel/Litzow larval index</t>
  </si>
  <si>
    <t>Same as Model 21.1, but with Laurel/Litzow larval index</t>
  </si>
  <si>
    <t>Model20.1c</t>
  </si>
  <si>
    <t>Same as Model 20.1b, but with Laurel/Litzow larval index</t>
  </si>
  <si>
    <t>Model20.1d</t>
  </si>
  <si>
    <t>Model21.2b</t>
  </si>
  <si>
    <t>Model21.3b</t>
  </si>
  <si>
    <t>Same as model 19.1, but with Rogers larval index</t>
  </si>
  <si>
    <t>Same as Model 21.1, but with Rogers larval index</t>
  </si>
  <si>
    <t>Same as Model 20.1b, but with Rogers larval index</t>
  </si>
  <si>
    <r>
      <rPr>
        <sz val="11"/>
        <color theme="1"/>
        <rFont val="Calibri"/>
        <family val="2"/>
      </rPr>
      <t xml:space="preserve">CV </t>
    </r>
    <r>
      <rPr>
        <sz val="11"/>
        <color theme="1"/>
        <rFont val="Calibri"/>
        <family val="2"/>
        <scheme val="minor"/>
      </rPr>
      <t>LOO_M</t>
    </r>
  </si>
  <si>
    <t>CV LOO_UNSSB</t>
  </si>
  <si>
    <t>CV LOO F40</t>
  </si>
  <si>
    <t>CV Q</t>
  </si>
  <si>
    <r>
      <t xml:space="preserve">CV </t>
    </r>
    <r>
      <rPr>
        <sz val="11"/>
        <color theme="1"/>
        <rFont val="Calibri"/>
        <family val="2"/>
      </rPr>
      <t xml:space="preserve">CV </t>
    </r>
    <r>
      <rPr>
        <sz val="11"/>
        <color theme="1"/>
        <rFont val="Calibri"/>
        <family val="2"/>
        <scheme val="minor"/>
      </rPr>
      <t>LOO_M</t>
    </r>
  </si>
  <si>
    <t>CV CV Q</t>
  </si>
  <si>
    <t>CV CV LOO_UNSSB</t>
  </si>
  <si>
    <t>CV CV LOO F40</t>
  </si>
  <si>
    <t>Reference Model</t>
  </si>
  <si>
    <t>Reference model with temp linked Growth</t>
  </si>
  <si>
    <t>Reference model with temp-linked growth and heatwave-linked recruitment</t>
  </si>
  <si>
    <t>Reference model with temp-linked growth and heatwave-linked recruitment and mortality</t>
  </si>
  <si>
    <r>
      <t xml:space="preserve">CV </t>
    </r>
    <r>
      <rPr>
        <sz val="11"/>
        <color theme="1"/>
        <rFont val="Calibri"/>
        <family val="2"/>
      </rPr>
      <t xml:space="preserve">SD </t>
    </r>
    <r>
      <rPr>
        <sz val="11"/>
        <color theme="1"/>
        <rFont val="Calibri"/>
        <family val="2"/>
        <scheme val="minor"/>
      </rPr>
      <t>LOO_M</t>
    </r>
  </si>
  <si>
    <t>CV SD Q</t>
  </si>
  <si>
    <t>CV SD LOO_UNSSB</t>
  </si>
  <si>
    <t>CV SD LOO F40</t>
  </si>
  <si>
    <t>Nat_M_Bias</t>
  </si>
  <si>
    <t>annF_Btgt_BIAS</t>
  </si>
  <si>
    <t>Q_BIAS</t>
  </si>
  <si>
    <t>SSB_UN_BIAS</t>
  </si>
  <si>
    <t>Nat_M_RMSE</t>
  </si>
  <si>
    <t>annF_Btgt_RMSE</t>
  </si>
  <si>
    <t>Q_RMSE</t>
  </si>
  <si>
    <t>SSB_UN_RMSE</t>
  </si>
  <si>
    <t>Tuned</t>
  </si>
  <si>
    <t>Ind_Retuned</t>
  </si>
  <si>
    <t>Untuned</t>
  </si>
  <si>
    <t>Same as model 19.1, but with Laurel/Litzow larval index and index variance check with derechlet multinomial</t>
  </si>
  <si>
    <t>Same as Model 20.1b, but with Laurel/Litzow larval index and index variance check with derechlet multinomial</t>
  </si>
  <si>
    <t>Same as Model 21.1, but with Laurel/Litzow larval index and index variance check with derechlet multinomial</t>
  </si>
  <si>
    <t>Model 21.4a</t>
  </si>
  <si>
    <t>Same as Model 21.3a, but with age specific M for ages 0,1,3,5, ages 1,3 heatwave-linked</t>
  </si>
  <si>
    <t>Model21.4a</t>
  </si>
  <si>
    <t>21.3c</t>
  </si>
  <si>
    <t>Same as Model 21.3a but with variance estimated for catchability</t>
  </si>
  <si>
    <t>variance on Qs lengths tuned to Francis</t>
  </si>
  <si>
    <t>Same as 19.1 except Q fixed at 1.0 and with Var on Qs and tuned lengths</t>
  </si>
  <si>
    <t>Model 19.1b</t>
  </si>
  <si>
    <t>Model 19.1</t>
  </si>
  <si>
    <t>Model 21.2a</t>
  </si>
  <si>
    <t>Model 21.2b</t>
  </si>
  <si>
    <t>Catch 2022</t>
  </si>
  <si>
    <t>Model 19.1c</t>
  </si>
  <si>
    <t>Model 21.1b</t>
  </si>
  <si>
    <t>Qbt</t>
  </si>
  <si>
    <t>Model 21.2c</t>
  </si>
  <si>
    <t>Model21.3c</t>
  </si>
  <si>
    <t>Model 21.1c</t>
  </si>
  <si>
    <t>Model 21.1d</t>
  </si>
  <si>
    <t>Model 21.1e</t>
  </si>
  <si>
    <t>Model 19.1d</t>
  </si>
  <si>
    <t>Model 21.1</t>
  </si>
  <si>
    <t>Model 21.5a</t>
  </si>
  <si>
    <t>Label</t>
  </si>
  <si>
    <t>ALL</t>
  </si>
  <si>
    <t>FshTrawl</t>
  </si>
  <si>
    <t>FshLL</t>
  </si>
  <si>
    <t>FshPot</t>
  </si>
  <si>
    <t>Srv</t>
  </si>
  <si>
    <t>LLSrv</t>
  </si>
  <si>
    <t>NA</t>
  </si>
  <si>
    <t>Surv_like</t>
  </si>
  <si>
    <t>Length_like</t>
  </si>
  <si>
    <t>Age_like</t>
  </si>
  <si>
    <t>Seine</t>
  </si>
  <si>
    <t>21.5a</t>
  </si>
  <si>
    <t>NatM_p_1_Fem_GP_1</t>
  </si>
  <si>
    <t>NatM_p_1_Fem_GP_1_BLK4repl_2014</t>
  </si>
  <si>
    <t>NatM_p_1_Fem_GP_1_ENV_add</t>
  </si>
  <si>
    <t>NatM_p_1_Fem_GP_1_ENV_mult</t>
  </si>
  <si>
    <t>L_at_Amax_Fem_GP_1</t>
  </si>
  <si>
    <t>L_at_Amax_Fem_GP_1_ENV_mult</t>
  </si>
  <si>
    <t>VonBert_K_Fem_GP_1</t>
  </si>
  <si>
    <t>VonBert_K_Fem_GP_1_ENV_mult</t>
  </si>
  <si>
    <t>SSB_Virgin_thousand_mt</t>
  </si>
  <si>
    <t>Bratio_2021</t>
  </si>
  <si>
    <t>SPRratio_2020</t>
  </si>
  <si>
    <t>R</t>
  </si>
  <si>
    <t>GMR</t>
  </si>
  <si>
    <t>Model21.1b</t>
  </si>
  <si>
    <t>Model21.1c</t>
  </si>
  <si>
    <t>Model21.1d</t>
  </si>
  <si>
    <t>Model21.1e</t>
  </si>
  <si>
    <t>Model21.5a</t>
  </si>
  <si>
    <t>GMRT</t>
  </si>
  <si>
    <t>WW2</t>
  </si>
  <si>
    <t>Vietnam</t>
  </si>
  <si>
    <t>Gulf war</t>
  </si>
  <si>
    <t>War on terrorism</t>
  </si>
  <si>
    <t>Korean War</t>
  </si>
  <si>
    <t>COVID Veterens</t>
  </si>
  <si>
    <t>TOTAL</t>
  </si>
  <si>
    <t>Catch</t>
  </si>
  <si>
    <t>Equil_catch</t>
  </si>
  <si>
    <t>Survey</t>
  </si>
  <si>
    <t>Length_comp</t>
  </si>
  <si>
    <t>Age_comp</t>
  </si>
  <si>
    <t>Recruitment</t>
  </si>
  <si>
    <t>InitEQ_Regime</t>
  </si>
  <si>
    <t>Forecast_Recruitment</t>
  </si>
  <si>
    <t>Parm_priors</t>
  </si>
  <si>
    <t>Parm_softbounds</t>
  </si>
  <si>
    <t>Parm_devs</t>
  </si>
  <si>
    <t>Model 21.1a</t>
  </si>
  <si>
    <t>Survey BT</t>
  </si>
  <si>
    <t>Survey LL</t>
  </si>
  <si>
    <t>Survey Seine</t>
  </si>
  <si>
    <t>GRT</t>
  </si>
  <si>
    <t>Model 21.1cd</t>
  </si>
  <si>
    <t>MR</t>
  </si>
  <si>
    <t>GR</t>
  </si>
  <si>
    <t>G</t>
  </si>
  <si>
    <t>Model 21.5c</t>
  </si>
  <si>
    <t>Model 21.1g</t>
  </si>
  <si>
    <t>21.1a</t>
  </si>
  <si>
    <t>21.1b</t>
  </si>
  <si>
    <t>21.1c</t>
  </si>
  <si>
    <t>21.1d</t>
  </si>
  <si>
    <t>21.1cd</t>
  </si>
  <si>
    <t>21.1e</t>
  </si>
  <si>
    <t>21.1g</t>
  </si>
  <si>
    <t>21.5c</t>
  </si>
  <si>
    <t>Model21.1g</t>
  </si>
  <si>
    <t>Model21.5c</t>
  </si>
  <si>
    <t>Model21.1a</t>
  </si>
  <si>
    <t>Model21.1cd</t>
  </si>
  <si>
    <t>Total</t>
  </si>
  <si>
    <t>SE</t>
  </si>
  <si>
    <t>Year</t>
  </si>
  <si>
    <t>CPUE (#/set)</t>
  </si>
  <si>
    <t>Larval growth index</t>
  </si>
  <si>
    <r>
      <t>CFSR SST Anomaly (</t>
    </r>
    <r>
      <rPr>
        <sz val="11"/>
        <color theme="1"/>
        <rFont val="Times New Roman"/>
        <family val="1"/>
      </rPr>
      <t>°</t>
    </r>
    <r>
      <rPr>
        <sz val="11"/>
        <color theme="1"/>
        <rFont val="Calibri"/>
        <family val="2"/>
        <scheme val="minor"/>
      </rPr>
      <t>C)</t>
    </r>
  </si>
  <si>
    <t xml:space="preserve">Asymptotic heatwave index     </t>
  </si>
  <si>
    <t>Spawning heatwave index            (°C days)</t>
  </si>
  <si>
    <r>
      <t>Annual heatwave index             (</t>
    </r>
    <r>
      <rPr>
        <sz val="11"/>
        <color theme="1"/>
        <rFont val="Times New Roman"/>
        <family val="1"/>
      </rPr>
      <t>°</t>
    </r>
    <r>
      <rPr>
        <sz val="11"/>
        <color theme="1"/>
        <rFont val="Calibri"/>
        <family val="2"/>
        <scheme val="minor"/>
      </rPr>
      <t>C days)</t>
    </r>
  </si>
  <si>
    <t>Marginal AIC</t>
  </si>
  <si>
    <t>Q bottom trawl</t>
  </si>
  <si>
    <t># Parameters</t>
  </si>
  <si>
    <t>-Log likelihood</t>
  </si>
  <si>
    <t>-Marginal log likelihood</t>
  </si>
  <si>
    <t>ρ</t>
  </si>
  <si>
    <t>Retrospective analysis (SSB)</t>
  </si>
  <si>
    <t>TOTAL_like</t>
  </si>
  <si>
    <t>Survey_like</t>
  </si>
  <si>
    <t>Length_comp_like</t>
  </si>
  <si>
    <t>Age_comp_like</t>
  </si>
  <si>
    <t>Parm_priors_like</t>
  </si>
  <si>
    <t>Recr_Virgin_millions</t>
  </si>
  <si>
    <t>SR_LN(R0)</t>
  </si>
  <si>
    <t>SR_LN(R0)_ENV_mult</t>
  </si>
  <si>
    <t>NatM_uniform_Fem_GP_1</t>
  </si>
  <si>
    <t>NatM_uniform_Fem_GP_1_BLK4repl_2014</t>
  </si>
  <si>
    <t>Stdev</t>
  </si>
  <si>
    <t>CV</t>
  </si>
  <si>
    <t>Average</t>
  </si>
  <si>
    <t>Age-0 Recruits</t>
  </si>
  <si>
    <t>Attributes</t>
  </si>
  <si>
    <t>Mh</t>
  </si>
  <si>
    <t>R, Mh</t>
  </si>
  <si>
    <t>G, R, Mh</t>
  </si>
  <si>
    <t>G, R, Mh, T</t>
  </si>
  <si>
    <t>G,R,M20</t>
  </si>
  <si>
    <t>G,R,T</t>
  </si>
  <si>
    <t>Woodshole ρ</t>
  </si>
  <si>
    <t>Value</t>
  </si>
  <si>
    <t>StdDev</t>
  </si>
  <si>
    <t>SSB (t)</t>
  </si>
  <si>
    <t>Length mean effN</t>
  </si>
  <si>
    <t>Age Mean effn</t>
  </si>
  <si>
    <t>2006-2020 average</t>
  </si>
  <si>
    <t>Age-0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</si>
</sst>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43" formatCode="_(* #,##0.00_);_(* \(#,##0.00\);_(* &quot;-&quot;??_);_(@_)"/>
    <numFmt numFmtId="164" formatCode="_(* #,##0_);_(* \(#,##0\);_(* &quot;-&quot;??_);_(@_)"/>
    <numFmt numFmtId="165" formatCode="_(* #,##0.000_);_(* \(#,##0.000\);_(* &quot;-&quot;??_);_(@_)"/>
    <numFmt numFmtId="166" formatCode="0.0000"/>
    <numFmt numFmtId="167" formatCode="0.000"/>
    <numFmt numFmtId="168" formatCode="0.0"/>
    <numFmt numFmtId="169" formatCode="0.0000000"/>
    <numFmt numFmtId="170" formatCode="0.000000"/>
    <numFmt numFmtId="171" formatCode="_(* #,##0.0000_);_(* \(#,##0.0000\);_(* &quot;-&quot;??_);_(@_)"/>
    <numFmt numFmtId="172" formatCode="_(* #,##0.0_);_(* \(#,##0.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11"/>
      <color theme="1"/>
      <name val="Times New Roman"/>
      <family val="1"/>
    </font>
    <font>
      <sz val="8"/>
      <color theme="1"/>
      <name val="Calibri"/>
      <family val="2"/>
      <scheme val="minor"/>
    </font>
    <font>
      <sz val="8"/>
      <color theme="1"/>
      <name val="Times New Roman"/>
      <family val="1"/>
    </font>
    <font>
      <sz val="8"/>
      <color rgb="FF000000"/>
      <name val="Times New Roman"/>
      <family val="1"/>
    </font>
    <font>
      <sz val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6">
    <xf numFmtId="0" fontId="0" fillId="0" borderId="0" xfId="0"/>
    <xf numFmtId="0" fontId="0" fillId="0" borderId="0" xfId="0" applyAlignment="1">
      <alignment horizontal="right"/>
    </xf>
    <xf numFmtId="11" fontId="0" fillId="0" borderId="0" xfId="0" applyNumberFormat="1"/>
    <xf numFmtId="164" fontId="0" fillId="0" borderId="0" xfId="1" applyNumberFormat="1" applyFon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20" fontId="0" fillId="0" borderId="0" xfId="0" applyNumberFormat="1"/>
    <xf numFmtId="10" fontId="0" fillId="0" borderId="0" xfId="2" applyNumberFormat="1" applyFont="1"/>
    <xf numFmtId="166" fontId="0" fillId="0" borderId="0" xfId="2" applyNumberFormat="1" applyFont="1"/>
    <xf numFmtId="165" fontId="0" fillId="0" borderId="0" xfId="1" applyNumberFormat="1" applyFont="1"/>
    <xf numFmtId="0" fontId="2" fillId="0" borderId="0" xfId="0" applyFont="1"/>
    <xf numFmtId="168" fontId="0" fillId="0" borderId="0" xfId="0" applyNumberFormat="1"/>
    <xf numFmtId="168" fontId="0" fillId="0" borderId="0" xfId="1" applyNumberFormat="1" applyFont="1"/>
    <xf numFmtId="2" fontId="0" fillId="0" borderId="0" xfId="0" applyNumberFormat="1"/>
    <xf numFmtId="0" fontId="0" fillId="0" borderId="0" xfId="0" applyFill="1"/>
    <xf numFmtId="167" fontId="0" fillId="0" borderId="0" xfId="0" applyNumberFormat="1" applyFill="1"/>
    <xf numFmtId="164" fontId="0" fillId="0" borderId="0" xfId="1" applyNumberFormat="1" applyFont="1" applyFill="1"/>
    <xf numFmtId="164" fontId="0" fillId="0" borderId="0" xfId="0" applyNumberFormat="1"/>
    <xf numFmtId="43" fontId="0" fillId="0" borderId="0" xfId="0" applyNumberFormat="1"/>
    <xf numFmtId="43" fontId="0" fillId="0" borderId="0" xfId="1" applyFont="1"/>
    <xf numFmtId="0" fontId="0" fillId="2" borderId="0" xfId="0" applyFill="1"/>
    <xf numFmtId="0" fontId="4" fillId="2" borderId="0" xfId="0" applyFont="1" applyFill="1"/>
    <xf numFmtId="2" fontId="0" fillId="0" borderId="0" xfId="0" applyNumberFormat="1" applyFill="1"/>
    <xf numFmtId="169" fontId="0" fillId="0" borderId="0" xfId="0" applyNumberFormat="1"/>
    <xf numFmtId="170" fontId="0" fillId="0" borderId="0" xfId="0" applyNumberFormat="1"/>
    <xf numFmtId="0" fontId="0" fillId="0" borderId="0" xfId="0" applyFill="1" applyAlignment="1">
      <alignment horizontal="right"/>
    </xf>
    <xf numFmtId="11" fontId="0" fillId="0" borderId="0" xfId="0" applyNumberFormat="1" applyFill="1"/>
    <xf numFmtId="168" fontId="0" fillId="0" borderId="0" xfId="0" applyNumberFormat="1" applyAlignment="1">
      <alignment horizontal="right"/>
    </xf>
    <xf numFmtId="0" fontId="0" fillId="0" borderId="1" xfId="0" applyBorder="1"/>
    <xf numFmtId="2" fontId="0" fillId="0" borderId="1" xfId="0" applyNumberFormat="1" applyBorder="1"/>
    <xf numFmtId="164" fontId="0" fillId="0" borderId="0" xfId="0" applyNumberFormat="1" applyAlignment="1">
      <alignment horizontal="right"/>
    </xf>
    <xf numFmtId="3" fontId="0" fillId="0" borderId="0" xfId="0" applyNumberFormat="1"/>
    <xf numFmtId="171" fontId="0" fillId="0" borderId="0" xfId="0" applyNumberFormat="1"/>
    <xf numFmtId="0" fontId="0" fillId="0" borderId="2" xfId="0" applyBorder="1"/>
    <xf numFmtId="0" fontId="0" fillId="0" borderId="3" xfId="0" applyBorder="1"/>
    <xf numFmtId="166" fontId="0" fillId="0" borderId="1" xfId="0" applyNumberFormat="1" applyBorder="1"/>
    <xf numFmtId="0" fontId="0" fillId="0" borderId="0" xfId="0" applyAlignment="1">
      <alignment wrapText="1"/>
    </xf>
    <xf numFmtId="0" fontId="0" fillId="0" borderId="3" xfId="0" applyBorder="1" applyAlignment="1">
      <alignment horizontal="center" wrapText="1"/>
    </xf>
    <xf numFmtId="167" fontId="0" fillId="0" borderId="3" xfId="0" applyNumberFormat="1" applyBorder="1" applyAlignment="1">
      <alignment horizontal="center" wrapText="1"/>
    </xf>
    <xf numFmtId="167" fontId="0" fillId="0" borderId="1" xfId="0" applyNumberFormat="1" applyBorder="1"/>
    <xf numFmtId="0" fontId="0" fillId="0" borderId="4" xfId="0" applyBorder="1"/>
    <xf numFmtId="0" fontId="0" fillId="0" borderId="3" xfId="0" applyBorder="1" applyAlignment="1">
      <alignment horizontal="right"/>
    </xf>
    <xf numFmtId="0" fontId="0" fillId="0" borderId="0" xfId="0" applyBorder="1"/>
    <xf numFmtId="0" fontId="0" fillId="0" borderId="0" xfId="0" applyBorder="1" applyAlignment="1">
      <alignment horizontal="right"/>
    </xf>
    <xf numFmtId="0" fontId="0" fillId="0" borderId="1" xfId="0" applyBorder="1" applyAlignment="1">
      <alignment horizontal="right"/>
    </xf>
    <xf numFmtId="0" fontId="2" fillId="0" borderId="4" xfId="0" applyFont="1" applyBorder="1"/>
    <xf numFmtId="0" fontId="0" fillId="0" borderId="4" xfId="0" applyBorder="1" applyAlignment="1">
      <alignment horizontal="center"/>
    </xf>
    <xf numFmtId="0" fontId="0" fillId="2" borderId="1" xfId="0" applyFill="1" applyBorder="1"/>
    <xf numFmtId="168" fontId="0" fillId="0" borderId="1" xfId="0" applyNumberFormat="1" applyBorder="1"/>
    <xf numFmtId="0" fontId="7" fillId="0" borderId="3" xfId="0" applyFont="1" applyBorder="1"/>
    <xf numFmtId="0" fontId="7" fillId="0" borderId="0" xfId="0" applyFont="1"/>
    <xf numFmtId="2" fontId="7" fillId="0" borderId="0" xfId="0" applyNumberFormat="1" applyFont="1"/>
    <xf numFmtId="166" fontId="7" fillId="0" borderId="0" xfId="0" applyNumberFormat="1" applyFont="1"/>
    <xf numFmtId="0" fontId="7" fillId="0" borderId="1" xfId="0" applyFont="1" applyBorder="1"/>
    <xf numFmtId="2" fontId="7" fillId="0" borderId="1" xfId="0" applyNumberFormat="1" applyFont="1" applyBorder="1"/>
    <xf numFmtId="43" fontId="0" fillId="0" borderId="0" xfId="1" applyNumberFormat="1" applyFont="1"/>
    <xf numFmtId="164" fontId="0" fillId="0" borderId="1" xfId="1" applyNumberFormat="1" applyFont="1" applyBorder="1"/>
    <xf numFmtId="0" fontId="0" fillId="3" borderId="5" xfId="0" applyFill="1" applyBorder="1"/>
    <xf numFmtId="164" fontId="0" fillId="3" borderId="5" xfId="1" applyNumberFormat="1" applyFont="1" applyFill="1" applyBorder="1"/>
    <xf numFmtId="167" fontId="0" fillId="3" borderId="5" xfId="0" applyNumberFormat="1" applyFill="1" applyBorder="1"/>
    <xf numFmtId="164" fontId="0" fillId="0" borderId="0" xfId="1" applyNumberFormat="1" applyFont="1" applyBorder="1"/>
    <xf numFmtId="167" fontId="0" fillId="0" borderId="9" xfId="0" applyNumberFormat="1" applyBorder="1"/>
    <xf numFmtId="167" fontId="0" fillId="0" borderId="10" xfId="0" applyNumberFormat="1" applyBorder="1"/>
    <xf numFmtId="167" fontId="0" fillId="3" borderId="6" xfId="0" applyNumberFormat="1" applyFill="1" applyBorder="1"/>
    <xf numFmtId="0" fontId="0" fillId="0" borderId="8" xfId="0" applyBorder="1" applyAlignment="1">
      <alignment horizontal="center"/>
    </xf>
    <xf numFmtId="0" fontId="8" fillId="0" borderId="0" xfId="0" applyFont="1" applyAlignment="1">
      <alignment horizontal="right" vertical="center" wrapText="1"/>
    </xf>
    <xf numFmtId="0" fontId="8" fillId="0" borderId="11" xfId="0" applyFont="1" applyBorder="1" applyAlignment="1">
      <alignment horizontal="right" vertical="center" wrapText="1"/>
    </xf>
    <xf numFmtId="0" fontId="7" fillId="2" borderId="0" xfId="0" applyFont="1" applyFill="1"/>
    <xf numFmtId="172" fontId="7" fillId="0" borderId="0" xfId="1" applyNumberFormat="1" applyFont="1"/>
    <xf numFmtId="167" fontId="7" fillId="0" borderId="0" xfId="0" applyNumberFormat="1" applyFont="1"/>
    <xf numFmtId="0" fontId="9" fillId="2" borderId="0" xfId="0" applyFont="1" applyFill="1"/>
    <xf numFmtId="0" fontId="7" fillId="0" borderId="0" xfId="0" applyFont="1" applyFill="1"/>
    <xf numFmtId="172" fontId="7" fillId="0" borderId="0" xfId="1" applyNumberFormat="1" applyFont="1" applyFill="1"/>
    <xf numFmtId="167" fontId="7" fillId="0" borderId="0" xfId="0" applyNumberFormat="1" applyFont="1" applyFill="1"/>
    <xf numFmtId="0" fontId="7" fillId="2" borderId="1" xfId="0" applyFont="1" applyFill="1" applyBorder="1"/>
    <xf numFmtId="172" fontId="7" fillId="0" borderId="1" xfId="1" applyNumberFormat="1" applyFont="1" applyBorder="1"/>
    <xf numFmtId="167" fontId="7" fillId="0" borderId="1" xfId="0" applyNumberFormat="1" applyFont="1" applyBorder="1"/>
    <xf numFmtId="0" fontId="7" fillId="0" borderId="4" xfId="0" applyFont="1" applyBorder="1" applyAlignment="1">
      <alignment horizontal="center"/>
    </xf>
    <xf numFmtId="0" fontId="7" fillId="0" borderId="4" xfId="0" applyFont="1" applyBorder="1" applyAlignment="1">
      <alignment horizontal="center" wrapText="1"/>
    </xf>
    <xf numFmtId="0" fontId="7" fillId="0" borderId="4" xfId="0" quotePrefix="1" applyFont="1" applyBorder="1" applyAlignment="1">
      <alignment horizontal="center" wrapText="1"/>
    </xf>
    <xf numFmtId="0" fontId="0" fillId="0" borderId="0" xfId="0" applyFill="1" applyBorder="1"/>
    <xf numFmtId="0" fontId="0" fillId="0" borderId="1" xfId="0" applyFill="1" applyBorder="1"/>
    <xf numFmtId="168" fontId="0" fillId="0" borderId="0" xfId="0" applyNumberFormat="1" applyBorder="1"/>
    <xf numFmtId="46" fontId="0" fillId="0" borderId="0" xfId="0" applyNumberFormat="1"/>
    <xf numFmtId="167" fontId="0" fillId="0" borderId="0" xfId="1" applyNumberFormat="1" applyFont="1"/>
    <xf numFmtId="164" fontId="6" fillId="0" borderId="0" xfId="1" applyNumberFormat="1" applyFont="1"/>
    <xf numFmtId="165" fontId="6" fillId="0" borderId="0" xfId="1" applyNumberFormat="1" applyFont="1"/>
    <xf numFmtId="164" fontId="7" fillId="0" borderId="0" xfId="1" applyNumberFormat="1" applyFont="1"/>
    <xf numFmtId="164" fontId="7" fillId="0" borderId="1" xfId="1" applyNumberFormat="1" applyFont="1" applyBorder="1"/>
    <xf numFmtId="165" fontId="7" fillId="0" borderId="0" xfId="1" applyNumberFormat="1" applyFont="1"/>
    <xf numFmtId="0" fontId="7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  <xf numFmtId="164" fontId="7" fillId="0" borderId="0" xfId="1" applyNumberFormat="1" applyFont="1" applyAlignment="1">
      <alignment horizontal="center"/>
    </xf>
    <xf numFmtId="0" fontId="7" fillId="0" borderId="0" xfId="0" applyFont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Conditional age-at-length likelihoods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Sheet5!$C$1</c:f>
              <c:strCache>
                <c:ptCount val="1"/>
                <c:pt idx="0">
                  <c:v>FshTrawl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Sheet5!$K$2:$K$8</c:f>
              <c:strCache>
                <c:ptCount val="7"/>
                <c:pt idx="0">
                  <c:v>19.1</c:v>
                </c:pt>
                <c:pt idx="1">
                  <c:v>21.1a</c:v>
                </c:pt>
                <c:pt idx="2">
                  <c:v>21.1b</c:v>
                </c:pt>
                <c:pt idx="3">
                  <c:v>21.1c</c:v>
                </c:pt>
                <c:pt idx="4">
                  <c:v>21.1d</c:v>
                </c:pt>
                <c:pt idx="5">
                  <c:v>21.1e</c:v>
                </c:pt>
                <c:pt idx="6">
                  <c:v>21.5a</c:v>
                </c:pt>
              </c:strCache>
            </c:strRef>
          </c:cat>
          <c:val>
            <c:numRef>
              <c:f>Sheet5!$L$2:$L$8</c:f>
              <c:numCache>
                <c:formatCode>0.00</c:formatCode>
                <c:ptCount val="7"/>
                <c:pt idx="0">
                  <c:v>0.18100000000004002</c:v>
                </c:pt>
                <c:pt idx="1">
                  <c:v>1.1640000000000441</c:v>
                </c:pt>
                <c:pt idx="2">
                  <c:v>0</c:v>
                </c:pt>
                <c:pt idx="3">
                  <c:v>1.8149999999999977</c:v>
                </c:pt>
                <c:pt idx="4">
                  <c:v>1.2139999999999986</c:v>
                </c:pt>
                <c:pt idx="5">
                  <c:v>0.55700000000001637</c:v>
                </c:pt>
                <c:pt idx="6">
                  <c:v>0.42000000000001592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DF-4515-A7A6-7ADCA2C79EA7}"/>
            </c:ext>
          </c:extLst>
        </c:ser>
        <c:ser>
          <c:idx val="1"/>
          <c:order val="1"/>
          <c:tx>
            <c:strRef>
              <c:f>Sheet5!$D$1</c:f>
              <c:strCache>
                <c:ptCount val="1"/>
                <c:pt idx="0">
                  <c:v>FshLL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Sheet5!$K$2:$K$8</c:f>
              <c:strCache>
                <c:ptCount val="7"/>
                <c:pt idx="0">
                  <c:v>19.1</c:v>
                </c:pt>
                <c:pt idx="1">
                  <c:v>21.1a</c:v>
                </c:pt>
                <c:pt idx="2">
                  <c:v>21.1b</c:v>
                </c:pt>
                <c:pt idx="3">
                  <c:v>21.1c</c:v>
                </c:pt>
                <c:pt idx="4">
                  <c:v>21.1d</c:v>
                </c:pt>
                <c:pt idx="5">
                  <c:v>21.1e</c:v>
                </c:pt>
                <c:pt idx="6">
                  <c:v>21.5a</c:v>
                </c:pt>
              </c:strCache>
            </c:strRef>
          </c:cat>
          <c:val>
            <c:numRef>
              <c:f>Sheet5!$M$2:$M$8</c:f>
              <c:numCache>
                <c:formatCode>0.00</c:formatCode>
                <c:ptCount val="7"/>
                <c:pt idx="0">
                  <c:v>4.2969999999999686</c:v>
                </c:pt>
                <c:pt idx="1">
                  <c:v>3.8409999999999513</c:v>
                </c:pt>
                <c:pt idx="2">
                  <c:v>0.632000000000005</c:v>
                </c:pt>
                <c:pt idx="3">
                  <c:v>4.2659999999999627</c:v>
                </c:pt>
                <c:pt idx="4">
                  <c:v>3.8719999999999573</c:v>
                </c:pt>
                <c:pt idx="5">
                  <c:v>0.65399999999999636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DF-4515-A7A6-7ADCA2C79EA7}"/>
            </c:ext>
          </c:extLst>
        </c:ser>
        <c:ser>
          <c:idx val="2"/>
          <c:order val="2"/>
          <c:tx>
            <c:strRef>
              <c:f>Sheet5!$E$1</c:f>
              <c:strCache>
                <c:ptCount val="1"/>
                <c:pt idx="0">
                  <c:v>FshPot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Sheet5!$K$2:$K$8</c:f>
              <c:strCache>
                <c:ptCount val="7"/>
                <c:pt idx="0">
                  <c:v>19.1</c:v>
                </c:pt>
                <c:pt idx="1">
                  <c:v>21.1a</c:v>
                </c:pt>
                <c:pt idx="2">
                  <c:v>21.1b</c:v>
                </c:pt>
                <c:pt idx="3">
                  <c:v>21.1c</c:v>
                </c:pt>
                <c:pt idx="4">
                  <c:v>21.1d</c:v>
                </c:pt>
                <c:pt idx="5">
                  <c:v>21.1e</c:v>
                </c:pt>
                <c:pt idx="6">
                  <c:v>21.5a</c:v>
                </c:pt>
              </c:strCache>
            </c:strRef>
          </c:cat>
          <c:val>
            <c:numRef>
              <c:f>Sheet5!$N$2:$N$8</c:f>
              <c:numCache>
                <c:formatCode>0.00</c:formatCode>
                <c:ptCount val="7"/>
                <c:pt idx="0">
                  <c:v>2.9519999999999982</c:v>
                </c:pt>
                <c:pt idx="1">
                  <c:v>2.8129999999999882</c:v>
                </c:pt>
                <c:pt idx="2">
                  <c:v>0.41699999999997317</c:v>
                </c:pt>
                <c:pt idx="3">
                  <c:v>2.7779999999999632</c:v>
                </c:pt>
                <c:pt idx="4">
                  <c:v>2.8220000000000027</c:v>
                </c:pt>
                <c:pt idx="5">
                  <c:v>6.2999999999988177E-2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5DF-4515-A7A6-7ADCA2C79EA7}"/>
            </c:ext>
          </c:extLst>
        </c:ser>
        <c:ser>
          <c:idx val="3"/>
          <c:order val="3"/>
          <c:tx>
            <c:strRef>
              <c:f>Sheet5!$F$1</c:f>
              <c:strCache>
                <c:ptCount val="1"/>
                <c:pt idx="0">
                  <c:v>Srv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Sheet5!$K$2:$K$8</c:f>
              <c:strCache>
                <c:ptCount val="7"/>
                <c:pt idx="0">
                  <c:v>19.1</c:v>
                </c:pt>
                <c:pt idx="1">
                  <c:v>21.1a</c:v>
                </c:pt>
                <c:pt idx="2">
                  <c:v>21.1b</c:v>
                </c:pt>
                <c:pt idx="3">
                  <c:v>21.1c</c:v>
                </c:pt>
                <c:pt idx="4">
                  <c:v>21.1d</c:v>
                </c:pt>
                <c:pt idx="5">
                  <c:v>21.1e</c:v>
                </c:pt>
                <c:pt idx="6">
                  <c:v>21.5a</c:v>
                </c:pt>
              </c:strCache>
            </c:strRef>
          </c:cat>
          <c:val>
            <c:numRef>
              <c:f>Sheet5!$O$2:$O$8</c:f>
              <c:numCache>
                <c:formatCode>0.00</c:formatCode>
                <c:ptCount val="7"/>
                <c:pt idx="0">
                  <c:v>4.3650000000000091</c:v>
                </c:pt>
                <c:pt idx="1">
                  <c:v>4.3880000000000337</c:v>
                </c:pt>
                <c:pt idx="2">
                  <c:v>2.4660000000000082</c:v>
                </c:pt>
                <c:pt idx="3">
                  <c:v>4.5470000000000255</c:v>
                </c:pt>
                <c:pt idx="4">
                  <c:v>4.7730000000000246</c:v>
                </c:pt>
                <c:pt idx="5">
                  <c:v>1.9780000000000655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5DF-4515-A7A6-7ADCA2C79E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5763968"/>
        <c:axId val="335764800"/>
      </c:barChart>
      <c:catAx>
        <c:axId val="335763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764800"/>
        <c:crosses val="autoZero"/>
        <c:auto val="1"/>
        <c:lblAlgn val="ctr"/>
        <c:lblOffset val="100"/>
        <c:noMultiLvlLbl val="0"/>
      </c:catAx>
      <c:valAx>
        <c:axId val="335764800"/>
        <c:scaling>
          <c:orientation val="minMax"/>
          <c:max val="1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Likelihood (LL- min(LL))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763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Length composition likelihoods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Sheet5!$C$1</c:f>
              <c:strCache>
                <c:ptCount val="1"/>
                <c:pt idx="0">
                  <c:v>FshTrawl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Sheet5!$K$2:$K$8</c:f>
              <c:strCache>
                <c:ptCount val="7"/>
                <c:pt idx="0">
                  <c:v>19.1</c:v>
                </c:pt>
                <c:pt idx="1">
                  <c:v>21.1a</c:v>
                </c:pt>
                <c:pt idx="2">
                  <c:v>21.1b</c:v>
                </c:pt>
                <c:pt idx="3">
                  <c:v>21.1c</c:v>
                </c:pt>
                <c:pt idx="4">
                  <c:v>21.1d</c:v>
                </c:pt>
                <c:pt idx="5">
                  <c:v>21.1e</c:v>
                </c:pt>
                <c:pt idx="6">
                  <c:v>21.5a</c:v>
                </c:pt>
              </c:strCache>
            </c:strRef>
          </c:cat>
          <c:val>
            <c:numRef>
              <c:f>Sheet5!$L$10:$L$16</c:f>
              <c:numCache>
                <c:formatCode>0.00</c:formatCode>
                <c:ptCount val="7"/>
                <c:pt idx="0">
                  <c:v>12.722000000000037</c:v>
                </c:pt>
                <c:pt idx="1">
                  <c:v>5.9560000000000173</c:v>
                </c:pt>
                <c:pt idx="2">
                  <c:v>7.7080000000000268</c:v>
                </c:pt>
                <c:pt idx="3">
                  <c:v>5.2000000000020918E-2</c:v>
                </c:pt>
                <c:pt idx="4">
                  <c:v>0</c:v>
                </c:pt>
                <c:pt idx="5">
                  <c:v>5.6640000000000441</c:v>
                </c:pt>
                <c:pt idx="6">
                  <c:v>0.27500000000003411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47-4A79-BF9D-8AD85D86E3DB}"/>
            </c:ext>
          </c:extLst>
        </c:ser>
        <c:ser>
          <c:idx val="1"/>
          <c:order val="1"/>
          <c:tx>
            <c:strRef>
              <c:f>Sheet5!$D$1</c:f>
              <c:strCache>
                <c:ptCount val="1"/>
                <c:pt idx="0">
                  <c:v>FshLL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Sheet5!$K$2:$K$8</c:f>
              <c:strCache>
                <c:ptCount val="7"/>
                <c:pt idx="0">
                  <c:v>19.1</c:v>
                </c:pt>
                <c:pt idx="1">
                  <c:v>21.1a</c:v>
                </c:pt>
                <c:pt idx="2">
                  <c:v>21.1b</c:v>
                </c:pt>
                <c:pt idx="3">
                  <c:v>21.1c</c:v>
                </c:pt>
                <c:pt idx="4">
                  <c:v>21.1d</c:v>
                </c:pt>
                <c:pt idx="5">
                  <c:v>21.1e</c:v>
                </c:pt>
                <c:pt idx="6">
                  <c:v>21.5a</c:v>
                </c:pt>
              </c:strCache>
            </c:strRef>
          </c:cat>
          <c:val>
            <c:numRef>
              <c:f>Sheet5!$M$10:$M$16</c:f>
              <c:numCache>
                <c:formatCode>0.00</c:formatCode>
                <c:ptCount val="7"/>
                <c:pt idx="0">
                  <c:v>0.44700000000000273</c:v>
                </c:pt>
                <c:pt idx="1">
                  <c:v>3.6100000000000136</c:v>
                </c:pt>
                <c:pt idx="2">
                  <c:v>4.8249999999999886</c:v>
                </c:pt>
                <c:pt idx="3">
                  <c:v>0.35700000000002774</c:v>
                </c:pt>
                <c:pt idx="4">
                  <c:v>0</c:v>
                </c:pt>
                <c:pt idx="5">
                  <c:v>3.1160000000000423</c:v>
                </c:pt>
                <c:pt idx="6">
                  <c:v>0.41800000000000637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47-4A79-BF9D-8AD85D86E3DB}"/>
            </c:ext>
          </c:extLst>
        </c:ser>
        <c:ser>
          <c:idx val="2"/>
          <c:order val="2"/>
          <c:tx>
            <c:strRef>
              <c:f>Sheet5!$E$1</c:f>
              <c:strCache>
                <c:ptCount val="1"/>
                <c:pt idx="0">
                  <c:v>FshPot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Sheet5!$K$2:$K$8</c:f>
              <c:strCache>
                <c:ptCount val="7"/>
                <c:pt idx="0">
                  <c:v>19.1</c:v>
                </c:pt>
                <c:pt idx="1">
                  <c:v>21.1a</c:v>
                </c:pt>
                <c:pt idx="2">
                  <c:v>21.1b</c:v>
                </c:pt>
                <c:pt idx="3">
                  <c:v>21.1c</c:v>
                </c:pt>
                <c:pt idx="4">
                  <c:v>21.1d</c:v>
                </c:pt>
                <c:pt idx="5">
                  <c:v>21.1e</c:v>
                </c:pt>
                <c:pt idx="6">
                  <c:v>21.5a</c:v>
                </c:pt>
              </c:strCache>
            </c:strRef>
          </c:cat>
          <c:val>
            <c:numRef>
              <c:f>Sheet5!$N$10:$N$16</c:f>
              <c:numCache>
                <c:formatCode>0.00</c:formatCode>
                <c:ptCount val="7"/>
                <c:pt idx="0">
                  <c:v>0</c:v>
                </c:pt>
                <c:pt idx="1">
                  <c:v>4.95799999999997</c:v>
                </c:pt>
                <c:pt idx="2">
                  <c:v>1.0600000000000023</c:v>
                </c:pt>
                <c:pt idx="3">
                  <c:v>7.4710000000000036</c:v>
                </c:pt>
                <c:pt idx="4">
                  <c:v>8.0339999999999918</c:v>
                </c:pt>
                <c:pt idx="5">
                  <c:v>5.867999999999995</c:v>
                </c:pt>
                <c:pt idx="6">
                  <c:v>0.12899999999996226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47-4A79-BF9D-8AD85D86E3DB}"/>
            </c:ext>
          </c:extLst>
        </c:ser>
        <c:ser>
          <c:idx val="3"/>
          <c:order val="3"/>
          <c:tx>
            <c:strRef>
              <c:f>Sheet5!$F$1</c:f>
              <c:strCache>
                <c:ptCount val="1"/>
                <c:pt idx="0">
                  <c:v>Srv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Sheet5!$K$2:$K$8</c:f>
              <c:strCache>
                <c:ptCount val="7"/>
                <c:pt idx="0">
                  <c:v>19.1</c:v>
                </c:pt>
                <c:pt idx="1">
                  <c:v>21.1a</c:v>
                </c:pt>
                <c:pt idx="2">
                  <c:v>21.1b</c:v>
                </c:pt>
                <c:pt idx="3">
                  <c:v>21.1c</c:v>
                </c:pt>
                <c:pt idx="4">
                  <c:v>21.1d</c:v>
                </c:pt>
                <c:pt idx="5">
                  <c:v>21.1e</c:v>
                </c:pt>
                <c:pt idx="6">
                  <c:v>21.5a</c:v>
                </c:pt>
              </c:strCache>
            </c:strRef>
          </c:cat>
          <c:val>
            <c:numRef>
              <c:f>Sheet5!$O$2:$O$8</c:f>
              <c:numCache>
                <c:formatCode>0.00</c:formatCode>
                <c:ptCount val="7"/>
                <c:pt idx="0">
                  <c:v>4.3650000000000091</c:v>
                </c:pt>
                <c:pt idx="1">
                  <c:v>4.3880000000000337</c:v>
                </c:pt>
                <c:pt idx="2">
                  <c:v>2.4660000000000082</c:v>
                </c:pt>
                <c:pt idx="3">
                  <c:v>4.5470000000000255</c:v>
                </c:pt>
                <c:pt idx="4">
                  <c:v>4.7730000000000246</c:v>
                </c:pt>
                <c:pt idx="5">
                  <c:v>1.9780000000000655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547-4A79-BF9D-8AD85D86E3DB}"/>
            </c:ext>
          </c:extLst>
        </c:ser>
        <c:ser>
          <c:idx val="4"/>
          <c:order val="4"/>
          <c:tx>
            <c:strRef>
              <c:f>Sheet5!$G$1</c:f>
              <c:strCache>
                <c:ptCount val="1"/>
                <c:pt idx="0">
                  <c:v>LLSrv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Sheet5!$P$11:$P$17</c:f>
              <c:numCache>
                <c:formatCode>0.00</c:formatCode>
                <c:ptCount val="7"/>
                <c:pt idx="0">
                  <c:v>1.6940000000000168</c:v>
                </c:pt>
                <c:pt idx="1">
                  <c:v>4.5820000000000221</c:v>
                </c:pt>
                <c:pt idx="2">
                  <c:v>0</c:v>
                </c:pt>
                <c:pt idx="3">
                  <c:v>4.8790000000000191</c:v>
                </c:pt>
                <c:pt idx="4">
                  <c:v>4.2050000000000125</c:v>
                </c:pt>
                <c:pt idx="5">
                  <c:v>0.34800000000001319</c:v>
                </c:pt>
                <c:pt idx="6">
                  <c:v>1.5120000000000005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547-4A79-BF9D-8AD85D86E3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5763968"/>
        <c:axId val="335764800"/>
      </c:barChart>
      <c:catAx>
        <c:axId val="335763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764800"/>
        <c:crosses val="autoZero"/>
        <c:auto val="1"/>
        <c:lblAlgn val="ctr"/>
        <c:lblOffset val="100"/>
        <c:noMultiLvlLbl val="0"/>
      </c:catAx>
      <c:valAx>
        <c:axId val="335764800"/>
        <c:scaling>
          <c:orientation val="minMax"/>
          <c:max val="1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Likelihood (LL- min(LL))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763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Survey indices</a:t>
            </a:r>
            <a:r>
              <a:rPr lang="en-US" sz="2000" baseline="0"/>
              <a:t> </a:t>
            </a:r>
            <a:r>
              <a:rPr lang="en-US" sz="2000"/>
              <a:t>likelihoods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Sheet5!$F$1</c:f>
              <c:strCache>
                <c:ptCount val="1"/>
                <c:pt idx="0">
                  <c:v>Srv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Sheet5!$K$2:$K$8</c:f>
              <c:strCache>
                <c:ptCount val="7"/>
                <c:pt idx="0">
                  <c:v>19.1</c:v>
                </c:pt>
                <c:pt idx="1">
                  <c:v>21.1a</c:v>
                </c:pt>
                <c:pt idx="2">
                  <c:v>21.1b</c:v>
                </c:pt>
                <c:pt idx="3">
                  <c:v>21.1c</c:v>
                </c:pt>
                <c:pt idx="4">
                  <c:v>21.1d</c:v>
                </c:pt>
                <c:pt idx="5">
                  <c:v>21.1e</c:v>
                </c:pt>
                <c:pt idx="6">
                  <c:v>21.5a</c:v>
                </c:pt>
              </c:strCache>
            </c:strRef>
          </c:cat>
          <c:val>
            <c:numRef>
              <c:f>Sheet5!$O$20:$O$26</c:f>
              <c:numCache>
                <c:formatCode>0.00</c:formatCode>
                <c:ptCount val="7"/>
                <c:pt idx="0">
                  <c:v>0</c:v>
                </c:pt>
                <c:pt idx="1">
                  <c:v>3.6483600000000003</c:v>
                </c:pt>
                <c:pt idx="2">
                  <c:v>2.7075899999999997</c:v>
                </c:pt>
                <c:pt idx="3">
                  <c:v>7.4451499999999999</c:v>
                </c:pt>
                <c:pt idx="4">
                  <c:v>3.2754700000000003</c:v>
                </c:pt>
                <c:pt idx="5">
                  <c:v>6.6254299999999997</c:v>
                </c:pt>
                <c:pt idx="6">
                  <c:v>13.53487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7B5-4EEE-942B-2734781DEBC3}"/>
            </c:ext>
          </c:extLst>
        </c:ser>
        <c:ser>
          <c:idx val="4"/>
          <c:order val="1"/>
          <c:tx>
            <c:strRef>
              <c:f>Sheet5!$G$1</c:f>
              <c:strCache>
                <c:ptCount val="1"/>
                <c:pt idx="0">
                  <c:v>LLSrv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Sheet5!$P$21:$P$27</c:f>
              <c:numCache>
                <c:formatCode>0.00</c:formatCode>
                <c:ptCount val="7"/>
                <c:pt idx="0">
                  <c:v>8.8972800000000003</c:v>
                </c:pt>
                <c:pt idx="1">
                  <c:v>14.864246</c:v>
                </c:pt>
                <c:pt idx="2">
                  <c:v>16.913399999999999</c:v>
                </c:pt>
                <c:pt idx="3">
                  <c:v>8.3304200000000002</c:v>
                </c:pt>
                <c:pt idx="4">
                  <c:v>13.453924000000001</c:v>
                </c:pt>
                <c:pt idx="5">
                  <c:v>9.4134700000000002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7B5-4EEE-942B-2734781DEBC3}"/>
            </c:ext>
          </c:extLst>
        </c:ser>
        <c:ser>
          <c:idx val="0"/>
          <c:order val="2"/>
          <c:tx>
            <c:strRef>
              <c:f>Sheet5!$H$1</c:f>
              <c:strCache>
                <c:ptCount val="1"/>
                <c:pt idx="0">
                  <c:v>Seine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Sheet5!$Q$22:$Q$28</c:f>
              <c:numCache>
                <c:formatCode>0.00</c:formatCode>
                <c:ptCount val="7"/>
                <c:pt idx="1">
                  <c:v>3.7511230000000002</c:v>
                </c:pt>
                <c:pt idx="2">
                  <c:v>4.1929130000000008</c:v>
                </c:pt>
                <c:pt idx="3">
                  <c:v>2.620933</c:v>
                </c:pt>
                <c:pt idx="4">
                  <c:v>3.804783</c:v>
                </c:pt>
                <c:pt idx="5">
                  <c:v>2.9459230000000001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7B5-4EEE-942B-2734781DEB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5763968"/>
        <c:axId val="335764800"/>
      </c:barChart>
      <c:catAx>
        <c:axId val="335763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764800"/>
        <c:crosses val="autoZero"/>
        <c:auto val="1"/>
        <c:lblAlgn val="ctr"/>
        <c:lblOffset val="100"/>
        <c:noMultiLvlLbl val="0"/>
      </c:catAx>
      <c:valAx>
        <c:axId val="33576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Likelihood (LL- min(LL))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763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Recruitment likelihood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Sheet5!$N$30:$N$36</c:f>
              <c:strCache>
                <c:ptCount val="7"/>
                <c:pt idx="0">
                  <c:v>19.1</c:v>
                </c:pt>
                <c:pt idx="1">
                  <c:v>21.1a</c:v>
                </c:pt>
                <c:pt idx="2">
                  <c:v>21.1b</c:v>
                </c:pt>
                <c:pt idx="3">
                  <c:v>21.1c</c:v>
                </c:pt>
                <c:pt idx="4">
                  <c:v>21.1d</c:v>
                </c:pt>
                <c:pt idx="5">
                  <c:v>21.1e</c:v>
                </c:pt>
                <c:pt idx="6">
                  <c:v>21.5a</c:v>
                </c:pt>
              </c:strCache>
            </c:strRef>
          </c:cat>
          <c:val>
            <c:numRef>
              <c:f>Sheet5!$P$30:$P$36</c:f>
              <c:numCache>
                <c:formatCode>General</c:formatCode>
                <c:ptCount val="7"/>
                <c:pt idx="0">
                  <c:v>11.96292</c:v>
                </c:pt>
                <c:pt idx="1">
                  <c:v>9.0957700000000017</c:v>
                </c:pt>
                <c:pt idx="2">
                  <c:v>11.863880000000002</c:v>
                </c:pt>
                <c:pt idx="3">
                  <c:v>1.985100000000001</c:v>
                </c:pt>
                <c:pt idx="4">
                  <c:v>0</c:v>
                </c:pt>
                <c:pt idx="5">
                  <c:v>1.7653000000000016</c:v>
                </c:pt>
                <c:pt idx="6">
                  <c:v>3.7907000000000011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3F6-4CA7-A8A9-AFB9A55633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5763968"/>
        <c:axId val="335764800"/>
      </c:barChart>
      <c:catAx>
        <c:axId val="335763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764800"/>
        <c:crosses val="autoZero"/>
        <c:auto val="1"/>
        <c:lblAlgn val="ctr"/>
        <c:lblOffset val="100"/>
        <c:noMultiLvlLbl val="0"/>
      </c:catAx>
      <c:valAx>
        <c:axId val="335764800"/>
        <c:scaling>
          <c:orientation val="minMax"/>
          <c:max val="1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Likelihood (LL- min(LL))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763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0</xdr:row>
      <xdr:rowOff>176211</xdr:rowOff>
    </xdr:from>
    <xdr:to>
      <xdr:col>28</xdr:col>
      <xdr:colOff>285750</xdr:colOff>
      <xdr:row>20</xdr:row>
      <xdr:rowOff>47624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552450</xdr:colOff>
      <xdr:row>20</xdr:row>
      <xdr:rowOff>76200</xdr:rowOff>
    </xdr:from>
    <xdr:to>
      <xdr:col>30</xdr:col>
      <xdr:colOff>228600</xdr:colOff>
      <xdr:row>39</xdr:row>
      <xdr:rowOff>157163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542925</xdr:colOff>
      <xdr:row>40</xdr:row>
      <xdr:rowOff>38100</xdr:rowOff>
    </xdr:from>
    <xdr:to>
      <xdr:col>30</xdr:col>
      <xdr:colOff>219075</xdr:colOff>
      <xdr:row>59</xdr:row>
      <xdr:rowOff>119063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20</xdr:col>
      <xdr:colOff>371475</xdr:colOff>
      <xdr:row>54</xdr:row>
      <xdr:rowOff>47625</xdr:rowOff>
    </xdr:from>
    <xdr:ext cx="312393" cy="405432"/>
    <xdr:sp macro="" textlink="">
      <xdr:nvSpPr>
        <xdr:cNvPr id="6" name="TextBox 5"/>
        <xdr:cNvSpPr txBox="1"/>
      </xdr:nvSpPr>
      <xdr:spPr>
        <a:xfrm>
          <a:off x="14982825" y="10353675"/>
          <a:ext cx="312393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2000">
              <a:solidFill>
                <a:srgbClr val="FFC000"/>
              </a:solidFill>
            </a:rPr>
            <a:t>*</a:t>
          </a:r>
        </a:p>
      </xdr:txBody>
    </xdr:sp>
    <xdr:clientData/>
  </xdr:oneCellAnchor>
  <xdr:oneCellAnchor>
    <xdr:from>
      <xdr:col>29</xdr:col>
      <xdr:colOff>352425</xdr:colOff>
      <xdr:row>54</xdr:row>
      <xdr:rowOff>38100</xdr:rowOff>
    </xdr:from>
    <xdr:ext cx="312393" cy="405432"/>
    <xdr:sp macro="" textlink="">
      <xdr:nvSpPr>
        <xdr:cNvPr id="7" name="TextBox 6"/>
        <xdr:cNvSpPr txBox="1"/>
      </xdr:nvSpPr>
      <xdr:spPr>
        <a:xfrm>
          <a:off x="20450175" y="10344150"/>
          <a:ext cx="312393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2000">
              <a:solidFill>
                <a:schemeClr val="accent6"/>
              </a:solidFill>
            </a:rPr>
            <a:t>*</a:t>
          </a:r>
        </a:p>
      </xdr:txBody>
    </xdr:sp>
    <xdr:clientData/>
  </xdr:oneCellAnchor>
  <xdr:oneCellAnchor>
    <xdr:from>
      <xdr:col>29</xdr:col>
      <xdr:colOff>200025</xdr:colOff>
      <xdr:row>54</xdr:row>
      <xdr:rowOff>38100</xdr:rowOff>
    </xdr:from>
    <xdr:ext cx="312393" cy="405432"/>
    <xdr:sp macro="" textlink="">
      <xdr:nvSpPr>
        <xdr:cNvPr id="8" name="TextBox 7"/>
        <xdr:cNvSpPr txBox="1"/>
      </xdr:nvSpPr>
      <xdr:spPr>
        <a:xfrm>
          <a:off x="20297775" y="10344150"/>
          <a:ext cx="312393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2000">
              <a:solidFill>
                <a:schemeClr val="tx2"/>
              </a:solidFill>
            </a:rPr>
            <a:t>*</a:t>
          </a:r>
        </a:p>
      </xdr:txBody>
    </xdr:sp>
    <xdr:clientData/>
  </xdr:oneCellAnchor>
  <xdr:twoCellAnchor>
    <xdr:from>
      <xdr:col>10</xdr:col>
      <xdr:colOff>485775</xdr:colOff>
      <xdr:row>44</xdr:row>
      <xdr:rowOff>85725</xdr:rowOff>
    </xdr:from>
    <xdr:to>
      <xdr:col>20</xdr:col>
      <xdr:colOff>200025</xdr:colOff>
      <xdr:row>63</xdr:row>
      <xdr:rowOff>166688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C7" sqref="C7"/>
    </sheetView>
  </sheetViews>
  <sheetFormatPr defaultRowHeight="15" x14ac:dyDescent="0.25"/>
  <cols>
    <col min="1" max="1" width="15" customWidth="1"/>
  </cols>
  <sheetData>
    <row r="1" spans="1:3" x14ac:dyDescent="0.25">
      <c r="A1" t="s">
        <v>0</v>
      </c>
      <c r="C1" t="s">
        <v>2</v>
      </c>
    </row>
    <row r="3" spans="1:3" x14ac:dyDescent="0.25">
      <c r="A3" s="1">
        <v>19.100000000000001</v>
      </c>
      <c r="C3" t="s">
        <v>3</v>
      </c>
    </row>
    <row r="4" spans="1:3" x14ac:dyDescent="0.25">
      <c r="A4" s="1" t="s">
        <v>1</v>
      </c>
      <c r="C4" t="s">
        <v>4</v>
      </c>
    </row>
    <row r="5" spans="1:3" x14ac:dyDescent="0.25">
      <c r="A5" s="1" t="s">
        <v>5</v>
      </c>
      <c r="C5" t="s">
        <v>6</v>
      </c>
    </row>
    <row r="6" spans="1:3" x14ac:dyDescent="0.25">
      <c r="A6" t="s">
        <v>7</v>
      </c>
      <c r="C6" t="s">
        <v>9</v>
      </c>
    </row>
    <row r="7" spans="1:3" x14ac:dyDescent="0.25">
      <c r="A7" s="1" t="s">
        <v>8</v>
      </c>
      <c r="C7" t="s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"/>
  <sheetViews>
    <sheetView workbookViewId="0">
      <selection sqref="A1:M228"/>
    </sheetView>
  </sheetViews>
  <sheetFormatPr defaultRowHeight="15" x14ac:dyDescent="0.25"/>
  <sheetData>
    <row r="1" spans="1:13" x14ac:dyDescent="0.25">
      <c r="D1" s="20"/>
      <c r="H1" s="20"/>
      <c r="I1" s="24">
        <f>2500/175000000</f>
        <v>1.4285714285714285E-5</v>
      </c>
    </row>
    <row r="2" spans="1:13" x14ac:dyDescent="0.25">
      <c r="D2">
        <f>0.0019/100</f>
        <v>1.9000000000000001E-5</v>
      </c>
      <c r="E2" s="31">
        <f>B4*A4/D2</f>
        <v>31.578947368421048</v>
      </c>
      <c r="F2" s="31"/>
      <c r="G2" s="31"/>
    </row>
    <row r="3" spans="1:13" x14ac:dyDescent="0.25">
      <c r="D3">
        <v>1.5E-5</v>
      </c>
      <c r="E3" s="31">
        <f>B4/D4</f>
        <v>117.64705882352942</v>
      </c>
      <c r="F3" s="31"/>
      <c r="G3" s="31"/>
      <c r="H3" s="6"/>
      <c r="I3" s="6"/>
      <c r="J3" s="6"/>
      <c r="K3" s="6"/>
      <c r="L3" s="6"/>
      <c r="M3" s="3"/>
    </row>
    <row r="4" spans="1:13" x14ac:dyDescent="0.25">
      <c r="A4">
        <v>0.15</v>
      </c>
      <c r="B4">
        <v>4.0000000000000001E-3</v>
      </c>
      <c r="C4">
        <f>B4*A4</f>
        <v>5.9999999999999995E-4</v>
      </c>
      <c r="D4">
        <f>D3+D2</f>
        <v>3.4E-5</v>
      </c>
      <c r="E4" s="31">
        <f>C4/(D4)</f>
        <v>17.647058823529409</v>
      </c>
      <c r="F4" s="31"/>
      <c r="G4" s="31"/>
      <c r="H4" s="6"/>
      <c r="I4" s="6"/>
      <c r="J4" s="6"/>
      <c r="K4" s="6"/>
      <c r="L4" s="6"/>
      <c r="M4" s="3"/>
    </row>
    <row r="5" spans="1:13" x14ac:dyDescent="0.25">
      <c r="B5">
        <f>B4*A4</f>
        <v>5.9999999999999995E-4</v>
      </c>
      <c r="I5">
        <f>1/D4</f>
        <v>29411.764705882353</v>
      </c>
      <c r="J5" s="18"/>
      <c r="K5" s="33">
        <v>1.2E-2</v>
      </c>
      <c r="L5" s="19">
        <f>K5/D4</f>
        <v>352.94117647058823</v>
      </c>
    </row>
    <row r="6" spans="1:13" x14ac:dyDescent="0.25">
      <c r="J6" s="18"/>
      <c r="K6" s="18"/>
    </row>
    <row r="7" spans="1:13" x14ac:dyDescent="0.25">
      <c r="A7" t="s">
        <v>135</v>
      </c>
      <c r="B7" s="3">
        <v>19000000</v>
      </c>
      <c r="C7" s="3">
        <v>12700</v>
      </c>
      <c r="D7">
        <f t="shared" ref="D7:D12" si="0">C7/B7</f>
        <v>6.6842105263157899E-4</v>
      </c>
      <c r="E7" s="5">
        <f t="shared" ref="E7:E12" si="1">1-D7</f>
        <v>0.99933157894736846</v>
      </c>
      <c r="F7" s="5"/>
      <c r="G7" s="5"/>
      <c r="J7" s="18"/>
      <c r="K7" s="18"/>
    </row>
    <row r="8" spans="1:13" x14ac:dyDescent="0.25">
      <c r="A8" t="s">
        <v>133</v>
      </c>
      <c r="B8" s="3">
        <v>1500000</v>
      </c>
      <c r="C8" s="3">
        <f>96+108+2352+74+4431</f>
        <v>7061</v>
      </c>
      <c r="D8">
        <f t="shared" si="0"/>
        <v>4.7073333333333333E-3</v>
      </c>
      <c r="E8" s="5">
        <f t="shared" si="1"/>
        <v>0.99529266666666671</v>
      </c>
      <c r="F8" s="5"/>
      <c r="G8" s="5"/>
      <c r="I8">
        <f>0.012+C4</f>
        <v>1.26E-2</v>
      </c>
      <c r="J8" s="18"/>
      <c r="K8" s="18"/>
    </row>
    <row r="9" spans="1:13" x14ac:dyDescent="0.25">
      <c r="A9" t="s">
        <v>132</v>
      </c>
      <c r="B9" s="3">
        <v>500000</v>
      </c>
      <c r="C9" s="3">
        <v>143</v>
      </c>
      <c r="D9">
        <f t="shared" si="0"/>
        <v>2.8600000000000001E-4</v>
      </c>
      <c r="E9" s="5">
        <f t="shared" si="1"/>
        <v>0.99971399999999999</v>
      </c>
      <c r="F9" s="5"/>
      <c r="G9" s="5"/>
      <c r="J9" s="18"/>
      <c r="K9" s="18"/>
    </row>
    <row r="10" spans="1:13" x14ac:dyDescent="0.25">
      <c r="A10" t="s">
        <v>131</v>
      </c>
      <c r="B10" s="3">
        <v>2700000</v>
      </c>
      <c r="C10" s="3">
        <v>58148</v>
      </c>
      <c r="D10">
        <f t="shared" si="0"/>
        <v>2.1536296296296296E-2</v>
      </c>
      <c r="E10" s="5">
        <f t="shared" si="1"/>
        <v>0.97846370370370372</v>
      </c>
      <c r="F10" s="5"/>
      <c r="G10" s="5"/>
      <c r="J10" s="18"/>
      <c r="K10" s="18"/>
    </row>
    <row r="11" spans="1:13" x14ac:dyDescent="0.25">
      <c r="A11" t="s">
        <v>134</v>
      </c>
      <c r="B11" s="3">
        <v>1780000</v>
      </c>
      <c r="C11" s="3">
        <v>36574</v>
      </c>
      <c r="D11">
        <f t="shared" si="0"/>
        <v>2.0547191011235956E-2</v>
      </c>
      <c r="E11" s="5">
        <f t="shared" si="1"/>
        <v>0.97945280898876408</v>
      </c>
      <c r="F11" s="5"/>
      <c r="G11" s="5"/>
      <c r="J11" s="18"/>
      <c r="K11" s="18"/>
    </row>
    <row r="12" spans="1:13" x14ac:dyDescent="0.25">
      <c r="A12" t="s">
        <v>130</v>
      </c>
      <c r="B12" s="3">
        <v>16000000</v>
      </c>
      <c r="C12" s="3">
        <v>407316</v>
      </c>
      <c r="D12">
        <f t="shared" si="0"/>
        <v>2.5457250000000001E-2</v>
      </c>
      <c r="E12" s="5">
        <f t="shared" si="1"/>
        <v>0.97454275000000001</v>
      </c>
      <c r="F12" s="5"/>
      <c r="G12" s="5"/>
      <c r="J12" s="18"/>
      <c r="K12" s="18"/>
    </row>
    <row r="15" spans="1:13" x14ac:dyDescent="0.25">
      <c r="B15" s="3">
        <v>319546</v>
      </c>
      <c r="C15" s="3">
        <v>80880.899999999994</v>
      </c>
      <c r="D15" s="20">
        <f>C15/B15</f>
        <v>0.25311191502944802</v>
      </c>
      <c r="E15" s="2">
        <v>109502</v>
      </c>
      <c r="F15" s="2"/>
      <c r="G15" s="2"/>
      <c r="H15" s="19">
        <f>E15/B15</f>
        <v>0.34267992714663931</v>
      </c>
      <c r="I15" s="3">
        <v>49862.3</v>
      </c>
    </row>
    <row r="18" spans="1:4" x14ac:dyDescent="0.25">
      <c r="A18">
        <v>5601</v>
      </c>
      <c r="B18" s="32">
        <v>189900000</v>
      </c>
      <c r="C18" s="25">
        <f>A18/B18</f>
        <v>2.9494470774091628E-5</v>
      </c>
    </row>
    <row r="20" spans="1:4" x14ac:dyDescent="0.25">
      <c r="C20">
        <f>0.5/0.002</f>
        <v>250</v>
      </c>
    </row>
    <row r="23" spans="1:4" x14ac:dyDescent="0.25">
      <c r="B23">
        <v>4.0000000000000001E-3</v>
      </c>
      <c r="C23">
        <f>B23*A25</f>
        <v>1.2E-2</v>
      </c>
    </row>
    <row r="25" spans="1:4" x14ac:dyDescent="0.25">
      <c r="A25">
        <v>3</v>
      </c>
      <c r="B25">
        <f>$B$23^A25</f>
        <v>6.4000000000000004E-8</v>
      </c>
      <c r="C25">
        <f>3/A25</f>
        <v>1</v>
      </c>
      <c r="D25">
        <f>C25*B25</f>
        <v>6.4000000000000004E-8</v>
      </c>
    </row>
    <row r="26" spans="1:4" x14ac:dyDescent="0.25">
      <c r="A26">
        <v>2</v>
      </c>
      <c r="B26">
        <f>$B$23^A26</f>
        <v>1.5999999999999999E-5</v>
      </c>
      <c r="C26">
        <f>3/A26</f>
        <v>1.5</v>
      </c>
      <c r="D26">
        <f>C26*B26</f>
        <v>2.4000000000000001E-5</v>
      </c>
    </row>
    <row r="27" spans="1:4" x14ac:dyDescent="0.25">
      <c r="A27">
        <v>1</v>
      </c>
      <c r="B27">
        <f>$B$23^A27</f>
        <v>4.0000000000000001E-3</v>
      </c>
      <c r="C27">
        <f>3/A27</f>
        <v>3</v>
      </c>
      <c r="D27">
        <f>C27*B27</f>
        <v>1.2E-2</v>
      </c>
    </row>
    <row r="28" spans="1:4" x14ac:dyDescent="0.25">
      <c r="D28">
        <f>SUM(D25:D27)</f>
        <v>1.2024064000000001E-2</v>
      </c>
    </row>
    <row r="32" spans="1:4" x14ac:dyDescent="0.25">
      <c r="B32">
        <v>3</v>
      </c>
      <c r="C32">
        <f>(B32*$B$23)+0.0006</f>
        <v>1.26E-2</v>
      </c>
      <c r="D32">
        <f t="shared" ref="D32:D37" si="2">C32/$D$4</f>
        <v>370.58823529411768</v>
      </c>
    </row>
    <row r="33" spans="2:4" x14ac:dyDescent="0.25">
      <c r="B33">
        <v>9</v>
      </c>
      <c r="C33">
        <f>0.036+0.0126</f>
        <v>4.8599999999999997E-2</v>
      </c>
      <c r="D33">
        <f t="shared" si="2"/>
        <v>1429.4117647058822</v>
      </c>
    </row>
    <row r="34" spans="2:4" x14ac:dyDescent="0.25">
      <c r="B34">
        <f>9*3</f>
        <v>27</v>
      </c>
      <c r="C34">
        <f>(B34*0.004)+C33</f>
        <v>0.15659999999999999</v>
      </c>
      <c r="D34">
        <f t="shared" si="2"/>
        <v>4605.8823529411766</v>
      </c>
    </row>
    <row r="35" spans="2:4" x14ac:dyDescent="0.25">
      <c r="B35">
        <f>B34*3</f>
        <v>81</v>
      </c>
      <c r="C35">
        <f>(B35*0.004)+C34</f>
        <v>0.48060000000000003</v>
      </c>
      <c r="D35">
        <f t="shared" si="2"/>
        <v>14135.294117647059</v>
      </c>
    </row>
    <row r="36" spans="2:4" x14ac:dyDescent="0.25">
      <c r="B36">
        <f>B35*3</f>
        <v>243</v>
      </c>
      <c r="C36">
        <f>(B36*0.004)+C35</f>
        <v>1.4525999999999999</v>
      </c>
      <c r="D36">
        <f t="shared" si="2"/>
        <v>42723.529411764706</v>
      </c>
    </row>
    <row r="37" spans="2:4" x14ac:dyDescent="0.25">
      <c r="B37">
        <f>B36*3</f>
        <v>729</v>
      </c>
      <c r="C37">
        <f>(B37*0.004)+C36</f>
        <v>4.3685999999999998</v>
      </c>
      <c r="D37">
        <f t="shared" si="2"/>
        <v>128488.23529411764</v>
      </c>
    </row>
    <row r="38" spans="2:4" x14ac:dyDescent="0.25">
      <c r="B38">
        <f>SUM(B32:B37)</f>
        <v>1092</v>
      </c>
    </row>
    <row r="41" spans="2:4" x14ac:dyDescent="0.25">
      <c r="B41">
        <f>9/100000</f>
        <v>9.0000000000000006E-5</v>
      </c>
      <c r="C41">
        <v>3.4E-5</v>
      </c>
      <c r="D41">
        <f>B41/C41</f>
        <v>2.6470588235294121</v>
      </c>
    </row>
    <row r="42" spans="2:4" x14ac:dyDescent="0.25">
      <c r="B42">
        <f>B41*100</f>
        <v>9.0000000000000011E-3</v>
      </c>
    </row>
  </sheetData>
  <conditionalFormatting sqref="M3:M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:M4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:M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53"/>
  <sheetViews>
    <sheetView topLeftCell="H7" workbookViewId="0">
      <selection activeCell="H1" sqref="H1:M45"/>
    </sheetView>
  </sheetViews>
  <sheetFormatPr defaultRowHeight="15" x14ac:dyDescent="0.25"/>
  <cols>
    <col min="2" max="2" width="12.42578125" customWidth="1"/>
    <col min="10" max="10" width="10.42578125" customWidth="1"/>
    <col min="11" max="11" width="11.7109375" customWidth="1"/>
    <col min="13" max="13" width="12.42578125" style="6" customWidth="1"/>
  </cols>
  <sheetData>
    <row r="1" spans="1:26" s="37" customFormat="1" ht="60.75" thickBot="1" x14ac:dyDescent="0.3">
      <c r="H1" s="38" t="s">
        <v>173</v>
      </c>
      <c r="I1" s="38" t="s">
        <v>176</v>
      </c>
      <c r="J1" s="38" t="s">
        <v>179</v>
      </c>
      <c r="K1" s="38" t="s">
        <v>178</v>
      </c>
      <c r="L1" s="38" t="s">
        <v>175</v>
      </c>
      <c r="M1" s="39" t="s">
        <v>177</v>
      </c>
    </row>
    <row r="2" spans="1:26" ht="16.5" thickTop="1" thickBot="1" x14ac:dyDescent="0.3">
      <c r="A2" s="35" t="s">
        <v>173</v>
      </c>
      <c r="B2" s="35" t="s">
        <v>174</v>
      </c>
      <c r="C2" s="35" t="s">
        <v>172</v>
      </c>
      <c r="H2">
        <v>1977</v>
      </c>
      <c r="I2" s="14">
        <v>0</v>
      </c>
      <c r="J2" s="14">
        <v>0</v>
      </c>
      <c r="K2" s="14">
        <v>0</v>
      </c>
      <c r="L2" s="14">
        <v>1</v>
      </c>
      <c r="M2" s="6">
        <v>7.7481900000000006E-2</v>
      </c>
      <c r="U2">
        <v>1977</v>
      </c>
      <c r="V2">
        <v>6</v>
      </c>
      <c r="W2">
        <v>0</v>
      </c>
      <c r="X2">
        <v>1977</v>
      </c>
      <c r="Y2">
        <v>7</v>
      </c>
      <c r="Z2">
        <v>0</v>
      </c>
    </row>
    <row r="3" spans="1:26" ht="15.75" thickTop="1" x14ac:dyDescent="0.25">
      <c r="A3">
        <v>2006</v>
      </c>
      <c r="B3" s="14">
        <v>86.338830169999994</v>
      </c>
      <c r="C3" s="5">
        <v>0.40770982900000002</v>
      </c>
      <c r="H3">
        <v>1978</v>
      </c>
      <c r="I3" s="14">
        <v>0</v>
      </c>
      <c r="J3" s="14">
        <v>0</v>
      </c>
      <c r="K3" s="14">
        <v>0</v>
      </c>
      <c r="L3" s="14">
        <v>1</v>
      </c>
      <c r="M3" s="6">
        <v>7.7481900000000006E-2</v>
      </c>
      <c r="U3">
        <v>1978</v>
      </c>
      <c r="V3">
        <v>6</v>
      </c>
      <c r="W3">
        <v>0</v>
      </c>
      <c r="X3">
        <v>1978</v>
      </c>
      <c r="Y3">
        <v>7</v>
      </c>
      <c r="Z3">
        <v>0</v>
      </c>
    </row>
    <row r="4" spans="1:26" x14ac:dyDescent="0.25">
      <c r="A4">
        <v>2007</v>
      </c>
      <c r="B4" s="14">
        <v>6.219976795</v>
      </c>
      <c r="C4" s="5">
        <v>0.46192810299999998</v>
      </c>
      <c r="H4">
        <v>1979</v>
      </c>
      <c r="I4" s="14">
        <v>0.33295799999999998</v>
      </c>
      <c r="J4" s="14">
        <v>0</v>
      </c>
      <c r="K4" s="14">
        <v>0</v>
      </c>
      <c r="L4" s="14">
        <v>1.0792900000000001</v>
      </c>
      <c r="M4" s="6">
        <v>7.7481900000000006E-2</v>
      </c>
      <c r="U4">
        <v>1979</v>
      </c>
      <c r="V4">
        <v>6</v>
      </c>
      <c r="W4">
        <v>0</v>
      </c>
      <c r="X4">
        <v>1979</v>
      </c>
      <c r="Y4">
        <v>7</v>
      </c>
      <c r="Z4">
        <v>0</v>
      </c>
    </row>
    <row r="5" spans="1:26" x14ac:dyDescent="0.25">
      <c r="A5">
        <v>2008</v>
      </c>
      <c r="B5" s="14">
        <v>20.448117329999999</v>
      </c>
      <c r="C5" s="5">
        <v>0.442241198</v>
      </c>
      <c r="H5">
        <v>1980</v>
      </c>
      <c r="I5" s="14">
        <v>0.45085199999999997</v>
      </c>
      <c r="J5" s="14">
        <v>0</v>
      </c>
      <c r="K5" s="14">
        <v>0</v>
      </c>
      <c r="L5" s="14">
        <v>1.1081000000000001</v>
      </c>
      <c r="M5" s="6">
        <v>7.7481900000000006E-2</v>
      </c>
      <c r="U5">
        <v>1980</v>
      </c>
      <c r="V5">
        <v>6</v>
      </c>
      <c r="W5">
        <v>0</v>
      </c>
      <c r="X5">
        <v>1980</v>
      </c>
      <c r="Y5">
        <v>7</v>
      </c>
      <c r="Z5">
        <v>0</v>
      </c>
    </row>
    <row r="6" spans="1:26" x14ac:dyDescent="0.25">
      <c r="A6">
        <v>2009</v>
      </c>
      <c r="B6" s="14">
        <v>21.983408359999999</v>
      </c>
      <c r="C6" s="5">
        <v>0.58888943500000002</v>
      </c>
      <c r="H6">
        <v>1981</v>
      </c>
      <c r="I6" s="14">
        <v>1.1353500000000001</v>
      </c>
      <c r="J6" s="14">
        <v>0</v>
      </c>
      <c r="K6" s="14">
        <v>0</v>
      </c>
      <c r="L6" s="14">
        <v>1.2819199999999999</v>
      </c>
      <c r="M6" s="6">
        <v>7.7481900000000006E-2</v>
      </c>
      <c r="U6">
        <v>1981</v>
      </c>
      <c r="V6">
        <v>6</v>
      </c>
      <c r="W6">
        <v>0</v>
      </c>
      <c r="X6">
        <v>1981</v>
      </c>
      <c r="Y6">
        <v>7</v>
      </c>
      <c r="Z6">
        <v>0</v>
      </c>
    </row>
    <row r="7" spans="1:26" x14ac:dyDescent="0.25">
      <c r="A7">
        <v>2010</v>
      </c>
      <c r="B7" s="14">
        <v>6.5269297609999999</v>
      </c>
      <c r="C7" s="5">
        <v>0.54448044100000004</v>
      </c>
      <c r="H7">
        <v>1982</v>
      </c>
      <c r="I7" s="14">
        <v>-0.57531699999999997</v>
      </c>
      <c r="J7" s="14">
        <v>0</v>
      </c>
      <c r="K7" s="14">
        <v>0</v>
      </c>
      <c r="L7" s="14">
        <v>0.87086799999999998</v>
      </c>
      <c r="M7" s="6">
        <v>7.7481900000000006E-2</v>
      </c>
      <c r="U7">
        <v>1982</v>
      </c>
      <c r="V7">
        <v>6</v>
      </c>
      <c r="W7">
        <v>0</v>
      </c>
      <c r="X7">
        <v>1982</v>
      </c>
      <c r="Y7">
        <v>7</v>
      </c>
      <c r="Z7">
        <v>0</v>
      </c>
    </row>
    <row r="8" spans="1:26" x14ac:dyDescent="0.25">
      <c r="A8">
        <v>2011</v>
      </c>
      <c r="B8" s="14">
        <v>22.144255319999999</v>
      </c>
      <c r="C8" s="5">
        <v>0.46219264900000001</v>
      </c>
      <c r="H8">
        <v>1983</v>
      </c>
      <c r="I8" s="14">
        <v>0.53195000000000003</v>
      </c>
      <c r="J8" s="14">
        <v>31.876999999999999</v>
      </c>
      <c r="K8" s="14">
        <v>1.6786300000000001</v>
      </c>
      <c r="L8" s="14">
        <v>1.12812</v>
      </c>
      <c r="M8" s="6">
        <v>8.9036100000000007E-2</v>
      </c>
      <c r="U8">
        <v>1983</v>
      </c>
      <c r="V8">
        <v>6</v>
      </c>
      <c r="W8" s="2">
        <v>7.0320600000000004E-21</v>
      </c>
      <c r="X8">
        <v>1983</v>
      </c>
      <c r="Y8">
        <v>7</v>
      </c>
      <c r="Z8">
        <v>0.15199299999999999</v>
      </c>
    </row>
    <row r="9" spans="1:26" x14ac:dyDescent="0.25">
      <c r="A9">
        <v>2012</v>
      </c>
      <c r="B9" s="14">
        <v>117.7720581</v>
      </c>
      <c r="C9" s="5">
        <v>0.44168352500000002</v>
      </c>
      <c r="H9">
        <v>1984</v>
      </c>
      <c r="I9" s="14">
        <v>0.15427399999999999</v>
      </c>
      <c r="J9" s="14">
        <v>88.207599999999999</v>
      </c>
      <c r="K9" s="14">
        <v>0</v>
      </c>
      <c r="L9" s="14">
        <v>1.0363500000000001</v>
      </c>
      <c r="M9" s="6">
        <v>0.1129672</v>
      </c>
      <c r="U9">
        <v>1984</v>
      </c>
      <c r="V9">
        <v>6</v>
      </c>
      <c r="W9" s="2">
        <v>2.16246E-13</v>
      </c>
      <c r="X9">
        <v>1984</v>
      </c>
      <c r="Y9">
        <v>7</v>
      </c>
      <c r="Z9">
        <v>0.43103399999999997</v>
      </c>
    </row>
    <row r="10" spans="1:26" x14ac:dyDescent="0.25">
      <c r="A10">
        <v>2013</v>
      </c>
      <c r="B10" s="14">
        <v>6.7308664159999996</v>
      </c>
      <c r="C10" s="5">
        <v>0.48248841999999997</v>
      </c>
      <c r="H10">
        <v>1985</v>
      </c>
      <c r="I10" s="14">
        <v>-2.4554500000000001E-3</v>
      </c>
      <c r="J10" s="14">
        <v>24.611999999999998</v>
      </c>
      <c r="K10" s="14">
        <v>2.6998600000000001</v>
      </c>
      <c r="L10" s="14">
        <v>0.99942699999999995</v>
      </c>
      <c r="M10" s="6">
        <v>8.6281499999999997E-2</v>
      </c>
      <c r="U10">
        <v>1985</v>
      </c>
      <c r="V10">
        <v>6</v>
      </c>
      <c r="W10" s="2">
        <v>8.7948399999999999E-23</v>
      </c>
      <c r="X10">
        <v>1985</v>
      </c>
      <c r="Y10">
        <v>7</v>
      </c>
      <c r="Z10">
        <v>0.24612000000000001</v>
      </c>
    </row>
    <row r="11" spans="1:26" x14ac:dyDescent="0.25">
      <c r="A11">
        <v>2014</v>
      </c>
      <c r="B11" s="14">
        <v>5.9494594190000001</v>
      </c>
      <c r="C11" s="5">
        <v>0.57503636499999999</v>
      </c>
      <c r="H11">
        <v>1986</v>
      </c>
      <c r="I11" s="14">
        <v>0.14993400000000001</v>
      </c>
      <c r="J11" s="14">
        <v>16.3489</v>
      </c>
      <c r="K11" s="14">
        <v>0</v>
      </c>
      <c r="L11" s="14">
        <v>1.03531</v>
      </c>
      <c r="M11" s="6">
        <v>8.3236500000000005E-2</v>
      </c>
      <c r="U11">
        <v>1986</v>
      </c>
      <c r="V11">
        <v>6</v>
      </c>
      <c r="W11" s="2">
        <v>8.6046900000000003E-26</v>
      </c>
      <c r="X11">
        <v>1986</v>
      </c>
      <c r="Y11">
        <v>7</v>
      </c>
      <c r="Z11">
        <v>0.163489</v>
      </c>
    </row>
    <row r="12" spans="1:26" x14ac:dyDescent="0.25">
      <c r="A12">
        <v>2015</v>
      </c>
      <c r="B12" s="14">
        <v>0.766492697</v>
      </c>
      <c r="C12" s="5">
        <v>0.94934154400000004</v>
      </c>
      <c r="H12">
        <v>1987</v>
      </c>
      <c r="I12" s="14">
        <v>0.722109</v>
      </c>
      <c r="J12" s="14">
        <v>5.577</v>
      </c>
      <c r="K12" s="14">
        <v>0</v>
      </c>
      <c r="L12" s="14">
        <v>1.1757200000000001</v>
      </c>
      <c r="M12" s="6">
        <v>7.9405199999999995E-2</v>
      </c>
      <c r="U12">
        <v>1987</v>
      </c>
      <c r="V12">
        <v>6</v>
      </c>
      <c r="W12" s="2">
        <v>1.05286E-33</v>
      </c>
      <c r="X12">
        <v>1987</v>
      </c>
      <c r="Y12">
        <v>7</v>
      </c>
      <c r="Z12">
        <v>0</v>
      </c>
    </row>
    <row r="13" spans="1:26" x14ac:dyDescent="0.25">
      <c r="A13">
        <v>2016</v>
      </c>
      <c r="B13" s="14">
        <v>1.2957939000000001</v>
      </c>
      <c r="C13" s="5">
        <v>0.54704719999999996</v>
      </c>
      <c r="H13">
        <v>1988</v>
      </c>
      <c r="I13" s="14">
        <v>0.123225</v>
      </c>
      <c r="J13" s="14">
        <v>0</v>
      </c>
      <c r="K13" s="14">
        <v>0</v>
      </c>
      <c r="L13" s="14">
        <v>1.02898</v>
      </c>
      <c r="M13" s="6">
        <v>7.7481900000000006E-2</v>
      </c>
      <c r="U13">
        <v>1988</v>
      </c>
      <c r="V13">
        <v>6</v>
      </c>
      <c r="W13">
        <v>0</v>
      </c>
      <c r="X13">
        <v>1988</v>
      </c>
      <c r="Y13">
        <v>7</v>
      </c>
      <c r="Z13">
        <v>0</v>
      </c>
    </row>
    <row r="14" spans="1:26" x14ac:dyDescent="0.25">
      <c r="A14">
        <v>2017</v>
      </c>
      <c r="B14" s="14">
        <v>52.183803089999998</v>
      </c>
      <c r="C14" s="5">
        <v>0.41101361600000003</v>
      </c>
      <c r="H14">
        <v>1989</v>
      </c>
      <c r="I14" s="14">
        <v>-0.52757799999999999</v>
      </c>
      <c r="J14" s="14">
        <v>0</v>
      </c>
      <c r="K14" s="14">
        <v>0</v>
      </c>
      <c r="L14" s="14">
        <v>0.88118300000000005</v>
      </c>
      <c r="M14" s="6">
        <v>7.7481900000000006E-2</v>
      </c>
      <c r="U14">
        <v>1989</v>
      </c>
      <c r="V14">
        <v>6</v>
      </c>
      <c r="W14">
        <v>0</v>
      </c>
      <c r="X14">
        <v>1989</v>
      </c>
      <c r="Y14">
        <v>7</v>
      </c>
      <c r="Z14">
        <v>0</v>
      </c>
    </row>
    <row r="15" spans="1:26" x14ac:dyDescent="0.25">
      <c r="A15">
        <v>2018</v>
      </c>
      <c r="B15" s="14">
        <v>84.851127529999999</v>
      </c>
      <c r="C15" s="5">
        <v>0.313266877</v>
      </c>
      <c r="H15">
        <v>1990</v>
      </c>
      <c r="I15" s="14">
        <v>-0.45746700000000001</v>
      </c>
      <c r="J15" s="14">
        <v>8.7173999999999996</v>
      </c>
      <c r="K15" s="14">
        <v>0</v>
      </c>
      <c r="L15" s="14">
        <v>0.89646499999999996</v>
      </c>
      <c r="M15" s="6">
        <v>8.05062E-2</v>
      </c>
      <c r="U15">
        <v>1990</v>
      </c>
      <c r="V15">
        <v>6</v>
      </c>
      <c r="W15" s="2">
        <v>2.0344900000000001E-30</v>
      </c>
      <c r="X15">
        <v>1990</v>
      </c>
      <c r="Y15">
        <v>7</v>
      </c>
      <c r="Z15">
        <v>0</v>
      </c>
    </row>
    <row r="16" spans="1:26" x14ac:dyDescent="0.25">
      <c r="A16">
        <v>2019</v>
      </c>
      <c r="B16" s="14">
        <v>1.524415224</v>
      </c>
      <c r="C16" s="5">
        <v>0.61722226599999996</v>
      </c>
      <c r="H16">
        <v>1991</v>
      </c>
      <c r="I16" s="14">
        <v>-0.19332299999999999</v>
      </c>
      <c r="J16" s="14">
        <v>0</v>
      </c>
      <c r="K16" s="14">
        <v>0</v>
      </c>
      <c r="L16" s="14">
        <v>0.95545400000000003</v>
      </c>
      <c r="M16" s="6">
        <v>7.7481900000000006E-2</v>
      </c>
      <c r="U16">
        <v>1991</v>
      </c>
      <c r="V16">
        <v>6</v>
      </c>
      <c r="W16">
        <v>0</v>
      </c>
      <c r="X16">
        <v>1991</v>
      </c>
      <c r="Y16">
        <v>7</v>
      </c>
      <c r="Z16">
        <v>0</v>
      </c>
    </row>
    <row r="17" spans="1:26" x14ac:dyDescent="0.25">
      <c r="A17" s="29">
        <v>2020</v>
      </c>
      <c r="B17" s="30">
        <v>117.8083211</v>
      </c>
      <c r="C17" s="36">
        <v>0.354429946</v>
      </c>
      <c r="H17">
        <v>1992</v>
      </c>
      <c r="I17" s="14">
        <v>0.31581100000000001</v>
      </c>
      <c r="J17" s="14">
        <v>0</v>
      </c>
      <c r="K17" s="14">
        <v>0</v>
      </c>
      <c r="L17" s="14">
        <v>1.0751299999999999</v>
      </c>
      <c r="M17" s="6">
        <v>7.7481900000000006E-2</v>
      </c>
      <c r="U17">
        <v>1992</v>
      </c>
      <c r="V17">
        <v>6</v>
      </c>
      <c r="W17">
        <v>0</v>
      </c>
      <c r="X17">
        <v>1992</v>
      </c>
      <c r="Y17">
        <v>7</v>
      </c>
      <c r="Z17">
        <v>0</v>
      </c>
    </row>
    <row r="18" spans="1:26" x14ac:dyDescent="0.25">
      <c r="H18">
        <v>1993</v>
      </c>
      <c r="I18" s="14">
        <v>-5.2923400000000002E-2</v>
      </c>
      <c r="J18" s="14">
        <v>19.103999999999999</v>
      </c>
      <c r="K18" s="14">
        <v>0</v>
      </c>
      <c r="L18" s="14">
        <v>0.98769300000000004</v>
      </c>
      <c r="M18" s="6">
        <v>8.4241499999999997E-2</v>
      </c>
      <c r="U18">
        <v>1993</v>
      </c>
      <c r="V18">
        <v>6</v>
      </c>
      <c r="W18" s="2">
        <v>1.2035700000000001E-24</v>
      </c>
      <c r="X18">
        <v>1993</v>
      </c>
      <c r="Y18">
        <v>7</v>
      </c>
      <c r="Z18">
        <v>0</v>
      </c>
    </row>
    <row r="19" spans="1:26" x14ac:dyDescent="0.25">
      <c r="H19">
        <v>1994</v>
      </c>
      <c r="I19" s="14">
        <v>-0.10267999999999999</v>
      </c>
      <c r="J19" s="14">
        <v>0</v>
      </c>
      <c r="K19" s="14">
        <v>0</v>
      </c>
      <c r="L19" s="14">
        <v>0.97619900000000004</v>
      </c>
      <c r="M19" s="6">
        <v>7.7481900000000006E-2</v>
      </c>
      <c r="U19">
        <v>1994</v>
      </c>
      <c r="V19">
        <v>6</v>
      </c>
      <c r="W19">
        <v>0</v>
      </c>
      <c r="X19">
        <v>1994</v>
      </c>
      <c r="Y19">
        <v>7</v>
      </c>
      <c r="Z19">
        <v>0</v>
      </c>
    </row>
    <row r="20" spans="1:26" x14ac:dyDescent="0.25">
      <c r="H20">
        <v>1995</v>
      </c>
      <c r="I20" s="14">
        <v>-0.53686400000000001</v>
      </c>
      <c r="J20" s="14">
        <v>0</v>
      </c>
      <c r="K20" s="14">
        <v>0</v>
      </c>
      <c r="L20" s="14">
        <v>0.87917100000000004</v>
      </c>
      <c r="M20" s="6">
        <v>7.7481900000000006E-2</v>
      </c>
      <c r="U20">
        <v>1995</v>
      </c>
      <c r="V20">
        <v>6</v>
      </c>
      <c r="W20">
        <v>0</v>
      </c>
      <c r="X20">
        <v>1995</v>
      </c>
      <c r="Y20">
        <v>7</v>
      </c>
      <c r="Z20">
        <v>0</v>
      </c>
    </row>
    <row r="21" spans="1:26" x14ac:dyDescent="0.25">
      <c r="H21">
        <v>1996</v>
      </c>
      <c r="I21" s="14">
        <v>-7.9406500000000005E-2</v>
      </c>
      <c r="J21" s="14">
        <v>0</v>
      </c>
      <c r="K21" s="14">
        <v>0</v>
      </c>
      <c r="L21" s="14">
        <v>0.98156600000000005</v>
      </c>
      <c r="M21" s="6">
        <v>7.7481900000000006E-2</v>
      </c>
      <c r="U21">
        <v>1996</v>
      </c>
      <c r="V21">
        <v>6</v>
      </c>
      <c r="W21">
        <v>0</v>
      </c>
      <c r="X21">
        <v>1996</v>
      </c>
      <c r="Y21">
        <v>7</v>
      </c>
      <c r="Z21">
        <v>0</v>
      </c>
    </row>
    <row r="22" spans="1:26" x14ac:dyDescent="0.25">
      <c r="H22">
        <v>1997</v>
      </c>
      <c r="I22" s="14">
        <v>-1.1296499999999999E-2</v>
      </c>
      <c r="J22" s="14">
        <v>142.05000000000001</v>
      </c>
      <c r="K22" s="14">
        <v>0</v>
      </c>
      <c r="L22" s="14">
        <v>0.99736599999999997</v>
      </c>
      <c r="M22" s="6">
        <v>0.14033180000000001</v>
      </c>
      <c r="U22">
        <v>1997</v>
      </c>
      <c r="V22">
        <v>6</v>
      </c>
      <c r="W22" s="2">
        <v>6.9244299999999996E-10</v>
      </c>
      <c r="X22">
        <v>1997</v>
      </c>
      <c r="Y22">
        <v>7</v>
      </c>
      <c r="Z22">
        <v>0.23239199999999999</v>
      </c>
    </row>
    <row r="23" spans="1:26" x14ac:dyDescent="0.25">
      <c r="H23">
        <v>1998</v>
      </c>
      <c r="I23" s="14">
        <v>1.15425</v>
      </c>
      <c r="J23" s="14">
        <v>150.84899999999999</v>
      </c>
      <c r="K23" s="14">
        <v>4.32334</v>
      </c>
      <c r="L23" s="14">
        <v>1.28685</v>
      </c>
      <c r="M23" s="6">
        <v>0.1452331</v>
      </c>
      <c r="U23">
        <v>1998</v>
      </c>
      <c r="V23">
        <v>6</v>
      </c>
      <c r="W23" s="2">
        <v>1.9165400000000001E-9</v>
      </c>
      <c r="X23">
        <v>1998</v>
      </c>
      <c r="Y23">
        <v>7</v>
      </c>
      <c r="Z23">
        <v>0.87052200000000002</v>
      </c>
    </row>
    <row r="24" spans="1:26" x14ac:dyDescent="0.25">
      <c r="H24">
        <v>1999</v>
      </c>
      <c r="I24" s="14">
        <v>-0.14132700000000001</v>
      </c>
      <c r="J24" s="14">
        <v>0</v>
      </c>
      <c r="K24" s="14">
        <v>0</v>
      </c>
      <c r="L24" s="14">
        <v>0.96732300000000004</v>
      </c>
      <c r="M24" s="6">
        <v>7.7481900000000006E-2</v>
      </c>
      <c r="U24">
        <v>1999</v>
      </c>
      <c r="V24">
        <v>6</v>
      </c>
      <c r="W24">
        <v>0</v>
      </c>
      <c r="X24">
        <v>1999</v>
      </c>
      <c r="Y24">
        <v>7</v>
      </c>
      <c r="Z24">
        <v>0</v>
      </c>
    </row>
    <row r="25" spans="1:26" x14ac:dyDescent="0.25">
      <c r="H25">
        <v>2000</v>
      </c>
      <c r="I25" s="14">
        <v>-6.09267E-2</v>
      </c>
      <c r="J25" s="14">
        <v>0</v>
      </c>
      <c r="K25" s="14">
        <v>0</v>
      </c>
      <c r="L25" s="14">
        <v>0.98583900000000002</v>
      </c>
      <c r="M25" s="6">
        <v>7.7481900000000006E-2</v>
      </c>
      <c r="U25">
        <v>2000</v>
      </c>
      <c r="V25">
        <v>6</v>
      </c>
      <c r="W25">
        <v>0</v>
      </c>
      <c r="X25">
        <v>2000</v>
      </c>
      <c r="Y25">
        <v>7</v>
      </c>
      <c r="Z25">
        <v>0</v>
      </c>
    </row>
    <row r="26" spans="1:26" x14ac:dyDescent="0.25">
      <c r="H26">
        <v>2001</v>
      </c>
      <c r="I26" s="14">
        <v>0.40154499999999999</v>
      </c>
      <c r="J26" s="14">
        <v>46.913499999999999</v>
      </c>
      <c r="K26" s="14">
        <v>2.2457099999999999</v>
      </c>
      <c r="L26" s="14">
        <v>1.0960000000000001</v>
      </c>
      <c r="M26" s="6">
        <v>9.4972299999999996E-2</v>
      </c>
      <c r="U26">
        <v>2001</v>
      </c>
      <c r="V26">
        <v>6</v>
      </c>
      <c r="W26" s="2">
        <v>4.8969100000000002E-18</v>
      </c>
      <c r="X26">
        <v>2001</v>
      </c>
      <c r="Y26">
        <v>7</v>
      </c>
      <c r="Z26">
        <v>0.233488</v>
      </c>
    </row>
    <row r="27" spans="1:26" x14ac:dyDescent="0.25">
      <c r="H27">
        <v>2002</v>
      </c>
      <c r="I27" s="14">
        <v>-0.37120900000000001</v>
      </c>
      <c r="J27" s="14">
        <v>51.273600000000002</v>
      </c>
      <c r="K27" s="14">
        <v>0</v>
      </c>
      <c r="L27" s="14">
        <v>0.91548499999999999</v>
      </c>
      <c r="M27" s="6">
        <v>9.6753900000000004E-2</v>
      </c>
      <c r="U27">
        <v>2002</v>
      </c>
      <c r="V27">
        <v>6</v>
      </c>
      <c r="W27" s="2">
        <v>2.2066300000000001E-17</v>
      </c>
      <c r="X27">
        <v>2002</v>
      </c>
      <c r="Y27">
        <v>7</v>
      </c>
      <c r="Z27">
        <v>0.51273599999999997</v>
      </c>
    </row>
    <row r="28" spans="1:26" x14ac:dyDescent="0.25">
      <c r="H28">
        <v>2003</v>
      </c>
      <c r="I28" s="14">
        <v>0.72903899999999999</v>
      </c>
      <c r="J28" s="14">
        <v>207.84899999999999</v>
      </c>
      <c r="K28" s="14">
        <v>4.76396</v>
      </c>
      <c r="L28" s="14">
        <v>1.17747</v>
      </c>
      <c r="M28" s="6">
        <v>0.1798728</v>
      </c>
      <c r="U28">
        <v>2003</v>
      </c>
      <c r="V28">
        <v>6</v>
      </c>
      <c r="W28" s="2">
        <v>4.3717300000000002E-7</v>
      </c>
      <c r="X28">
        <v>2003</v>
      </c>
      <c r="Y28">
        <v>7</v>
      </c>
      <c r="Z28">
        <v>1.5148159999999999</v>
      </c>
    </row>
    <row r="29" spans="1:26" x14ac:dyDescent="0.25">
      <c r="H29">
        <v>2004</v>
      </c>
      <c r="I29" s="14">
        <v>2.9077800000000001E-2</v>
      </c>
      <c r="J29" s="14">
        <v>117.645</v>
      </c>
      <c r="K29" s="14">
        <v>0</v>
      </c>
      <c r="L29" s="14">
        <v>1.0067999999999999</v>
      </c>
      <c r="M29" s="6">
        <v>0.12737010000000001</v>
      </c>
      <c r="U29">
        <v>2004</v>
      </c>
      <c r="V29">
        <v>6</v>
      </c>
      <c r="W29" s="2">
        <v>2.8414700000000001E-11</v>
      </c>
      <c r="X29">
        <v>2004</v>
      </c>
      <c r="Y29">
        <v>7</v>
      </c>
      <c r="Z29">
        <v>0</v>
      </c>
    </row>
    <row r="30" spans="1:26" x14ac:dyDescent="0.25">
      <c r="H30">
        <v>2005</v>
      </c>
      <c r="I30" s="14">
        <v>0.33223200000000003</v>
      </c>
      <c r="J30" s="14">
        <v>284.60399999999998</v>
      </c>
      <c r="K30" s="14">
        <v>0</v>
      </c>
      <c r="L30" s="14">
        <v>1.07911</v>
      </c>
      <c r="M30" s="6">
        <v>0.23375789999999999</v>
      </c>
      <c r="U30">
        <v>2005</v>
      </c>
      <c r="V30">
        <v>6</v>
      </c>
      <c r="W30" s="2">
        <v>8.9701400000000001E-5</v>
      </c>
      <c r="X30">
        <v>2005</v>
      </c>
      <c r="Y30">
        <v>7</v>
      </c>
      <c r="Z30">
        <v>3.7845999999999998E-2</v>
      </c>
    </row>
    <row r="31" spans="1:26" x14ac:dyDescent="0.25">
      <c r="H31">
        <v>2006</v>
      </c>
      <c r="I31" s="14">
        <v>4.9897900000000002E-2</v>
      </c>
      <c r="J31" s="14">
        <v>35.136099999999999</v>
      </c>
      <c r="K31" s="14">
        <v>0</v>
      </c>
      <c r="L31" s="14">
        <v>1.0116799999999999</v>
      </c>
      <c r="M31" s="6">
        <v>9.0295600000000004E-2</v>
      </c>
      <c r="U31">
        <v>2006</v>
      </c>
      <c r="V31">
        <v>6</v>
      </c>
      <c r="W31" s="2">
        <v>3.6578899999999998E-20</v>
      </c>
      <c r="X31">
        <v>2006</v>
      </c>
      <c r="Y31">
        <v>7</v>
      </c>
      <c r="Z31">
        <v>5.8064999999999999E-2</v>
      </c>
    </row>
    <row r="32" spans="1:26" x14ac:dyDescent="0.25">
      <c r="H32">
        <v>2007</v>
      </c>
      <c r="I32" s="14">
        <v>-0.44483699999999998</v>
      </c>
      <c r="J32" s="14">
        <v>0</v>
      </c>
      <c r="K32" s="14">
        <v>0</v>
      </c>
      <c r="L32" s="14">
        <v>0.89923500000000001</v>
      </c>
      <c r="M32" s="6">
        <v>7.7481900000000006E-2</v>
      </c>
      <c r="U32">
        <v>2007</v>
      </c>
      <c r="V32">
        <v>6</v>
      </c>
      <c r="W32">
        <v>0</v>
      </c>
      <c r="X32">
        <v>2007</v>
      </c>
      <c r="Y32">
        <v>7</v>
      </c>
      <c r="Z32">
        <v>0</v>
      </c>
    </row>
    <row r="33" spans="8:26" x14ac:dyDescent="0.25">
      <c r="H33">
        <v>2008</v>
      </c>
      <c r="I33" s="14">
        <v>-0.24628700000000001</v>
      </c>
      <c r="J33" s="14">
        <v>0</v>
      </c>
      <c r="K33" s="14">
        <v>0</v>
      </c>
      <c r="L33" s="14">
        <v>0.94345000000000001</v>
      </c>
      <c r="M33" s="6">
        <v>7.7481900000000006E-2</v>
      </c>
      <c r="U33">
        <v>2008</v>
      </c>
      <c r="V33">
        <v>6</v>
      </c>
      <c r="W33">
        <v>0</v>
      </c>
      <c r="X33">
        <v>2008</v>
      </c>
      <c r="Y33">
        <v>7</v>
      </c>
      <c r="Z33">
        <v>0</v>
      </c>
    </row>
    <row r="34" spans="8:26" x14ac:dyDescent="0.25">
      <c r="H34">
        <v>2009</v>
      </c>
      <c r="I34" s="14">
        <v>-0.92035599999999995</v>
      </c>
      <c r="J34" s="14">
        <v>0</v>
      </c>
      <c r="K34" s="14">
        <v>0</v>
      </c>
      <c r="L34" s="14">
        <v>0.79857100000000003</v>
      </c>
      <c r="M34" s="6">
        <v>7.7481900000000006E-2</v>
      </c>
      <c r="U34">
        <v>2009</v>
      </c>
      <c r="V34">
        <v>6</v>
      </c>
      <c r="W34">
        <v>0</v>
      </c>
      <c r="X34">
        <v>2009</v>
      </c>
      <c r="Y34">
        <v>7</v>
      </c>
      <c r="Z34">
        <v>0</v>
      </c>
    </row>
    <row r="35" spans="8:26" x14ac:dyDescent="0.25">
      <c r="H35">
        <v>2010</v>
      </c>
      <c r="I35" s="14">
        <v>0.63397099999999995</v>
      </c>
      <c r="J35" s="14">
        <v>6.5220000000000002</v>
      </c>
      <c r="K35" s="14">
        <v>0</v>
      </c>
      <c r="L35" s="14">
        <v>1.1535500000000001</v>
      </c>
      <c r="M35" s="6">
        <v>7.9735200000000006E-2</v>
      </c>
      <c r="U35">
        <v>2010</v>
      </c>
      <c r="V35">
        <v>6</v>
      </c>
      <c r="W35" s="2">
        <v>1.4925800000000001E-32</v>
      </c>
      <c r="X35">
        <v>2010</v>
      </c>
      <c r="Y35">
        <v>7</v>
      </c>
      <c r="Z35">
        <v>0</v>
      </c>
    </row>
    <row r="36" spans="8:26" x14ac:dyDescent="0.25">
      <c r="H36">
        <v>2011</v>
      </c>
      <c r="I36" s="14">
        <v>-2.50079E-2</v>
      </c>
      <c r="J36" s="14">
        <v>0</v>
      </c>
      <c r="K36" s="14">
        <v>0</v>
      </c>
      <c r="L36" s="14">
        <v>0.994174</v>
      </c>
      <c r="M36" s="6">
        <v>7.7481900000000006E-2</v>
      </c>
      <c r="U36">
        <v>2011</v>
      </c>
      <c r="V36">
        <v>6</v>
      </c>
      <c r="W36">
        <v>0</v>
      </c>
      <c r="X36">
        <v>2011</v>
      </c>
      <c r="Y36">
        <v>7</v>
      </c>
      <c r="Z36">
        <v>0</v>
      </c>
    </row>
    <row r="37" spans="8:26" x14ac:dyDescent="0.25">
      <c r="H37">
        <v>2012</v>
      </c>
      <c r="I37" s="14">
        <v>-0.57805700000000004</v>
      </c>
      <c r="J37" s="14">
        <v>0</v>
      </c>
      <c r="K37" s="14">
        <v>0</v>
      </c>
      <c r="L37" s="14">
        <v>0.87027900000000002</v>
      </c>
      <c r="M37" s="6">
        <v>7.7481900000000006E-2</v>
      </c>
      <c r="U37">
        <v>2012</v>
      </c>
      <c r="V37">
        <v>6</v>
      </c>
      <c r="W37">
        <v>0</v>
      </c>
      <c r="X37">
        <v>2012</v>
      </c>
      <c r="Y37">
        <v>7</v>
      </c>
      <c r="Z37">
        <v>0</v>
      </c>
    </row>
    <row r="38" spans="8:26" x14ac:dyDescent="0.25">
      <c r="H38">
        <v>2013</v>
      </c>
      <c r="I38" s="14">
        <v>-0.40040399999999998</v>
      </c>
      <c r="J38" s="14">
        <v>0</v>
      </c>
      <c r="K38" s="14">
        <v>0</v>
      </c>
      <c r="L38" s="14">
        <v>0.90902099999999997</v>
      </c>
      <c r="M38" s="6">
        <v>7.7481900000000006E-2</v>
      </c>
      <c r="U38">
        <v>2013</v>
      </c>
      <c r="V38">
        <v>6</v>
      </c>
      <c r="W38">
        <v>0</v>
      </c>
      <c r="X38">
        <v>2013</v>
      </c>
      <c r="Y38">
        <v>7</v>
      </c>
      <c r="Z38">
        <v>0</v>
      </c>
    </row>
    <row r="39" spans="8:26" x14ac:dyDescent="0.25">
      <c r="H39">
        <v>2014</v>
      </c>
      <c r="I39" s="14">
        <v>0.15650800000000001</v>
      </c>
      <c r="J39" s="14">
        <v>283.01499999999999</v>
      </c>
      <c r="K39" s="14">
        <v>0</v>
      </c>
      <c r="L39" s="14">
        <v>1.03688</v>
      </c>
      <c r="M39" s="6">
        <v>0.2325701</v>
      </c>
      <c r="U39">
        <v>2014</v>
      </c>
      <c r="V39">
        <v>6</v>
      </c>
      <c r="W39" s="2">
        <v>8.1585800000000001E-5</v>
      </c>
      <c r="X39">
        <v>2014</v>
      </c>
      <c r="Y39">
        <v>7</v>
      </c>
      <c r="Z39">
        <v>1.0544199999999999</v>
      </c>
    </row>
    <row r="40" spans="8:26" x14ac:dyDescent="0.25">
      <c r="H40">
        <v>2015</v>
      </c>
      <c r="I40" s="14">
        <v>1.30202</v>
      </c>
      <c r="J40" s="14">
        <v>402.322</v>
      </c>
      <c r="K40" s="14">
        <v>5.10806</v>
      </c>
      <c r="L40" s="14">
        <v>1.3256600000000001</v>
      </c>
      <c r="M40" s="6">
        <v>0.32688640000000002</v>
      </c>
      <c r="U40">
        <v>2015</v>
      </c>
      <c r="V40">
        <v>6</v>
      </c>
      <c r="W40">
        <v>3.1579322E-2</v>
      </c>
      <c r="X40">
        <v>2015</v>
      </c>
      <c r="Y40">
        <v>7</v>
      </c>
      <c r="Z40">
        <v>2.0238179999999999</v>
      </c>
    </row>
    <row r="41" spans="8:26" x14ac:dyDescent="0.25">
      <c r="H41">
        <v>2016</v>
      </c>
      <c r="I41" s="14">
        <v>1.1300600000000001</v>
      </c>
      <c r="J41" s="14">
        <v>630.86599999999999</v>
      </c>
      <c r="K41" s="14">
        <v>5.3780999999999999</v>
      </c>
      <c r="L41" s="14">
        <v>1.2805299999999999</v>
      </c>
      <c r="M41" s="6">
        <v>0.49419560000000001</v>
      </c>
      <c r="U41">
        <v>2016</v>
      </c>
      <c r="V41">
        <v>6</v>
      </c>
      <c r="W41">
        <v>64.390178050000003</v>
      </c>
      <c r="X41">
        <v>2016</v>
      </c>
      <c r="Y41">
        <v>7</v>
      </c>
      <c r="Z41">
        <v>3.1456879999999998</v>
      </c>
    </row>
    <row r="42" spans="8:26" x14ac:dyDescent="0.25">
      <c r="H42">
        <v>2017</v>
      </c>
      <c r="I42" s="14">
        <v>0.17682800000000001</v>
      </c>
      <c r="J42" s="14">
        <v>53.0334</v>
      </c>
      <c r="K42" s="14">
        <v>0</v>
      </c>
      <c r="L42" s="14">
        <v>1.04172</v>
      </c>
      <c r="M42" s="6">
        <v>9.7480800000000006E-2</v>
      </c>
      <c r="U42">
        <v>2017</v>
      </c>
      <c r="V42">
        <v>6</v>
      </c>
      <c r="W42" s="2">
        <v>3.9083499999999997E-17</v>
      </c>
      <c r="X42">
        <v>2017</v>
      </c>
      <c r="Y42">
        <v>7</v>
      </c>
      <c r="Z42">
        <v>0.38775599999999999</v>
      </c>
    </row>
    <row r="43" spans="8:26" x14ac:dyDescent="0.25">
      <c r="H43">
        <v>2018</v>
      </c>
      <c r="I43" s="14">
        <v>0.52674100000000001</v>
      </c>
      <c r="J43" s="14">
        <v>128.495</v>
      </c>
      <c r="K43" s="14">
        <v>0</v>
      </c>
      <c r="L43" s="14">
        <v>1.12683</v>
      </c>
      <c r="M43" s="6">
        <v>0.133018</v>
      </c>
      <c r="U43">
        <v>2018</v>
      </c>
      <c r="V43">
        <v>6</v>
      </c>
      <c r="W43" s="2">
        <v>1.2664500000000001E-10</v>
      </c>
      <c r="X43">
        <v>2018</v>
      </c>
      <c r="Y43">
        <v>7</v>
      </c>
      <c r="Z43">
        <v>0.99885599999999997</v>
      </c>
    </row>
    <row r="44" spans="8:26" x14ac:dyDescent="0.25">
      <c r="H44">
        <v>2019</v>
      </c>
      <c r="I44" s="14">
        <v>1.36788</v>
      </c>
      <c r="J44" s="14">
        <v>496.73899999999998</v>
      </c>
      <c r="K44" s="14">
        <v>4.6485099999999999</v>
      </c>
      <c r="L44" s="14">
        <v>1.34307</v>
      </c>
      <c r="M44" s="6">
        <v>0.40210289999999999</v>
      </c>
      <c r="U44">
        <v>2019</v>
      </c>
      <c r="V44">
        <v>6</v>
      </c>
      <c r="W44">
        <v>1.122843402</v>
      </c>
      <c r="X44">
        <v>2019</v>
      </c>
      <c r="Y44">
        <v>7</v>
      </c>
      <c r="Z44">
        <v>1.994842</v>
      </c>
    </row>
    <row r="45" spans="8:26" x14ac:dyDescent="0.25">
      <c r="H45" s="29">
        <v>2020</v>
      </c>
      <c r="I45" s="30">
        <v>-0.27585199999999999</v>
      </c>
      <c r="J45" s="30">
        <v>102.92</v>
      </c>
      <c r="K45" s="30">
        <v>0</v>
      </c>
      <c r="L45" s="30">
        <v>0.93678700000000004</v>
      </c>
      <c r="M45" s="40">
        <v>0.14277570000000001</v>
      </c>
      <c r="U45">
        <v>2020</v>
      </c>
      <c r="V45">
        <v>6</v>
      </c>
      <c r="W45" s="2">
        <v>2.9499000000000002E-12</v>
      </c>
      <c r="X45">
        <v>2020</v>
      </c>
      <c r="Y45">
        <v>7</v>
      </c>
      <c r="Z45">
        <v>0.31378200000000001</v>
      </c>
    </row>
    <row r="310" spans="8:8" x14ac:dyDescent="0.25">
      <c r="H310">
        <v>8</v>
      </c>
    </row>
    <row r="311" spans="8:8" x14ac:dyDescent="0.25">
      <c r="H311">
        <v>8</v>
      </c>
    </row>
    <row r="312" spans="8:8" x14ac:dyDescent="0.25">
      <c r="H312">
        <v>8</v>
      </c>
    </row>
    <row r="313" spans="8:8" x14ac:dyDescent="0.25">
      <c r="H313">
        <v>8</v>
      </c>
    </row>
    <row r="314" spans="8:8" x14ac:dyDescent="0.25">
      <c r="H314">
        <v>8</v>
      </c>
    </row>
    <row r="315" spans="8:8" x14ac:dyDescent="0.25">
      <c r="H315">
        <v>8</v>
      </c>
    </row>
    <row r="316" spans="8:8" x14ac:dyDescent="0.25">
      <c r="H316">
        <v>8</v>
      </c>
    </row>
    <row r="317" spans="8:8" x14ac:dyDescent="0.25">
      <c r="H317">
        <v>8</v>
      </c>
    </row>
    <row r="318" spans="8:8" x14ac:dyDescent="0.25">
      <c r="H318">
        <v>8</v>
      </c>
    </row>
    <row r="319" spans="8:8" x14ac:dyDescent="0.25">
      <c r="H319">
        <v>8</v>
      </c>
    </row>
    <row r="320" spans="8:8" x14ac:dyDescent="0.25">
      <c r="H320">
        <v>8</v>
      </c>
    </row>
    <row r="321" spans="8:8" x14ac:dyDescent="0.25">
      <c r="H321">
        <v>8</v>
      </c>
    </row>
    <row r="322" spans="8:8" x14ac:dyDescent="0.25">
      <c r="H322">
        <v>8</v>
      </c>
    </row>
    <row r="323" spans="8:8" x14ac:dyDescent="0.25">
      <c r="H323">
        <v>8</v>
      </c>
    </row>
    <row r="324" spans="8:8" x14ac:dyDescent="0.25">
      <c r="H324">
        <v>8</v>
      </c>
    </row>
    <row r="325" spans="8:8" x14ac:dyDescent="0.25">
      <c r="H325">
        <v>8</v>
      </c>
    </row>
    <row r="326" spans="8:8" x14ac:dyDescent="0.25">
      <c r="H326">
        <v>8</v>
      </c>
    </row>
    <row r="327" spans="8:8" x14ac:dyDescent="0.25">
      <c r="H327">
        <v>8</v>
      </c>
    </row>
    <row r="328" spans="8:8" x14ac:dyDescent="0.25">
      <c r="H328">
        <v>8</v>
      </c>
    </row>
    <row r="329" spans="8:8" x14ac:dyDescent="0.25">
      <c r="H329">
        <v>8</v>
      </c>
    </row>
    <row r="330" spans="8:8" x14ac:dyDescent="0.25">
      <c r="H330">
        <v>8</v>
      </c>
    </row>
    <row r="331" spans="8:8" x14ac:dyDescent="0.25">
      <c r="H331">
        <v>8</v>
      </c>
    </row>
    <row r="332" spans="8:8" x14ac:dyDescent="0.25">
      <c r="H332">
        <v>8</v>
      </c>
    </row>
    <row r="333" spans="8:8" x14ac:dyDescent="0.25">
      <c r="H333">
        <v>8</v>
      </c>
    </row>
    <row r="334" spans="8:8" x14ac:dyDescent="0.25">
      <c r="H334">
        <v>8</v>
      </c>
    </row>
    <row r="335" spans="8:8" x14ac:dyDescent="0.25">
      <c r="H335">
        <v>8</v>
      </c>
    </row>
    <row r="336" spans="8:8" x14ac:dyDescent="0.25">
      <c r="H336">
        <v>8</v>
      </c>
    </row>
    <row r="337" spans="8:8" x14ac:dyDescent="0.25">
      <c r="H337">
        <v>8</v>
      </c>
    </row>
    <row r="338" spans="8:8" x14ac:dyDescent="0.25">
      <c r="H338">
        <v>8</v>
      </c>
    </row>
    <row r="339" spans="8:8" x14ac:dyDescent="0.25">
      <c r="H339">
        <v>8</v>
      </c>
    </row>
    <row r="340" spans="8:8" x14ac:dyDescent="0.25">
      <c r="H340">
        <v>8</v>
      </c>
    </row>
    <row r="341" spans="8:8" x14ac:dyDescent="0.25">
      <c r="H341">
        <v>8</v>
      </c>
    </row>
    <row r="342" spans="8:8" x14ac:dyDescent="0.25">
      <c r="H342">
        <v>8</v>
      </c>
    </row>
    <row r="343" spans="8:8" x14ac:dyDescent="0.25">
      <c r="H343">
        <v>8</v>
      </c>
    </row>
    <row r="344" spans="8:8" x14ac:dyDescent="0.25">
      <c r="H344">
        <v>8</v>
      </c>
    </row>
    <row r="345" spans="8:8" x14ac:dyDescent="0.25">
      <c r="H345">
        <v>8</v>
      </c>
    </row>
    <row r="346" spans="8:8" x14ac:dyDescent="0.25">
      <c r="H346">
        <v>8</v>
      </c>
    </row>
    <row r="347" spans="8:8" x14ac:dyDescent="0.25">
      <c r="H347">
        <v>8</v>
      </c>
    </row>
    <row r="348" spans="8:8" x14ac:dyDescent="0.25">
      <c r="H348">
        <v>8</v>
      </c>
    </row>
    <row r="349" spans="8:8" x14ac:dyDescent="0.25">
      <c r="H349">
        <v>8</v>
      </c>
    </row>
    <row r="350" spans="8:8" x14ac:dyDescent="0.25">
      <c r="H350">
        <v>8</v>
      </c>
    </row>
    <row r="351" spans="8:8" x14ac:dyDescent="0.25">
      <c r="H351">
        <v>8</v>
      </c>
    </row>
    <row r="352" spans="8:8" x14ac:dyDescent="0.25">
      <c r="H352">
        <v>8</v>
      </c>
    </row>
    <row r="353" spans="8:8" x14ac:dyDescent="0.25">
      <c r="H353">
        <v>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L41"/>
  <sheetViews>
    <sheetView topLeftCell="A4" workbookViewId="0">
      <selection activeCell="K21" sqref="K21"/>
    </sheetView>
  </sheetViews>
  <sheetFormatPr defaultRowHeight="15" x14ac:dyDescent="0.25"/>
  <cols>
    <col min="3" max="3" width="15.28515625" bestFit="1" customWidth="1"/>
    <col min="4" max="4" width="13.7109375" bestFit="1" customWidth="1"/>
    <col min="5" max="5" width="8.140625" customWidth="1"/>
    <col min="6" max="6" width="14.7109375" customWidth="1"/>
    <col min="7" max="7" width="10.5703125" bestFit="1" customWidth="1"/>
    <col min="8" max="8" width="6.140625" customWidth="1"/>
  </cols>
  <sheetData>
    <row r="4" spans="2:12" x14ac:dyDescent="0.25">
      <c r="B4" s="34"/>
      <c r="C4" s="92" t="s">
        <v>15</v>
      </c>
      <c r="D4" s="92"/>
      <c r="E4" s="93"/>
      <c r="F4" s="92" t="s">
        <v>169</v>
      </c>
      <c r="G4" s="92"/>
      <c r="H4" s="92"/>
    </row>
    <row r="5" spans="2:12" ht="15.75" thickBot="1" x14ac:dyDescent="0.3">
      <c r="B5" s="41" t="s">
        <v>173</v>
      </c>
      <c r="C5" s="47" t="s">
        <v>200</v>
      </c>
      <c r="D5" s="47" t="s">
        <v>197</v>
      </c>
      <c r="E5" s="65" t="s">
        <v>198</v>
      </c>
      <c r="F5" s="47" t="s">
        <v>200</v>
      </c>
      <c r="G5" s="47" t="s">
        <v>197</v>
      </c>
      <c r="H5" s="47" t="s">
        <v>198</v>
      </c>
    </row>
    <row r="6" spans="2:12" ht="15.75" thickTop="1" x14ac:dyDescent="0.25">
      <c r="B6">
        <v>2006</v>
      </c>
      <c r="C6" s="61">
        <v>686755</v>
      </c>
      <c r="D6" s="61">
        <v>111839</v>
      </c>
      <c r="E6" s="62">
        <f>D6/C6</f>
        <v>0.16285138076897876</v>
      </c>
      <c r="F6" s="3">
        <v>706285</v>
      </c>
      <c r="G6" s="3">
        <v>107439</v>
      </c>
      <c r="H6" s="6">
        <f>G6/F6</f>
        <v>0.15211847908422238</v>
      </c>
    </row>
    <row r="7" spans="2:12" x14ac:dyDescent="0.25">
      <c r="B7">
        <v>2007</v>
      </c>
      <c r="C7" s="61">
        <v>443195</v>
      </c>
      <c r="D7" s="61">
        <v>78695.899999999994</v>
      </c>
      <c r="E7" s="62">
        <f t="shared" ref="E7:E20" si="0">D7/C7</f>
        <v>0.17756495447827705</v>
      </c>
      <c r="F7" s="3">
        <v>404280</v>
      </c>
      <c r="G7" s="3">
        <v>66906</v>
      </c>
      <c r="H7" s="6">
        <f t="shared" ref="H7:H20" si="1">G7/F7</f>
        <v>0.16549421193232414</v>
      </c>
    </row>
    <row r="8" spans="2:12" x14ac:dyDescent="0.25">
      <c r="B8">
        <v>2008</v>
      </c>
      <c r="C8" s="61">
        <v>651882</v>
      </c>
      <c r="D8" s="61">
        <v>112494</v>
      </c>
      <c r="E8" s="62">
        <f t="shared" si="0"/>
        <v>0.17256804145535543</v>
      </c>
      <c r="F8" s="3">
        <v>601931</v>
      </c>
      <c r="G8" s="3">
        <v>94908.6</v>
      </c>
      <c r="H8" s="6">
        <f t="shared" si="1"/>
        <v>0.15767355394555191</v>
      </c>
    </row>
    <row r="9" spans="2:12" x14ac:dyDescent="0.25">
      <c r="B9">
        <v>2009</v>
      </c>
      <c r="C9" s="61">
        <v>391813</v>
      </c>
      <c r="D9" s="61">
        <v>76337.100000000006</v>
      </c>
      <c r="E9" s="62">
        <f t="shared" si="0"/>
        <v>0.19483044207313185</v>
      </c>
      <c r="F9" s="3">
        <v>397704</v>
      </c>
      <c r="G9" s="3">
        <v>68422.899999999994</v>
      </c>
      <c r="H9" s="6">
        <f t="shared" si="1"/>
        <v>0.17204478707782672</v>
      </c>
    </row>
    <row r="10" spans="2:12" x14ac:dyDescent="0.25">
      <c r="B10">
        <v>2010</v>
      </c>
      <c r="C10" s="61">
        <v>506839</v>
      </c>
      <c r="D10" s="61">
        <v>97164.2</v>
      </c>
      <c r="E10" s="62">
        <f t="shared" si="0"/>
        <v>0.19170624202162817</v>
      </c>
      <c r="F10" s="3">
        <v>434530</v>
      </c>
      <c r="G10" s="3">
        <v>74312.100000000006</v>
      </c>
      <c r="H10" s="6">
        <f t="shared" si="1"/>
        <v>0.17101719098796403</v>
      </c>
    </row>
    <row r="11" spans="2:12" x14ac:dyDescent="0.25">
      <c r="B11">
        <v>2011</v>
      </c>
      <c r="C11" s="61">
        <v>655108</v>
      </c>
      <c r="D11" s="61">
        <v>132113</v>
      </c>
      <c r="E11" s="62">
        <f t="shared" si="0"/>
        <v>0.20166598484524689</v>
      </c>
      <c r="F11" s="3">
        <v>567604</v>
      </c>
      <c r="G11" s="3">
        <v>99156.2</v>
      </c>
      <c r="H11" s="6">
        <f t="shared" si="1"/>
        <v>0.17469256735329561</v>
      </c>
      <c r="L11" s="2"/>
    </row>
    <row r="12" spans="2:12" x14ac:dyDescent="0.25">
      <c r="B12">
        <v>2012</v>
      </c>
      <c r="C12" s="61">
        <v>1215110</v>
      </c>
      <c r="D12" s="61">
        <v>261203</v>
      </c>
      <c r="E12" s="62">
        <f t="shared" si="0"/>
        <v>0.21496243138481289</v>
      </c>
      <c r="F12" s="3">
        <v>1039390</v>
      </c>
      <c r="G12" s="3">
        <v>191148</v>
      </c>
      <c r="H12" s="6">
        <f t="shared" si="1"/>
        <v>0.18390402062748343</v>
      </c>
    </row>
    <row r="13" spans="2:12" x14ac:dyDescent="0.25">
      <c r="B13">
        <v>2013</v>
      </c>
      <c r="C13" s="61">
        <v>638080</v>
      </c>
      <c r="D13" s="61">
        <v>158497</v>
      </c>
      <c r="E13" s="62">
        <f t="shared" si="0"/>
        <v>0.24839675275827483</v>
      </c>
      <c r="F13" s="3">
        <v>468547</v>
      </c>
      <c r="G13" s="3">
        <v>97480.4</v>
      </c>
      <c r="H13" s="6">
        <f t="shared" si="1"/>
        <v>0.20804828544414966</v>
      </c>
    </row>
    <row r="14" spans="2:12" x14ac:dyDescent="0.25">
      <c r="B14">
        <v>2014</v>
      </c>
      <c r="C14" s="61">
        <v>211074</v>
      </c>
      <c r="D14" s="61">
        <v>60298.400000000001</v>
      </c>
      <c r="E14" s="62">
        <f t="shared" si="0"/>
        <v>0.28567421852051889</v>
      </c>
      <c r="F14" s="3">
        <v>241005</v>
      </c>
      <c r="G14" s="3">
        <v>54714.6</v>
      </c>
      <c r="H14" s="6">
        <f t="shared" si="1"/>
        <v>0.22702682516960229</v>
      </c>
    </row>
    <row r="15" spans="2:12" x14ac:dyDescent="0.25">
      <c r="B15">
        <v>2015</v>
      </c>
      <c r="C15" s="61">
        <v>260163</v>
      </c>
      <c r="D15" s="61">
        <v>64285</v>
      </c>
      <c r="E15" s="62">
        <f t="shared" si="0"/>
        <v>0.24709509038564284</v>
      </c>
      <c r="F15" s="3">
        <v>240750</v>
      </c>
      <c r="G15" s="3">
        <v>52957.4</v>
      </c>
      <c r="H15" s="6">
        <f t="shared" si="1"/>
        <v>0.21996843198338525</v>
      </c>
    </row>
    <row r="16" spans="2:12" x14ac:dyDescent="0.25">
      <c r="B16">
        <v>2016</v>
      </c>
      <c r="C16" s="61">
        <v>168038</v>
      </c>
      <c r="D16" s="61">
        <v>41642.9</v>
      </c>
      <c r="E16" s="62">
        <f t="shared" si="0"/>
        <v>0.2478183506111713</v>
      </c>
      <c r="F16" s="3">
        <v>190432</v>
      </c>
      <c r="G16" s="3">
        <v>40752.1</v>
      </c>
      <c r="H16" s="6">
        <f t="shared" si="1"/>
        <v>0.21399817257603762</v>
      </c>
    </row>
    <row r="17" spans="2:8" x14ac:dyDescent="0.25">
      <c r="B17">
        <v>2017</v>
      </c>
      <c r="C17" s="61">
        <v>246044</v>
      </c>
      <c r="D17" s="61">
        <v>57826.3</v>
      </c>
      <c r="E17" s="62">
        <f t="shared" si="0"/>
        <v>0.23502422330965195</v>
      </c>
      <c r="F17" s="3">
        <v>438126</v>
      </c>
      <c r="G17" s="3">
        <v>84786.3</v>
      </c>
      <c r="H17" s="6">
        <f t="shared" si="1"/>
        <v>0.19352035715753002</v>
      </c>
    </row>
    <row r="18" spans="2:8" x14ac:dyDescent="0.25">
      <c r="B18">
        <v>2018</v>
      </c>
      <c r="C18" s="61">
        <v>389895</v>
      </c>
      <c r="D18" s="61">
        <v>108368</v>
      </c>
      <c r="E18" s="62">
        <f t="shared" si="0"/>
        <v>0.27794149706972388</v>
      </c>
      <c r="F18" s="3">
        <v>698218</v>
      </c>
      <c r="G18" s="3">
        <v>132091</v>
      </c>
      <c r="H18" s="6">
        <f t="shared" si="1"/>
        <v>0.18918303452503374</v>
      </c>
    </row>
    <row r="19" spans="2:8" x14ac:dyDescent="0.25">
      <c r="B19">
        <v>2019</v>
      </c>
      <c r="C19" s="61">
        <v>399011</v>
      </c>
      <c r="D19" s="61">
        <v>160052</v>
      </c>
      <c r="E19" s="62">
        <f t="shared" si="0"/>
        <v>0.40112177358518936</v>
      </c>
      <c r="F19" s="3">
        <v>253131</v>
      </c>
      <c r="G19" s="3">
        <v>65588.600000000006</v>
      </c>
      <c r="H19" s="6">
        <f t="shared" si="1"/>
        <v>0.2591093149396953</v>
      </c>
    </row>
    <row r="20" spans="2:8" x14ac:dyDescent="0.25">
      <c r="B20" s="29">
        <v>2020</v>
      </c>
      <c r="C20" s="57">
        <v>463705</v>
      </c>
      <c r="D20" s="57">
        <v>223391</v>
      </c>
      <c r="E20" s="63">
        <f t="shared" si="0"/>
        <v>0.48175240724167306</v>
      </c>
      <c r="F20" s="57">
        <v>852381</v>
      </c>
      <c r="G20" s="57">
        <v>176358</v>
      </c>
      <c r="H20" s="40">
        <f t="shared" si="1"/>
        <v>0.20690043536869077</v>
      </c>
    </row>
    <row r="21" spans="2:8" x14ac:dyDescent="0.25">
      <c r="B21" s="58" t="s">
        <v>199</v>
      </c>
      <c r="C21" s="59">
        <f t="shared" ref="C21:G21" si="2">AVERAGE(C6:C20)</f>
        <v>488447.46666666667</v>
      </c>
      <c r="D21" s="59">
        <f t="shared" si="2"/>
        <v>116280.45333333332</v>
      </c>
      <c r="E21" s="64">
        <f t="shared" si="2"/>
        <v>0.24939825270061847</v>
      </c>
      <c r="F21" s="59">
        <f t="shared" si="2"/>
        <v>502287.6</v>
      </c>
      <c r="G21" s="59">
        <f t="shared" si="2"/>
        <v>93801.413333333345</v>
      </c>
      <c r="H21" s="60">
        <f>AVERAGE(H6:H20)</f>
        <v>0.19297997787818624</v>
      </c>
    </row>
    <row r="25" spans="2:8" x14ac:dyDescent="0.25">
      <c r="D25" s="6"/>
    </row>
    <row r="26" spans="2:8" x14ac:dyDescent="0.25">
      <c r="D26" s="6"/>
    </row>
    <row r="27" spans="2:8" x14ac:dyDescent="0.25">
      <c r="D27" s="6"/>
    </row>
    <row r="28" spans="2:8" x14ac:dyDescent="0.25">
      <c r="D28" s="6"/>
    </row>
    <row r="29" spans="2:8" x14ac:dyDescent="0.25">
      <c r="D29" s="6"/>
    </row>
    <row r="30" spans="2:8" x14ac:dyDescent="0.25">
      <c r="D30" s="6"/>
    </row>
    <row r="31" spans="2:8" x14ac:dyDescent="0.25">
      <c r="D31" s="6"/>
    </row>
    <row r="32" spans="2:8" x14ac:dyDescent="0.25">
      <c r="D32" s="6"/>
    </row>
    <row r="33" spans="4:5" x14ac:dyDescent="0.25">
      <c r="D33" s="6"/>
    </row>
    <row r="34" spans="4:5" x14ac:dyDescent="0.25">
      <c r="D34" s="6"/>
    </row>
    <row r="35" spans="4:5" x14ac:dyDescent="0.25">
      <c r="D35" s="6"/>
    </row>
    <row r="36" spans="4:5" x14ac:dyDescent="0.25">
      <c r="D36" s="6"/>
    </row>
    <row r="37" spans="4:5" x14ac:dyDescent="0.25">
      <c r="D37" s="6"/>
    </row>
    <row r="38" spans="4:5" x14ac:dyDescent="0.25">
      <c r="D38" s="6"/>
    </row>
    <row r="39" spans="4:5" x14ac:dyDescent="0.25">
      <c r="D39" s="6"/>
      <c r="E39" s="6"/>
    </row>
    <row r="40" spans="4:5" x14ac:dyDescent="0.25">
      <c r="D40" s="6"/>
    </row>
    <row r="41" spans="4:5" x14ac:dyDescent="0.25">
      <c r="D41" s="6"/>
    </row>
  </sheetData>
  <mergeCells count="2">
    <mergeCell ref="F4:H4"/>
    <mergeCell ref="C4:E4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9"/>
  <sheetViews>
    <sheetView workbookViewId="0">
      <selection activeCell="L49" sqref="L49"/>
    </sheetView>
  </sheetViews>
  <sheetFormatPr defaultRowHeight="15" x14ac:dyDescent="0.25"/>
  <cols>
    <col min="1" max="1" width="17.42578125" customWidth="1"/>
    <col min="2" max="2" width="9" style="3" customWidth="1"/>
    <col min="3" max="3" width="9" style="6" customWidth="1"/>
    <col min="4" max="4" width="9" style="3" customWidth="1"/>
    <col min="5" max="5" width="9" style="6" customWidth="1"/>
    <col min="6" max="6" width="9" style="3" customWidth="1"/>
    <col min="7" max="7" width="9" style="6" customWidth="1"/>
    <col min="8" max="8" width="9" style="3" customWidth="1"/>
    <col min="9" max="9" width="9" style="6" customWidth="1"/>
    <col min="10" max="10" width="9" style="3" customWidth="1"/>
    <col min="11" max="11" width="9" style="6" customWidth="1"/>
    <col min="12" max="12" width="10.5703125" style="6" customWidth="1"/>
    <col min="13" max="13" width="9" style="3" customWidth="1"/>
    <col min="14" max="14" width="5.7109375" style="6" customWidth="1"/>
    <col min="15" max="15" width="8.42578125" style="3" customWidth="1"/>
    <col min="16" max="16" width="5.7109375" style="6" customWidth="1"/>
    <col min="17" max="17" width="8.42578125" style="3" customWidth="1"/>
    <col min="18" max="18" width="5.7109375" style="6" customWidth="1"/>
    <col min="19" max="19" width="8.42578125" style="3" customWidth="1"/>
    <col min="20" max="20" width="5.7109375" style="6" customWidth="1"/>
    <col min="21" max="21" width="8.42578125" customWidth="1"/>
    <col min="22" max="22" width="5.7109375" style="6" customWidth="1"/>
  </cols>
  <sheetData>
    <row r="1" spans="1:23" x14ac:dyDescent="0.25">
      <c r="A1" s="51"/>
      <c r="B1" s="94" t="s">
        <v>83</v>
      </c>
      <c r="C1" s="95"/>
      <c r="D1" s="94" t="s">
        <v>148</v>
      </c>
      <c r="E1" s="95"/>
      <c r="F1" s="94" t="s">
        <v>124</v>
      </c>
      <c r="G1" s="95"/>
      <c r="H1" s="94" t="s">
        <v>125</v>
      </c>
      <c r="I1" s="95"/>
      <c r="J1" s="94" t="s">
        <v>126</v>
      </c>
      <c r="K1" s="95"/>
      <c r="M1" s="94" t="s">
        <v>153</v>
      </c>
      <c r="N1" s="95"/>
      <c r="O1" s="94" t="s">
        <v>94</v>
      </c>
      <c r="P1" s="95"/>
      <c r="Q1" s="94" t="s">
        <v>158</v>
      </c>
      <c r="R1" s="95"/>
      <c r="S1" s="94" t="s">
        <v>97</v>
      </c>
      <c r="T1" s="95"/>
      <c r="U1" s="94" t="s">
        <v>168</v>
      </c>
      <c r="V1" s="95"/>
    </row>
    <row r="2" spans="1:23" x14ac:dyDescent="0.25">
      <c r="A2" s="51" t="s">
        <v>173</v>
      </c>
      <c r="B2" s="88" t="s">
        <v>215</v>
      </c>
      <c r="C2" s="70" t="s">
        <v>198</v>
      </c>
      <c r="D2" s="88" t="s">
        <v>215</v>
      </c>
      <c r="E2" s="70" t="s">
        <v>198</v>
      </c>
      <c r="F2" s="88" t="s">
        <v>215</v>
      </c>
      <c r="G2" s="70" t="s">
        <v>198</v>
      </c>
      <c r="H2" s="88" t="s">
        <v>215</v>
      </c>
      <c r="I2" s="70" t="s">
        <v>198</v>
      </c>
      <c r="J2" s="88" t="s">
        <v>215</v>
      </c>
      <c r="K2" s="70" t="s">
        <v>198</v>
      </c>
      <c r="L2" s="51" t="s">
        <v>173</v>
      </c>
      <c r="M2" s="88" t="s">
        <v>215</v>
      </c>
      <c r="N2" s="70" t="s">
        <v>198</v>
      </c>
      <c r="O2" s="88" t="s">
        <v>215</v>
      </c>
      <c r="P2" s="70" t="s">
        <v>198</v>
      </c>
      <c r="Q2" s="88" t="s">
        <v>215</v>
      </c>
      <c r="R2" s="70" t="s">
        <v>198</v>
      </c>
      <c r="S2" s="88" t="s">
        <v>215</v>
      </c>
      <c r="T2" s="70" t="s">
        <v>198</v>
      </c>
      <c r="U2" s="88" t="s">
        <v>215</v>
      </c>
      <c r="V2" s="70" t="s">
        <v>198</v>
      </c>
    </row>
    <row r="3" spans="1:23" x14ac:dyDescent="0.25">
      <c r="A3" s="51">
        <v>1978</v>
      </c>
      <c r="B3" s="88">
        <v>377556</v>
      </c>
      <c r="C3" s="70">
        <v>0.34854961912934768</v>
      </c>
      <c r="D3" s="88">
        <v>379158</v>
      </c>
      <c r="E3" s="70">
        <v>0.34479293592644755</v>
      </c>
      <c r="F3" s="88">
        <v>377992</v>
      </c>
      <c r="G3" s="70">
        <v>0.34675866155897478</v>
      </c>
      <c r="H3" s="88">
        <v>361736</v>
      </c>
      <c r="I3" s="70">
        <v>0.33793153017670347</v>
      </c>
      <c r="J3" s="88">
        <v>417244</v>
      </c>
      <c r="K3" s="70">
        <v>0.34169694471340512</v>
      </c>
      <c r="L3" s="51">
        <v>1978</v>
      </c>
      <c r="M3" s="88">
        <v>388182</v>
      </c>
      <c r="N3" s="70">
        <v>0.33471412893951807</v>
      </c>
      <c r="O3" s="88">
        <v>395269</v>
      </c>
      <c r="P3" s="70">
        <v>0.34285764884167491</v>
      </c>
      <c r="Q3" s="88">
        <v>405973</v>
      </c>
      <c r="R3" s="70">
        <v>0.39685151475590741</v>
      </c>
      <c r="S3" s="88">
        <v>250342</v>
      </c>
      <c r="T3" s="70">
        <v>0.35053766447499823</v>
      </c>
      <c r="U3" s="88">
        <v>273273</v>
      </c>
      <c r="V3" s="70">
        <v>0.40396965671690949</v>
      </c>
      <c r="W3" s="7"/>
    </row>
    <row r="4" spans="1:23" x14ac:dyDescent="0.25">
      <c r="A4" s="51">
        <v>1979</v>
      </c>
      <c r="B4" s="88">
        <v>369733</v>
      </c>
      <c r="C4" s="70">
        <v>0.31937911952679365</v>
      </c>
      <c r="D4" s="88">
        <v>376339</v>
      </c>
      <c r="E4" s="70">
        <v>0.31372246830650025</v>
      </c>
      <c r="F4" s="88">
        <v>373381</v>
      </c>
      <c r="G4" s="70">
        <v>0.31711576111264367</v>
      </c>
      <c r="H4" s="88">
        <v>359789</v>
      </c>
      <c r="I4" s="70">
        <v>0.3084947010608996</v>
      </c>
      <c r="J4" s="88">
        <v>410868</v>
      </c>
      <c r="K4" s="70">
        <v>0.31112668789002795</v>
      </c>
      <c r="L4" s="51">
        <v>1979</v>
      </c>
      <c r="M4" s="88">
        <v>383916</v>
      </c>
      <c r="N4" s="70">
        <v>0.30530376436512152</v>
      </c>
      <c r="O4" s="88">
        <v>385344</v>
      </c>
      <c r="P4" s="70">
        <v>0.31614609284172063</v>
      </c>
      <c r="Q4" s="88">
        <v>366576</v>
      </c>
      <c r="R4" s="70">
        <v>0.37302223822617958</v>
      </c>
      <c r="S4" s="88">
        <v>237661</v>
      </c>
      <c r="T4" s="70">
        <v>0.33089568755496274</v>
      </c>
      <c r="U4" s="88">
        <v>244589</v>
      </c>
      <c r="V4" s="70">
        <v>0.38360310561799593</v>
      </c>
      <c r="W4" s="7"/>
    </row>
    <row r="5" spans="1:23" x14ac:dyDescent="0.25">
      <c r="A5" s="51">
        <v>1980</v>
      </c>
      <c r="B5" s="88">
        <v>624014</v>
      </c>
      <c r="C5" s="70">
        <v>0.28827718608877367</v>
      </c>
      <c r="D5" s="88">
        <v>638465</v>
      </c>
      <c r="E5" s="70">
        <v>0.28121040307612788</v>
      </c>
      <c r="F5" s="88">
        <v>504666</v>
      </c>
      <c r="G5" s="70">
        <v>0.30248520803858392</v>
      </c>
      <c r="H5" s="88">
        <v>607456</v>
      </c>
      <c r="I5" s="70">
        <v>0.27693857662118737</v>
      </c>
      <c r="J5" s="88">
        <v>693037</v>
      </c>
      <c r="K5" s="70">
        <v>0.27914094052698485</v>
      </c>
      <c r="L5" s="51">
        <v>1980</v>
      </c>
      <c r="M5" s="88">
        <v>645336</v>
      </c>
      <c r="N5" s="70">
        <v>0.2739286201296689</v>
      </c>
      <c r="O5" s="88">
        <v>515580</v>
      </c>
      <c r="P5" s="70">
        <v>0.30217037123239848</v>
      </c>
      <c r="Q5" s="88">
        <v>401744</v>
      </c>
      <c r="R5" s="70">
        <v>0.37584133179338086</v>
      </c>
      <c r="S5" s="88">
        <v>320765</v>
      </c>
      <c r="T5" s="70">
        <v>0.31751282091250604</v>
      </c>
      <c r="U5" s="88">
        <v>270439</v>
      </c>
      <c r="V5" s="70">
        <v>0.382618631188549</v>
      </c>
      <c r="W5" s="7"/>
    </row>
    <row r="6" spans="1:23" x14ac:dyDescent="0.25">
      <c r="A6" s="51">
        <v>1981</v>
      </c>
      <c r="B6" s="88">
        <v>689951</v>
      </c>
      <c r="C6" s="70">
        <v>0.26799294442648824</v>
      </c>
      <c r="D6" s="88">
        <v>698292</v>
      </c>
      <c r="E6" s="70">
        <v>0.26175439500953757</v>
      </c>
      <c r="F6" s="88">
        <v>659821</v>
      </c>
      <c r="G6" s="70">
        <v>0.2533778100424206</v>
      </c>
      <c r="H6" s="88">
        <v>667217</v>
      </c>
      <c r="I6" s="70">
        <v>0.25782016945011893</v>
      </c>
      <c r="J6" s="88">
        <v>752084</v>
      </c>
      <c r="K6" s="70">
        <v>0.25884475670270873</v>
      </c>
      <c r="L6" s="51">
        <v>1981</v>
      </c>
      <c r="M6" s="88">
        <v>704922</v>
      </c>
      <c r="N6" s="70">
        <v>0.25389759434377135</v>
      </c>
      <c r="O6" s="88">
        <v>683986</v>
      </c>
      <c r="P6" s="70">
        <v>0.25509001646232526</v>
      </c>
      <c r="Q6" s="88">
        <v>518978</v>
      </c>
      <c r="R6" s="70">
        <v>0.33844016509370339</v>
      </c>
      <c r="S6" s="88">
        <v>433580</v>
      </c>
      <c r="T6" s="70">
        <v>0.27476359610683149</v>
      </c>
      <c r="U6" s="88">
        <v>353499</v>
      </c>
      <c r="V6" s="70">
        <v>0.34663181508292812</v>
      </c>
      <c r="W6" s="7"/>
    </row>
    <row r="7" spans="1:23" x14ac:dyDescent="0.25">
      <c r="A7" s="51">
        <v>1982</v>
      </c>
      <c r="B7" s="88">
        <v>756252</v>
      </c>
      <c r="C7" s="70">
        <v>0.27136060466616946</v>
      </c>
      <c r="D7" s="88">
        <v>769099</v>
      </c>
      <c r="E7" s="70">
        <v>0.26481636304298928</v>
      </c>
      <c r="F7" s="88">
        <v>729879</v>
      </c>
      <c r="G7" s="70">
        <v>0.26788275864903632</v>
      </c>
      <c r="H7" s="88">
        <v>734718</v>
      </c>
      <c r="I7" s="70">
        <v>0.25979491451141801</v>
      </c>
      <c r="J7" s="88">
        <v>834698</v>
      </c>
      <c r="K7" s="70">
        <v>0.26100457890159073</v>
      </c>
      <c r="L7" s="51">
        <v>1982</v>
      </c>
      <c r="M7" s="88">
        <v>780304</v>
      </c>
      <c r="N7" s="70">
        <v>0.25545428448399599</v>
      </c>
      <c r="O7" s="88">
        <v>759232</v>
      </c>
      <c r="P7" s="70">
        <v>0.26736491612576918</v>
      </c>
      <c r="Q7" s="88">
        <v>628058</v>
      </c>
      <c r="R7" s="70">
        <v>0.36437080651786935</v>
      </c>
      <c r="S7" s="88">
        <v>481087</v>
      </c>
      <c r="T7" s="70">
        <v>0.28565519334340772</v>
      </c>
      <c r="U7" s="88">
        <v>425742</v>
      </c>
      <c r="V7" s="70">
        <v>0.36922831198237432</v>
      </c>
      <c r="W7" s="7"/>
    </row>
    <row r="8" spans="1:23" x14ac:dyDescent="0.25">
      <c r="A8" s="51">
        <v>1983</v>
      </c>
      <c r="B8" s="88">
        <v>538912</v>
      </c>
      <c r="C8" s="70">
        <v>0.31044400570037406</v>
      </c>
      <c r="D8" s="88">
        <v>540797</v>
      </c>
      <c r="E8" s="70">
        <v>0.30651797254792462</v>
      </c>
      <c r="F8" s="88">
        <v>407980</v>
      </c>
      <c r="G8" s="70">
        <v>0.32493014363449191</v>
      </c>
      <c r="H8" s="88">
        <v>520729</v>
      </c>
      <c r="I8" s="70">
        <v>0.29928235224080085</v>
      </c>
      <c r="J8" s="88">
        <v>536447</v>
      </c>
      <c r="K8" s="70">
        <v>0.31168596338501287</v>
      </c>
      <c r="L8" s="51">
        <v>1983</v>
      </c>
      <c r="M8" s="88">
        <v>518973</v>
      </c>
      <c r="N8" s="70">
        <v>0.30121798243839276</v>
      </c>
      <c r="O8" s="88">
        <v>394972</v>
      </c>
      <c r="P8" s="70">
        <v>0.32847644896347084</v>
      </c>
      <c r="Q8" s="88">
        <v>350884</v>
      </c>
      <c r="R8" s="70">
        <v>0.41588958174211421</v>
      </c>
      <c r="S8" s="88">
        <v>259739</v>
      </c>
      <c r="T8" s="70">
        <v>0.33849556670349851</v>
      </c>
      <c r="U8" s="88">
        <v>242584</v>
      </c>
      <c r="V8" s="70">
        <v>0.41287141773571218</v>
      </c>
      <c r="W8" s="7"/>
    </row>
    <row r="9" spans="1:23" x14ac:dyDescent="0.25">
      <c r="A9" s="51">
        <v>1984</v>
      </c>
      <c r="B9" s="88">
        <v>709138</v>
      </c>
      <c r="C9" s="70">
        <v>0.27577707018944125</v>
      </c>
      <c r="D9" s="88">
        <v>722969</v>
      </c>
      <c r="E9" s="70">
        <v>0.26993826844581165</v>
      </c>
      <c r="F9" s="88">
        <v>657489</v>
      </c>
      <c r="G9" s="70">
        <v>0.26544018226920907</v>
      </c>
      <c r="H9" s="88">
        <v>689984</v>
      </c>
      <c r="I9" s="70">
        <v>0.26421917029960112</v>
      </c>
      <c r="J9" s="88">
        <v>809158</v>
      </c>
      <c r="K9" s="70">
        <v>0.26430931906994676</v>
      </c>
      <c r="L9" s="51">
        <v>1984</v>
      </c>
      <c r="M9" s="88">
        <v>748967</v>
      </c>
      <c r="N9" s="70">
        <v>0.25920501170278532</v>
      </c>
      <c r="O9" s="88">
        <v>696500</v>
      </c>
      <c r="P9" s="70">
        <v>0.26261737257717155</v>
      </c>
      <c r="Q9" s="88">
        <v>618507</v>
      </c>
      <c r="R9" s="70">
        <v>0.35404449747537214</v>
      </c>
      <c r="S9" s="88">
        <v>460863</v>
      </c>
      <c r="T9" s="70">
        <v>0.27883123618081729</v>
      </c>
      <c r="U9" s="88">
        <v>434964</v>
      </c>
      <c r="V9" s="70">
        <v>0.3564432918586366</v>
      </c>
      <c r="W9" s="7"/>
    </row>
    <row r="10" spans="1:23" x14ac:dyDescent="0.25">
      <c r="A10" s="51">
        <v>1985</v>
      </c>
      <c r="B10" s="88">
        <v>886695</v>
      </c>
      <c r="C10" s="70">
        <v>0.23848561230186252</v>
      </c>
      <c r="D10" s="88">
        <v>892515</v>
      </c>
      <c r="E10" s="70">
        <v>0.23389186736357373</v>
      </c>
      <c r="F10" s="88">
        <v>799968</v>
      </c>
      <c r="G10" s="70">
        <v>0.2311529961198448</v>
      </c>
      <c r="H10" s="88">
        <v>833058</v>
      </c>
      <c r="I10" s="70">
        <v>0.22964427446828431</v>
      </c>
      <c r="J10" s="88">
        <v>889248</v>
      </c>
      <c r="K10" s="70">
        <v>0.23726789377091656</v>
      </c>
      <c r="L10" s="51">
        <v>1985</v>
      </c>
      <c r="M10" s="88">
        <v>833587</v>
      </c>
      <c r="N10" s="70">
        <v>0.23020992409910424</v>
      </c>
      <c r="O10" s="88">
        <v>759515</v>
      </c>
      <c r="P10" s="70">
        <v>0.23508818127357589</v>
      </c>
      <c r="Q10" s="88">
        <v>571253</v>
      </c>
      <c r="R10" s="70">
        <v>0.34200608136850047</v>
      </c>
      <c r="S10" s="88">
        <v>534252</v>
      </c>
      <c r="T10" s="70">
        <v>0.24927000741223243</v>
      </c>
      <c r="U10" s="88">
        <v>417468</v>
      </c>
      <c r="V10" s="70">
        <v>0.34178188507861679</v>
      </c>
      <c r="W10" s="7"/>
    </row>
    <row r="11" spans="1:23" x14ac:dyDescent="0.25">
      <c r="A11" s="51">
        <v>1986</v>
      </c>
      <c r="B11" s="88">
        <v>499375</v>
      </c>
      <c r="C11" s="70">
        <v>0.27114693366708387</v>
      </c>
      <c r="D11" s="88">
        <v>503011</v>
      </c>
      <c r="E11" s="70">
        <v>0.267190975942872</v>
      </c>
      <c r="F11" s="88">
        <v>375480</v>
      </c>
      <c r="G11" s="70">
        <v>0.29390912964738469</v>
      </c>
      <c r="H11" s="88">
        <v>478455</v>
      </c>
      <c r="I11" s="70">
        <v>0.25991786061385086</v>
      </c>
      <c r="J11" s="88">
        <v>551995</v>
      </c>
      <c r="K11" s="70">
        <v>0.26104584280654713</v>
      </c>
      <c r="L11" s="51">
        <v>1986</v>
      </c>
      <c r="M11" s="88">
        <v>512046</v>
      </c>
      <c r="N11" s="70">
        <v>0.25474469090667634</v>
      </c>
      <c r="O11" s="88">
        <v>392411</v>
      </c>
      <c r="P11" s="70">
        <v>0.28556284100088936</v>
      </c>
      <c r="Q11" s="88">
        <v>384481</v>
      </c>
      <c r="R11" s="70">
        <v>0.35457408818641234</v>
      </c>
      <c r="S11" s="88">
        <v>273842</v>
      </c>
      <c r="T11" s="70">
        <v>0.2995672687169974</v>
      </c>
      <c r="U11" s="88">
        <v>280494</v>
      </c>
      <c r="V11" s="70">
        <v>0.35509280055901371</v>
      </c>
      <c r="W11" s="7"/>
    </row>
    <row r="12" spans="1:23" x14ac:dyDescent="0.25">
      <c r="A12" s="51">
        <v>1987</v>
      </c>
      <c r="B12" s="88">
        <v>588083</v>
      </c>
      <c r="C12" s="70">
        <v>0.22690844659682391</v>
      </c>
      <c r="D12" s="88">
        <v>595309</v>
      </c>
      <c r="E12" s="70">
        <v>0.22182429628982595</v>
      </c>
      <c r="F12" s="88">
        <v>491730</v>
      </c>
      <c r="G12" s="70">
        <v>0.22269131433916986</v>
      </c>
      <c r="H12" s="88">
        <v>562530</v>
      </c>
      <c r="I12" s="70">
        <v>0.218612340675164</v>
      </c>
      <c r="J12" s="88">
        <v>618762</v>
      </c>
      <c r="K12" s="70">
        <v>0.21932665548304517</v>
      </c>
      <c r="L12" s="51">
        <v>1987</v>
      </c>
      <c r="M12" s="88">
        <v>579754</v>
      </c>
      <c r="N12" s="70">
        <v>0.21528613860361465</v>
      </c>
      <c r="O12" s="88">
        <v>487543</v>
      </c>
      <c r="P12" s="70">
        <v>0.22340593547646054</v>
      </c>
      <c r="Q12" s="88">
        <v>463544</v>
      </c>
      <c r="R12" s="70">
        <v>0.3022258944134753</v>
      </c>
      <c r="S12" s="88">
        <v>347065</v>
      </c>
      <c r="T12" s="70">
        <v>0.2359955627908317</v>
      </c>
      <c r="U12" s="88">
        <v>343380</v>
      </c>
      <c r="V12" s="70">
        <v>0.30203855786592115</v>
      </c>
      <c r="W12" s="7"/>
    </row>
    <row r="13" spans="1:23" x14ac:dyDescent="0.25">
      <c r="A13" s="51">
        <v>1988</v>
      </c>
      <c r="B13" s="88">
        <v>597962</v>
      </c>
      <c r="C13" s="70">
        <v>0.22109264468310696</v>
      </c>
      <c r="D13" s="88">
        <v>603810</v>
      </c>
      <c r="E13" s="70">
        <v>0.21597025554396251</v>
      </c>
      <c r="F13" s="88">
        <v>538538</v>
      </c>
      <c r="G13" s="70">
        <v>0.21015601498872874</v>
      </c>
      <c r="H13" s="88">
        <v>579513</v>
      </c>
      <c r="I13" s="70">
        <v>0.21329806233854978</v>
      </c>
      <c r="J13" s="88">
        <v>635484</v>
      </c>
      <c r="K13" s="70">
        <v>0.21257183501079494</v>
      </c>
      <c r="L13" s="51">
        <v>1988</v>
      </c>
      <c r="M13" s="88">
        <v>602308</v>
      </c>
      <c r="N13" s="70">
        <v>0.20934970148163398</v>
      </c>
      <c r="O13" s="88">
        <v>550431</v>
      </c>
      <c r="P13" s="70">
        <v>0.21137254260752028</v>
      </c>
      <c r="Q13" s="88">
        <v>441318</v>
      </c>
      <c r="R13" s="70">
        <v>0.30644569222193518</v>
      </c>
      <c r="S13" s="88">
        <v>385336</v>
      </c>
      <c r="T13" s="70">
        <v>0.22484870346918015</v>
      </c>
      <c r="U13" s="88">
        <v>322706</v>
      </c>
      <c r="V13" s="70">
        <v>0.30598687350095755</v>
      </c>
      <c r="W13" s="7"/>
    </row>
    <row r="14" spans="1:23" x14ac:dyDescent="0.25">
      <c r="A14" s="51">
        <v>1989</v>
      </c>
      <c r="B14" s="88">
        <v>632229</v>
      </c>
      <c r="C14" s="70">
        <v>0.21690874667248733</v>
      </c>
      <c r="D14" s="88">
        <v>639776</v>
      </c>
      <c r="E14" s="70">
        <v>0.21162719451808132</v>
      </c>
      <c r="F14" s="88">
        <v>596082</v>
      </c>
      <c r="G14" s="70">
        <v>0.20693126113521293</v>
      </c>
      <c r="H14" s="88">
        <v>621659</v>
      </c>
      <c r="I14" s="70">
        <v>0.208648149548225</v>
      </c>
      <c r="J14" s="88">
        <v>671344</v>
      </c>
      <c r="K14" s="70">
        <v>0.20836858600061967</v>
      </c>
      <c r="L14" s="51">
        <v>1989</v>
      </c>
      <c r="M14" s="88">
        <v>644527</v>
      </c>
      <c r="N14" s="70">
        <v>0.20478738671925303</v>
      </c>
      <c r="O14" s="88">
        <v>615420</v>
      </c>
      <c r="P14" s="70">
        <v>0.20832764616034577</v>
      </c>
      <c r="Q14" s="88">
        <v>575463</v>
      </c>
      <c r="R14" s="70">
        <v>0.29331512191053116</v>
      </c>
      <c r="S14" s="88">
        <v>423790</v>
      </c>
      <c r="T14" s="70">
        <v>0.22366643856627105</v>
      </c>
      <c r="U14" s="88">
        <v>415443</v>
      </c>
      <c r="V14" s="70">
        <v>0.29190767445834925</v>
      </c>
      <c r="W14" s="7"/>
    </row>
    <row r="15" spans="1:23" x14ac:dyDescent="0.25">
      <c r="A15" s="51">
        <v>1990</v>
      </c>
      <c r="B15" s="88">
        <v>749185</v>
      </c>
      <c r="C15" s="70">
        <v>0.2034143769562925</v>
      </c>
      <c r="D15" s="88">
        <v>754939</v>
      </c>
      <c r="E15" s="70">
        <v>0.1982358839588364</v>
      </c>
      <c r="F15" s="88">
        <v>643233</v>
      </c>
      <c r="G15" s="70">
        <v>0.19940985614854959</v>
      </c>
      <c r="H15" s="88">
        <v>740039</v>
      </c>
      <c r="I15" s="70">
        <v>0.19638694717440566</v>
      </c>
      <c r="J15" s="88">
        <v>791292</v>
      </c>
      <c r="K15" s="70">
        <v>0.19496721816977802</v>
      </c>
      <c r="L15" s="51">
        <v>1990</v>
      </c>
      <c r="M15" s="88">
        <v>766440</v>
      </c>
      <c r="N15" s="70">
        <v>0.19243385000782839</v>
      </c>
      <c r="O15" s="88">
        <v>663983</v>
      </c>
      <c r="P15" s="70">
        <v>0.2018982413706375</v>
      </c>
      <c r="Q15" s="88">
        <v>538987</v>
      </c>
      <c r="R15" s="70">
        <v>0.29694408213927237</v>
      </c>
      <c r="S15" s="88">
        <v>452010</v>
      </c>
      <c r="T15" s="70">
        <v>0.21795070905510938</v>
      </c>
      <c r="U15" s="88">
        <v>384469</v>
      </c>
      <c r="V15" s="70">
        <v>0.29469215983603358</v>
      </c>
      <c r="W15" s="7"/>
    </row>
    <row r="16" spans="1:23" x14ac:dyDescent="0.25">
      <c r="A16" s="51">
        <v>1991</v>
      </c>
      <c r="B16" s="88">
        <v>444758</v>
      </c>
      <c r="C16" s="70">
        <v>0.22407803794423034</v>
      </c>
      <c r="D16" s="88">
        <v>446710</v>
      </c>
      <c r="E16" s="70">
        <v>0.2198634460835889</v>
      </c>
      <c r="F16" s="88">
        <v>346336</v>
      </c>
      <c r="G16" s="70">
        <v>0.22954269842003139</v>
      </c>
      <c r="H16" s="88">
        <v>449242</v>
      </c>
      <c r="I16" s="70">
        <v>0.21831685372249257</v>
      </c>
      <c r="J16" s="88">
        <v>469281</v>
      </c>
      <c r="K16" s="70">
        <v>0.21658878156158037</v>
      </c>
      <c r="L16" s="51">
        <v>1991</v>
      </c>
      <c r="M16" s="88">
        <v>465841</v>
      </c>
      <c r="N16" s="70">
        <v>0.21458029671068027</v>
      </c>
      <c r="O16" s="88">
        <v>368196</v>
      </c>
      <c r="P16" s="70">
        <v>0.23094384512596552</v>
      </c>
      <c r="Q16" s="88">
        <v>338298</v>
      </c>
      <c r="R16" s="70">
        <v>0.31670006916978521</v>
      </c>
      <c r="S16" s="88">
        <v>247678</v>
      </c>
      <c r="T16" s="70">
        <v>0.24313059698479478</v>
      </c>
      <c r="U16" s="88">
        <v>239031</v>
      </c>
      <c r="V16" s="70">
        <v>0.31254858156473431</v>
      </c>
      <c r="W16" s="7"/>
    </row>
    <row r="17" spans="1:23" x14ac:dyDescent="0.25">
      <c r="A17" s="51">
        <v>1992</v>
      </c>
      <c r="B17" s="88">
        <v>385255</v>
      </c>
      <c r="C17" s="70">
        <v>0.21595644443290807</v>
      </c>
      <c r="D17" s="88">
        <v>387645</v>
      </c>
      <c r="E17" s="70">
        <v>0.21163229243250911</v>
      </c>
      <c r="F17" s="88">
        <v>311307</v>
      </c>
      <c r="G17" s="70">
        <v>0.2121179414532921</v>
      </c>
      <c r="H17" s="88">
        <v>402972</v>
      </c>
      <c r="I17" s="70">
        <v>0.21083946279145943</v>
      </c>
      <c r="J17" s="88">
        <v>405677</v>
      </c>
      <c r="K17" s="70">
        <v>0.20871308947758932</v>
      </c>
      <c r="L17" s="51">
        <v>1992</v>
      </c>
      <c r="M17" s="88">
        <v>416420</v>
      </c>
      <c r="N17" s="70">
        <v>0.20737404543489746</v>
      </c>
      <c r="O17" s="88">
        <v>341316</v>
      </c>
      <c r="P17" s="70">
        <v>0.21473912737756212</v>
      </c>
      <c r="Q17" s="88">
        <v>322690</v>
      </c>
      <c r="R17" s="70">
        <v>0.29533422169884405</v>
      </c>
      <c r="S17" s="88">
        <v>225506</v>
      </c>
      <c r="T17" s="70">
        <v>0.2253829166407989</v>
      </c>
      <c r="U17" s="88">
        <v>225246</v>
      </c>
      <c r="V17" s="70">
        <v>0.29073990215142553</v>
      </c>
      <c r="W17" s="7"/>
    </row>
    <row r="18" spans="1:23" x14ac:dyDescent="0.25">
      <c r="A18" s="51">
        <v>1993</v>
      </c>
      <c r="B18" s="88">
        <v>309854</v>
      </c>
      <c r="C18" s="70">
        <v>0.21927488430034789</v>
      </c>
      <c r="D18" s="88">
        <v>313010</v>
      </c>
      <c r="E18" s="70">
        <v>0.21478035845500143</v>
      </c>
      <c r="F18" s="88">
        <v>256693</v>
      </c>
      <c r="G18" s="70">
        <v>0.21418620686968479</v>
      </c>
      <c r="H18" s="88">
        <v>337543</v>
      </c>
      <c r="I18" s="70">
        <v>0.21467338976071196</v>
      </c>
      <c r="J18" s="88">
        <v>327972</v>
      </c>
      <c r="K18" s="70">
        <v>0.21190193065261667</v>
      </c>
      <c r="L18" s="51">
        <v>1993</v>
      </c>
      <c r="M18" s="88">
        <v>348836</v>
      </c>
      <c r="N18" s="70">
        <v>0.211269192399867</v>
      </c>
      <c r="O18" s="88">
        <v>293828</v>
      </c>
      <c r="P18" s="70">
        <v>0.21716684590985202</v>
      </c>
      <c r="Q18" s="88">
        <v>305766</v>
      </c>
      <c r="R18" s="70">
        <v>0.288977518756173</v>
      </c>
      <c r="S18" s="88">
        <v>187902</v>
      </c>
      <c r="T18" s="70">
        <v>0.22613117476131175</v>
      </c>
      <c r="U18" s="88">
        <v>208267</v>
      </c>
      <c r="V18" s="70">
        <v>0.28460437803396599</v>
      </c>
      <c r="W18" s="7"/>
    </row>
    <row r="19" spans="1:23" x14ac:dyDescent="0.25">
      <c r="A19" s="51">
        <v>1994</v>
      </c>
      <c r="B19" s="88">
        <v>347856</v>
      </c>
      <c r="C19" s="70">
        <v>0.20611661147141344</v>
      </c>
      <c r="D19" s="88">
        <v>352879</v>
      </c>
      <c r="E19" s="70">
        <v>0.20127692495161228</v>
      </c>
      <c r="F19" s="88">
        <v>312422</v>
      </c>
      <c r="G19" s="70">
        <v>0.19392712421020286</v>
      </c>
      <c r="H19" s="88">
        <v>391114</v>
      </c>
      <c r="I19" s="70">
        <v>0.20152180694119873</v>
      </c>
      <c r="J19" s="88">
        <v>368422</v>
      </c>
      <c r="K19" s="70">
        <v>0.19867760340044838</v>
      </c>
      <c r="L19" s="51">
        <v>1994</v>
      </c>
      <c r="M19" s="88">
        <v>402860</v>
      </c>
      <c r="N19" s="70">
        <v>0.19819738867100234</v>
      </c>
      <c r="O19" s="88">
        <v>366345</v>
      </c>
      <c r="P19" s="70">
        <v>0.1982221676288744</v>
      </c>
      <c r="Q19" s="88">
        <v>341370</v>
      </c>
      <c r="R19" s="70">
        <v>0.27858276942906524</v>
      </c>
      <c r="S19" s="88">
        <v>230233</v>
      </c>
      <c r="T19" s="70">
        <v>0.20663718928216196</v>
      </c>
      <c r="U19" s="88">
        <v>228376</v>
      </c>
      <c r="V19" s="70">
        <v>0.27278260412652816</v>
      </c>
      <c r="W19" s="7"/>
    </row>
    <row r="20" spans="1:23" x14ac:dyDescent="0.25">
      <c r="A20" s="51">
        <v>1995</v>
      </c>
      <c r="B20" s="88">
        <v>438067</v>
      </c>
      <c r="C20" s="70">
        <v>0.18684584778127547</v>
      </c>
      <c r="D20" s="88">
        <v>440732</v>
      </c>
      <c r="E20" s="70">
        <v>0.18230557345507017</v>
      </c>
      <c r="F20" s="88">
        <v>380762</v>
      </c>
      <c r="G20" s="70">
        <v>0.17988743624626408</v>
      </c>
      <c r="H20" s="88">
        <v>503708</v>
      </c>
      <c r="I20" s="70">
        <v>0.1836333748918024</v>
      </c>
      <c r="J20" s="88">
        <v>461184</v>
      </c>
      <c r="K20" s="70">
        <v>0.17938349986122676</v>
      </c>
      <c r="L20" s="51">
        <v>1995</v>
      </c>
      <c r="M20" s="88">
        <v>519303</v>
      </c>
      <c r="N20" s="70">
        <v>0.17997642994552315</v>
      </c>
      <c r="O20" s="88">
        <v>461980</v>
      </c>
      <c r="P20" s="70">
        <v>0.1858539330706957</v>
      </c>
      <c r="Q20" s="88">
        <v>399468</v>
      </c>
      <c r="R20" s="70">
        <v>0.27134589003374487</v>
      </c>
      <c r="S20" s="88">
        <v>277983</v>
      </c>
      <c r="T20" s="70">
        <v>0.19449570657198462</v>
      </c>
      <c r="U20" s="88">
        <v>259289</v>
      </c>
      <c r="V20" s="70">
        <v>0.26202384212211083</v>
      </c>
      <c r="W20" s="7"/>
    </row>
    <row r="21" spans="1:23" x14ac:dyDescent="0.25">
      <c r="A21" s="51">
        <v>1996</v>
      </c>
      <c r="B21" s="88">
        <v>309470</v>
      </c>
      <c r="C21" s="70">
        <v>0.19817203606165382</v>
      </c>
      <c r="D21" s="88">
        <v>312439</v>
      </c>
      <c r="E21" s="70">
        <v>0.19386664276866844</v>
      </c>
      <c r="F21" s="88">
        <v>268489</v>
      </c>
      <c r="G21" s="70">
        <v>0.19217807805906387</v>
      </c>
      <c r="H21" s="88">
        <v>369782</v>
      </c>
      <c r="I21" s="70">
        <v>0.1961190647462559</v>
      </c>
      <c r="J21" s="88">
        <v>323913</v>
      </c>
      <c r="K21" s="70">
        <v>0.19168264317887829</v>
      </c>
      <c r="L21" s="51">
        <v>1996</v>
      </c>
      <c r="M21" s="88">
        <v>378308</v>
      </c>
      <c r="N21" s="70">
        <v>0.19296340547913343</v>
      </c>
      <c r="O21" s="88">
        <v>332732</v>
      </c>
      <c r="P21" s="70">
        <v>0.19895621701549598</v>
      </c>
      <c r="Q21" s="88">
        <v>316787</v>
      </c>
      <c r="R21" s="70">
        <v>0.28026655134206896</v>
      </c>
      <c r="S21" s="88">
        <v>194141</v>
      </c>
      <c r="T21" s="70">
        <v>0.20532293539231794</v>
      </c>
      <c r="U21" s="88">
        <v>199809</v>
      </c>
      <c r="V21" s="70">
        <v>0.2690874785420076</v>
      </c>
      <c r="W21" s="7"/>
    </row>
    <row r="22" spans="1:23" x14ac:dyDescent="0.25">
      <c r="A22" s="51">
        <v>1997</v>
      </c>
      <c r="B22" s="88">
        <v>293505</v>
      </c>
      <c r="C22" s="70">
        <v>0.19561608831195382</v>
      </c>
      <c r="D22" s="88">
        <v>294918</v>
      </c>
      <c r="E22" s="70">
        <v>0.1914813609206627</v>
      </c>
      <c r="F22" s="88">
        <v>231693</v>
      </c>
      <c r="G22" s="70">
        <v>0.19953343432904749</v>
      </c>
      <c r="H22" s="88">
        <v>363125</v>
      </c>
      <c r="I22" s="70">
        <v>0.19466960413080894</v>
      </c>
      <c r="J22" s="88">
        <v>314388</v>
      </c>
      <c r="K22" s="70">
        <v>0.18862456582312304</v>
      </c>
      <c r="L22" s="51">
        <v>1997</v>
      </c>
      <c r="M22" s="88">
        <v>378977</v>
      </c>
      <c r="N22" s="70">
        <v>0.19108468323935224</v>
      </c>
      <c r="O22" s="88">
        <v>308514</v>
      </c>
      <c r="P22" s="70">
        <v>0.20638382699002314</v>
      </c>
      <c r="Q22" s="88">
        <v>271199</v>
      </c>
      <c r="R22" s="70">
        <v>0.29564858277501027</v>
      </c>
      <c r="S22" s="88">
        <v>173363</v>
      </c>
      <c r="T22" s="70">
        <v>0.21064125563124775</v>
      </c>
      <c r="U22" s="88">
        <v>165041</v>
      </c>
      <c r="V22" s="70">
        <v>0.28142098024127338</v>
      </c>
      <c r="W22" s="7"/>
    </row>
    <row r="23" spans="1:23" x14ac:dyDescent="0.25">
      <c r="A23" s="51">
        <v>1998</v>
      </c>
      <c r="B23" s="88">
        <v>272155</v>
      </c>
      <c r="C23" s="70">
        <v>0.19161213279197514</v>
      </c>
      <c r="D23" s="88">
        <v>274925</v>
      </c>
      <c r="E23" s="70">
        <v>0.1873161771392198</v>
      </c>
      <c r="F23" s="88">
        <v>212963</v>
      </c>
      <c r="G23" s="70">
        <v>0.18518568953292355</v>
      </c>
      <c r="H23" s="88">
        <v>329572</v>
      </c>
      <c r="I23" s="70">
        <v>0.18957435704489459</v>
      </c>
      <c r="J23" s="88">
        <v>276357</v>
      </c>
      <c r="K23" s="70">
        <v>0.18721870623866954</v>
      </c>
      <c r="L23" s="51">
        <v>1998</v>
      </c>
      <c r="M23" s="88">
        <v>329424</v>
      </c>
      <c r="N23" s="70">
        <v>0.18811440575064356</v>
      </c>
      <c r="O23" s="88">
        <v>259454</v>
      </c>
      <c r="P23" s="70">
        <v>0.19350405081440256</v>
      </c>
      <c r="Q23" s="88">
        <v>256860</v>
      </c>
      <c r="R23" s="70">
        <v>0.27408276882348359</v>
      </c>
      <c r="S23" s="88">
        <v>154449</v>
      </c>
      <c r="T23" s="70">
        <v>0.1972249739396176</v>
      </c>
      <c r="U23" s="88">
        <v>162637</v>
      </c>
      <c r="V23" s="70">
        <v>0.25933090256214764</v>
      </c>
      <c r="W23" s="7"/>
    </row>
    <row r="24" spans="1:23" x14ac:dyDescent="0.25">
      <c r="A24" s="51">
        <v>1999</v>
      </c>
      <c r="B24" s="88">
        <v>366527</v>
      </c>
      <c r="C24" s="70">
        <v>0.18111817137618783</v>
      </c>
      <c r="D24" s="88">
        <v>370574</v>
      </c>
      <c r="E24" s="70">
        <v>0.1765404480616557</v>
      </c>
      <c r="F24" s="88">
        <v>351062</v>
      </c>
      <c r="G24" s="70">
        <v>0.16901373546553031</v>
      </c>
      <c r="H24" s="88">
        <v>436357</v>
      </c>
      <c r="I24" s="70">
        <v>0.17795153967966595</v>
      </c>
      <c r="J24" s="88">
        <v>391163</v>
      </c>
      <c r="K24" s="70">
        <v>0.17419975815708541</v>
      </c>
      <c r="L24" s="51">
        <v>1999</v>
      </c>
      <c r="M24" s="88">
        <v>452376</v>
      </c>
      <c r="N24" s="70">
        <v>0.17482890339010027</v>
      </c>
      <c r="O24" s="88">
        <v>444120</v>
      </c>
      <c r="P24" s="70">
        <v>0.17527267405205801</v>
      </c>
      <c r="Q24" s="88">
        <v>378239</v>
      </c>
      <c r="R24" s="70">
        <v>0.26638712560048011</v>
      </c>
      <c r="S24" s="88">
        <v>263873</v>
      </c>
      <c r="T24" s="70">
        <v>0.18178896666199268</v>
      </c>
      <c r="U24" s="88">
        <v>238206</v>
      </c>
      <c r="V24" s="70">
        <v>0.25119392458628248</v>
      </c>
      <c r="W24" s="7"/>
    </row>
    <row r="25" spans="1:23" x14ac:dyDescent="0.25">
      <c r="A25" s="51">
        <v>2000</v>
      </c>
      <c r="B25" s="88">
        <v>439377</v>
      </c>
      <c r="C25" s="70">
        <v>0.17295147447408488</v>
      </c>
      <c r="D25" s="88">
        <v>442541</v>
      </c>
      <c r="E25" s="70">
        <v>0.16850144958320246</v>
      </c>
      <c r="F25" s="88">
        <v>359828</v>
      </c>
      <c r="G25" s="70">
        <v>0.16940705003501674</v>
      </c>
      <c r="H25" s="88">
        <v>552223</v>
      </c>
      <c r="I25" s="70">
        <v>0.17039819058604949</v>
      </c>
      <c r="J25" s="88">
        <v>462909</v>
      </c>
      <c r="K25" s="70">
        <v>0.16606460449029939</v>
      </c>
      <c r="L25" s="51">
        <v>2000</v>
      </c>
      <c r="M25" s="88">
        <v>567835</v>
      </c>
      <c r="N25" s="70">
        <v>0.16722886049644703</v>
      </c>
      <c r="O25" s="88">
        <v>475600</v>
      </c>
      <c r="P25" s="70">
        <v>0.17562762825904121</v>
      </c>
      <c r="Q25" s="88">
        <v>422947</v>
      </c>
      <c r="R25" s="70">
        <v>0.25878183318477255</v>
      </c>
      <c r="S25" s="88">
        <v>266965</v>
      </c>
      <c r="T25" s="70">
        <v>0.1819613057891484</v>
      </c>
      <c r="U25" s="88">
        <v>252129</v>
      </c>
      <c r="V25" s="70">
        <v>0.24386643345271666</v>
      </c>
      <c r="W25" s="7"/>
    </row>
    <row r="26" spans="1:23" x14ac:dyDescent="0.25">
      <c r="A26" s="51">
        <v>2001</v>
      </c>
      <c r="B26" s="88">
        <v>250745</v>
      </c>
      <c r="C26" s="70">
        <v>0.19159065983369558</v>
      </c>
      <c r="D26" s="88">
        <v>250536</v>
      </c>
      <c r="E26" s="70">
        <v>0.18854016987578631</v>
      </c>
      <c r="F26" s="88">
        <v>236532</v>
      </c>
      <c r="G26" s="70">
        <v>0.17941969796898516</v>
      </c>
      <c r="H26" s="88">
        <v>335654</v>
      </c>
      <c r="I26" s="70">
        <v>0.18991610408337156</v>
      </c>
      <c r="J26" s="88">
        <v>254341</v>
      </c>
      <c r="K26" s="70">
        <v>0.18803260190059803</v>
      </c>
      <c r="L26" s="51">
        <v>2001</v>
      </c>
      <c r="M26" s="88">
        <v>337111</v>
      </c>
      <c r="N26" s="70">
        <v>0.18817629801460053</v>
      </c>
      <c r="O26" s="88">
        <v>332943</v>
      </c>
      <c r="P26" s="70">
        <v>0.18646735327067995</v>
      </c>
      <c r="Q26" s="88">
        <v>265022</v>
      </c>
      <c r="R26" s="70">
        <v>0.27085864569733831</v>
      </c>
      <c r="S26" s="88">
        <v>175222</v>
      </c>
      <c r="T26" s="70">
        <v>0.19171622284872905</v>
      </c>
      <c r="U26" s="88">
        <v>152467</v>
      </c>
      <c r="V26" s="70">
        <v>0.25566778384830818</v>
      </c>
      <c r="W26" s="84"/>
    </row>
    <row r="27" spans="1:23" x14ac:dyDescent="0.25">
      <c r="A27" s="51">
        <v>2002</v>
      </c>
      <c r="B27" s="88">
        <v>193147</v>
      </c>
      <c r="C27" s="70">
        <v>0.19220024126701424</v>
      </c>
      <c r="D27" s="88">
        <v>194844</v>
      </c>
      <c r="E27" s="70">
        <v>0.18854724805485415</v>
      </c>
      <c r="F27" s="88">
        <v>167993</v>
      </c>
      <c r="G27" s="70">
        <v>0.19209371819063892</v>
      </c>
      <c r="H27" s="88">
        <v>259680</v>
      </c>
      <c r="I27" s="70">
        <v>0.19087222735674675</v>
      </c>
      <c r="J27" s="88">
        <v>209745</v>
      </c>
      <c r="K27" s="70">
        <v>0.18544232282056783</v>
      </c>
      <c r="L27" s="51">
        <v>2002</v>
      </c>
      <c r="M27" s="88">
        <v>272395</v>
      </c>
      <c r="N27" s="70">
        <v>0.18750123900952662</v>
      </c>
      <c r="O27" s="88">
        <v>244538</v>
      </c>
      <c r="P27" s="70">
        <v>0.19796636923504732</v>
      </c>
      <c r="Q27" s="88">
        <v>233581</v>
      </c>
      <c r="R27" s="70">
        <v>0.26795330099622833</v>
      </c>
      <c r="S27" s="88">
        <v>129464</v>
      </c>
      <c r="T27" s="70">
        <v>0.20202450101958846</v>
      </c>
      <c r="U27" s="88">
        <v>134300</v>
      </c>
      <c r="V27" s="70">
        <v>0.25395904690990317</v>
      </c>
      <c r="W27" s="84"/>
    </row>
    <row r="28" spans="1:23" x14ac:dyDescent="0.25">
      <c r="A28" s="51">
        <v>2003</v>
      </c>
      <c r="B28" s="88">
        <v>244348</v>
      </c>
      <c r="C28" s="70">
        <v>0.17632311293728614</v>
      </c>
      <c r="D28" s="88">
        <v>245085</v>
      </c>
      <c r="E28" s="70">
        <v>0.17215619070934574</v>
      </c>
      <c r="F28" s="88">
        <v>212052</v>
      </c>
      <c r="G28" s="70">
        <v>0.1692094391941599</v>
      </c>
      <c r="H28" s="88">
        <v>321670</v>
      </c>
      <c r="I28" s="70">
        <v>0.17397083968041782</v>
      </c>
      <c r="J28" s="88">
        <v>245080</v>
      </c>
      <c r="K28" s="70">
        <v>0.17195813611881836</v>
      </c>
      <c r="L28" s="51">
        <v>2003</v>
      </c>
      <c r="M28" s="88">
        <v>319494</v>
      </c>
      <c r="N28" s="70">
        <v>0.17257976675618319</v>
      </c>
      <c r="O28" s="88">
        <v>286522</v>
      </c>
      <c r="P28" s="70">
        <v>0.17691870083274583</v>
      </c>
      <c r="Q28" s="88">
        <v>244064</v>
      </c>
      <c r="R28" s="70">
        <v>0.25170979743018224</v>
      </c>
      <c r="S28" s="88">
        <v>155503</v>
      </c>
      <c r="T28" s="70">
        <v>0.1805714359208504</v>
      </c>
      <c r="U28" s="88">
        <v>144368</v>
      </c>
      <c r="V28" s="70">
        <v>0.23673667294691342</v>
      </c>
      <c r="W28" s="84"/>
    </row>
    <row r="29" spans="1:23" x14ac:dyDescent="0.25">
      <c r="A29" s="51">
        <v>2004</v>
      </c>
      <c r="B29" s="88">
        <v>307845</v>
      </c>
      <c r="C29" s="70">
        <v>0.17084636749013302</v>
      </c>
      <c r="D29" s="88">
        <v>311232</v>
      </c>
      <c r="E29" s="70">
        <v>0.1652783132839811</v>
      </c>
      <c r="F29" s="88">
        <v>289611</v>
      </c>
      <c r="G29" s="70">
        <v>0.16099319431927656</v>
      </c>
      <c r="H29" s="88">
        <v>366652</v>
      </c>
      <c r="I29" s="70">
        <v>0.16489532308565069</v>
      </c>
      <c r="J29" s="88">
        <v>327856</v>
      </c>
      <c r="K29" s="70">
        <v>0.16286113415645892</v>
      </c>
      <c r="L29" s="51">
        <v>2004</v>
      </c>
      <c r="M29" s="88">
        <v>379254</v>
      </c>
      <c r="N29" s="70">
        <v>0.161990908467676</v>
      </c>
      <c r="O29" s="88">
        <v>364921</v>
      </c>
      <c r="P29" s="70">
        <v>0.16457562047676072</v>
      </c>
      <c r="Q29" s="88">
        <v>341839</v>
      </c>
      <c r="R29" s="70">
        <v>0.23758933299009183</v>
      </c>
      <c r="S29" s="88">
        <v>222424</v>
      </c>
      <c r="T29" s="70">
        <v>0.16997626155450851</v>
      </c>
      <c r="U29" s="88">
        <v>220369</v>
      </c>
      <c r="V29" s="70">
        <v>0.22550494851816727</v>
      </c>
      <c r="W29" s="84"/>
    </row>
    <row r="30" spans="1:23" x14ac:dyDescent="0.25">
      <c r="A30" s="51">
        <v>2005</v>
      </c>
      <c r="B30" s="88">
        <v>420358</v>
      </c>
      <c r="C30" s="70">
        <v>0.16719795983423652</v>
      </c>
      <c r="D30" s="88">
        <v>410764</v>
      </c>
      <c r="E30" s="70">
        <v>0.16058929214828954</v>
      </c>
      <c r="F30" s="88">
        <v>346196</v>
      </c>
      <c r="G30" s="70">
        <v>0.16008070572739141</v>
      </c>
      <c r="H30" s="88">
        <v>454397</v>
      </c>
      <c r="I30" s="70">
        <v>0.1588793499957086</v>
      </c>
      <c r="J30" s="88">
        <v>424567</v>
      </c>
      <c r="K30" s="70">
        <v>0.158461208713819</v>
      </c>
      <c r="L30" s="51">
        <v>2005</v>
      </c>
      <c r="M30" s="88">
        <v>464368</v>
      </c>
      <c r="N30" s="70">
        <v>0.1560445594873032</v>
      </c>
      <c r="O30" s="88">
        <v>401823</v>
      </c>
      <c r="P30" s="70">
        <v>0.16228015817909877</v>
      </c>
      <c r="Q30" s="88">
        <v>358779</v>
      </c>
      <c r="R30" s="70">
        <v>0.23537720992588751</v>
      </c>
      <c r="S30" s="88">
        <v>262307</v>
      </c>
      <c r="T30" s="70">
        <v>0.16857422790851939</v>
      </c>
      <c r="U30" s="88">
        <v>246100</v>
      </c>
      <c r="V30" s="70">
        <v>0.22578382771231206</v>
      </c>
      <c r="W30" s="84"/>
    </row>
    <row r="31" spans="1:23" x14ac:dyDescent="0.25">
      <c r="A31" s="51">
        <v>2006</v>
      </c>
      <c r="B31" s="88">
        <v>686755</v>
      </c>
      <c r="C31" s="70">
        <v>0.16285138076897876</v>
      </c>
      <c r="D31" s="88">
        <v>706285</v>
      </c>
      <c r="E31" s="70">
        <v>0.15211847908422238</v>
      </c>
      <c r="F31" s="88">
        <v>631775</v>
      </c>
      <c r="G31" s="70">
        <v>0.14782652051758935</v>
      </c>
      <c r="H31" s="88">
        <v>658602</v>
      </c>
      <c r="I31" s="70">
        <v>0.1476770492649582</v>
      </c>
      <c r="J31" s="88">
        <v>733076</v>
      </c>
      <c r="K31" s="70">
        <v>0.14991897156638603</v>
      </c>
      <c r="L31" s="51">
        <v>2006</v>
      </c>
      <c r="M31" s="88">
        <v>676487</v>
      </c>
      <c r="N31" s="70">
        <v>0.14464017786003278</v>
      </c>
      <c r="O31" s="88">
        <v>614612</v>
      </c>
      <c r="P31" s="70">
        <v>0.14708433938810175</v>
      </c>
      <c r="Q31" s="88">
        <v>586454</v>
      </c>
      <c r="R31" s="70">
        <v>0.21511832130056235</v>
      </c>
      <c r="S31" s="88">
        <v>464906</v>
      </c>
      <c r="T31" s="70">
        <v>0.15569319389295899</v>
      </c>
      <c r="U31" s="88">
        <v>457584</v>
      </c>
      <c r="V31" s="70">
        <v>0.20622158991573131</v>
      </c>
      <c r="W31" s="84"/>
    </row>
    <row r="32" spans="1:23" x14ac:dyDescent="0.25">
      <c r="A32" s="51">
        <v>2007</v>
      </c>
      <c r="B32" s="88">
        <v>443195</v>
      </c>
      <c r="C32" s="70">
        <v>0.17756495447827705</v>
      </c>
      <c r="D32" s="88">
        <v>404280</v>
      </c>
      <c r="E32" s="70">
        <v>0.16549421193232414</v>
      </c>
      <c r="F32" s="88">
        <v>356507</v>
      </c>
      <c r="G32" s="70">
        <v>0.16374292790884892</v>
      </c>
      <c r="H32" s="88">
        <v>379898</v>
      </c>
      <c r="I32" s="70">
        <v>0.15893002858662061</v>
      </c>
      <c r="J32" s="88">
        <v>417934</v>
      </c>
      <c r="K32" s="70">
        <v>0.1636686653873578</v>
      </c>
      <c r="L32" s="51">
        <v>2007</v>
      </c>
      <c r="M32" s="88">
        <v>388916</v>
      </c>
      <c r="N32" s="70">
        <v>0.15620905285460099</v>
      </c>
      <c r="O32" s="88">
        <v>347100</v>
      </c>
      <c r="P32" s="70">
        <v>0.16065975223278595</v>
      </c>
      <c r="Q32" s="88">
        <v>349904</v>
      </c>
      <c r="R32" s="70">
        <v>0.22811399698202936</v>
      </c>
      <c r="S32" s="88">
        <v>266598</v>
      </c>
      <c r="T32" s="70">
        <v>0.16720643065589391</v>
      </c>
      <c r="U32" s="88">
        <v>272617</v>
      </c>
      <c r="V32" s="70">
        <v>0.21833928184962786</v>
      </c>
      <c r="W32" s="84"/>
    </row>
    <row r="33" spans="1:23" x14ac:dyDescent="0.25">
      <c r="A33" s="51">
        <v>2008</v>
      </c>
      <c r="B33" s="88">
        <v>651882</v>
      </c>
      <c r="C33" s="70">
        <v>0.17256804145535543</v>
      </c>
      <c r="D33" s="88">
        <v>601931</v>
      </c>
      <c r="E33" s="70">
        <v>0.15767355394555191</v>
      </c>
      <c r="F33" s="88">
        <v>543933</v>
      </c>
      <c r="G33" s="70">
        <v>0.15361303689976522</v>
      </c>
      <c r="H33" s="88">
        <v>548979</v>
      </c>
      <c r="I33" s="70">
        <v>0.15257213846066969</v>
      </c>
      <c r="J33" s="88">
        <v>624993</v>
      </c>
      <c r="K33" s="70">
        <v>0.15562990305491423</v>
      </c>
      <c r="L33" s="51">
        <v>2008</v>
      </c>
      <c r="M33" s="88">
        <v>563278</v>
      </c>
      <c r="N33" s="70">
        <v>0.14939639041467978</v>
      </c>
      <c r="O33" s="88">
        <v>514246</v>
      </c>
      <c r="P33" s="70">
        <v>0.15215324961205337</v>
      </c>
      <c r="Q33" s="88">
        <v>470056</v>
      </c>
      <c r="R33" s="70">
        <v>0.22116513777081881</v>
      </c>
      <c r="S33" s="88">
        <v>378419</v>
      </c>
      <c r="T33" s="70">
        <v>0.15855229256459111</v>
      </c>
      <c r="U33" s="88">
        <v>359218</v>
      </c>
      <c r="V33" s="70">
        <v>0.21030293582170159</v>
      </c>
      <c r="W33" s="84"/>
    </row>
    <row r="34" spans="1:23" x14ac:dyDescent="0.25">
      <c r="A34" s="51">
        <v>2009</v>
      </c>
      <c r="B34" s="88">
        <v>391813</v>
      </c>
      <c r="C34" s="70">
        <v>0.19483044207313185</v>
      </c>
      <c r="D34" s="88">
        <v>397704</v>
      </c>
      <c r="E34" s="70">
        <v>0.17204478707782672</v>
      </c>
      <c r="F34" s="88">
        <v>334628</v>
      </c>
      <c r="G34" s="70">
        <v>0.17569838746309335</v>
      </c>
      <c r="H34" s="88">
        <v>373756</v>
      </c>
      <c r="I34" s="70">
        <v>0.16434518776956089</v>
      </c>
      <c r="J34" s="88">
        <v>409121</v>
      </c>
      <c r="K34" s="70">
        <v>0.17036109121751267</v>
      </c>
      <c r="L34" s="51">
        <v>2009</v>
      </c>
      <c r="M34" s="88">
        <v>381087</v>
      </c>
      <c r="N34" s="70">
        <v>0.16151534951336571</v>
      </c>
      <c r="O34" s="88">
        <v>320417</v>
      </c>
      <c r="P34" s="70">
        <v>0.17100247489989606</v>
      </c>
      <c r="Q34" s="88">
        <v>290948</v>
      </c>
      <c r="R34" s="70">
        <v>0.23912417339180883</v>
      </c>
      <c r="S34" s="88">
        <v>230732</v>
      </c>
      <c r="T34" s="70">
        <v>0.17471525406098851</v>
      </c>
      <c r="U34" s="88">
        <v>217718</v>
      </c>
      <c r="V34" s="70">
        <v>0.22649390495962668</v>
      </c>
      <c r="W34" s="84"/>
    </row>
    <row r="35" spans="1:23" x14ac:dyDescent="0.25">
      <c r="A35" s="51">
        <v>2010</v>
      </c>
      <c r="B35" s="88">
        <v>506839</v>
      </c>
      <c r="C35" s="70">
        <v>0.19170624202162817</v>
      </c>
      <c r="D35" s="88">
        <v>434530</v>
      </c>
      <c r="E35" s="70">
        <v>0.17101719098796403</v>
      </c>
      <c r="F35" s="88">
        <v>339557</v>
      </c>
      <c r="G35" s="70">
        <v>0.17034665755675779</v>
      </c>
      <c r="H35" s="88">
        <v>401095</v>
      </c>
      <c r="I35" s="70">
        <v>0.16340567695932384</v>
      </c>
      <c r="J35" s="88">
        <v>448951</v>
      </c>
      <c r="K35" s="70">
        <v>0.16970805277190606</v>
      </c>
      <c r="L35" s="51">
        <v>2010</v>
      </c>
      <c r="M35" s="88">
        <v>409046</v>
      </c>
      <c r="N35" s="70">
        <v>0.16064305726006364</v>
      </c>
      <c r="O35" s="88">
        <v>321967</v>
      </c>
      <c r="P35" s="70">
        <v>0.16577164740485825</v>
      </c>
      <c r="Q35" s="88">
        <v>305709</v>
      </c>
      <c r="R35" s="70">
        <v>0.23030954273508467</v>
      </c>
      <c r="S35" s="88">
        <v>227382</v>
      </c>
      <c r="T35" s="70">
        <v>0.16568813714366132</v>
      </c>
      <c r="U35" s="88">
        <v>224491</v>
      </c>
      <c r="V35" s="70">
        <v>0.21511998253827547</v>
      </c>
      <c r="W35" s="84"/>
    </row>
    <row r="36" spans="1:23" x14ac:dyDescent="0.25">
      <c r="A36" s="51">
        <v>2011</v>
      </c>
      <c r="B36" s="88">
        <v>655108</v>
      </c>
      <c r="C36" s="70">
        <v>0.20166598484524689</v>
      </c>
      <c r="D36" s="88">
        <v>567604</v>
      </c>
      <c r="E36" s="70">
        <v>0.17469256735329561</v>
      </c>
      <c r="F36" s="88">
        <v>513133</v>
      </c>
      <c r="G36" s="70">
        <v>0.17187883063455284</v>
      </c>
      <c r="H36" s="88">
        <v>536803</v>
      </c>
      <c r="I36" s="70">
        <v>0.1653317883841931</v>
      </c>
      <c r="J36" s="88">
        <v>583773</v>
      </c>
      <c r="K36" s="70">
        <v>0.17368052308003282</v>
      </c>
      <c r="L36" s="51">
        <v>2011</v>
      </c>
      <c r="M36" s="88">
        <v>544997</v>
      </c>
      <c r="N36" s="70">
        <v>0.16265685866160731</v>
      </c>
      <c r="O36" s="88">
        <v>494854</v>
      </c>
      <c r="P36" s="70">
        <v>0.16679990461833188</v>
      </c>
      <c r="Q36" s="88">
        <v>478024</v>
      </c>
      <c r="R36" s="70">
        <v>0.23181681254497682</v>
      </c>
      <c r="S36" s="88">
        <v>336251</v>
      </c>
      <c r="T36" s="70">
        <v>0.16356590761068368</v>
      </c>
      <c r="U36" s="88">
        <v>343155</v>
      </c>
      <c r="V36" s="70">
        <v>0.21346272092786059</v>
      </c>
      <c r="W36" s="84"/>
    </row>
    <row r="37" spans="1:23" x14ac:dyDescent="0.25">
      <c r="A37" s="51">
        <v>2012</v>
      </c>
      <c r="B37" s="88">
        <v>1215110</v>
      </c>
      <c r="C37" s="70">
        <v>0.21496243138481289</v>
      </c>
      <c r="D37" s="88">
        <v>1039390</v>
      </c>
      <c r="E37" s="70">
        <v>0.18390402062748343</v>
      </c>
      <c r="F37" s="88">
        <v>949610</v>
      </c>
      <c r="G37" s="70">
        <v>0.18412611493139289</v>
      </c>
      <c r="H37" s="88">
        <v>1024320</v>
      </c>
      <c r="I37" s="70">
        <v>0.17261012183692595</v>
      </c>
      <c r="J37" s="88">
        <v>1069210</v>
      </c>
      <c r="K37" s="70">
        <v>0.18285369571926938</v>
      </c>
      <c r="L37" s="51">
        <v>2012</v>
      </c>
      <c r="M37" s="88">
        <v>1037140</v>
      </c>
      <c r="N37" s="70">
        <v>0.1695113485161116</v>
      </c>
      <c r="O37" s="88">
        <v>958239</v>
      </c>
      <c r="P37" s="70">
        <v>0.17711656486534152</v>
      </c>
      <c r="Q37" s="88">
        <v>806918</v>
      </c>
      <c r="R37" s="70">
        <v>0.24408304189521116</v>
      </c>
      <c r="S37" s="88">
        <v>626495</v>
      </c>
      <c r="T37" s="70">
        <v>0.16802209115795019</v>
      </c>
      <c r="U37" s="88">
        <v>573267</v>
      </c>
      <c r="V37" s="70">
        <v>0.21933933053882396</v>
      </c>
      <c r="W37" s="84"/>
    </row>
    <row r="38" spans="1:23" x14ac:dyDescent="0.25">
      <c r="A38" s="51">
        <v>2013</v>
      </c>
      <c r="B38" s="88">
        <v>638080</v>
      </c>
      <c r="C38" s="70">
        <v>0.24839675275827483</v>
      </c>
      <c r="D38" s="88">
        <v>468547</v>
      </c>
      <c r="E38" s="70">
        <v>0.20804828544414966</v>
      </c>
      <c r="F38" s="88">
        <v>433984</v>
      </c>
      <c r="G38" s="70">
        <v>0.20907568020940864</v>
      </c>
      <c r="H38" s="88">
        <v>495858</v>
      </c>
      <c r="I38" s="70">
        <v>0.1957510012947255</v>
      </c>
      <c r="J38" s="88">
        <v>479472</v>
      </c>
      <c r="K38" s="70">
        <v>0.20701521673841225</v>
      </c>
      <c r="L38" s="51">
        <v>2013</v>
      </c>
      <c r="M38" s="88">
        <v>499350</v>
      </c>
      <c r="N38" s="70">
        <v>0.19256032842695503</v>
      </c>
      <c r="O38" s="88">
        <v>468120</v>
      </c>
      <c r="P38" s="70">
        <v>0.20201529522344697</v>
      </c>
      <c r="Q38" s="88">
        <v>373191</v>
      </c>
      <c r="R38" s="70">
        <v>0.26582393466080373</v>
      </c>
      <c r="S38" s="88">
        <v>319211</v>
      </c>
      <c r="T38" s="70">
        <v>0.18697945872792604</v>
      </c>
      <c r="U38" s="88">
        <v>273128</v>
      </c>
      <c r="V38" s="70">
        <v>0.24086948244046746</v>
      </c>
      <c r="W38" s="84"/>
    </row>
    <row r="39" spans="1:23" x14ac:dyDescent="0.25">
      <c r="A39" s="51">
        <v>2014</v>
      </c>
      <c r="B39" s="88">
        <v>211074</v>
      </c>
      <c r="C39" s="70">
        <v>0.28567421852051889</v>
      </c>
      <c r="D39" s="88">
        <v>241005</v>
      </c>
      <c r="E39" s="70">
        <v>0.22702682516960229</v>
      </c>
      <c r="F39" s="88">
        <v>209402</v>
      </c>
      <c r="G39" s="70">
        <v>0.22694625648274611</v>
      </c>
      <c r="H39" s="88">
        <v>272007</v>
      </c>
      <c r="I39" s="70">
        <v>0.2109214101107692</v>
      </c>
      <c r="J39" s="88">
        <v>244487</v>
      </c>
      <c r="K39" s="70">
        <v>0.22677197560606496</v>
      </c>
      <c r="L39" s="51">
        <v>2014</v>
      </c>
      <c r="M39" s="88">
        <v>273192</v>
      </c>
      <c r="N39" s="70">
        <v>0.20934946850566635</v>
      </c>
      <c r="O39" s="88">
        <v>241961</v>
      </c>
      <c r="P39" s="70">
        <v>0.21706432028302081</v>
      </c>
      <c r="Q39" s="88">
        <v>228882</v>
      </c>
      <c r="R39" s="70">
        <v>0.28538198722485825</v>
      </c>
      <c r="S39" s="88">
        <v>178291</v>
      </c>
      <c r="T39" s="70">
        <v>0.20630598291557062</v>
      </c>
      <c r="U39" s="88">
        <v>171794</v>
      </c>
      <c r="V39" s="70">
        <v>0.26280137839505452</v>
      </c>
      <c r="W39" s="84"/>
    </row>
    <row r="40" spans="1:23" x14ac:dyDescent="0.25">
      <c r="A40" s="51">
        <v>2015</v>
      </c>
      <c r="B40" s="88">
        <v>260163</v>
      </c>
      <c r="C40" s="70">
        <v>0.24709509038564284</v>
      </c>
      <c r="D40" s="88">
        <v>240750</v>
      </c>
      <c r="E40" s="70">
        <v>0.21996843198338525</v>
      </c>
      <c r="F40" s="88">
        <v>165092</v>
      </c>
      <c r="G40" s="70">
        <v>0.23447471712741988</v>
      </c>
      <c r="H40" s="88">
        <v>306902</v>
      </c>
      <c r="I40" s="70">
        <v>0.21914291858638912</v>
      </c>
      <c r="J40" s="88">
        <v>237647</v>
      </c>
      <c r="K40" s="70">
        <v>0.22007304952303205</v>
      </c>
      <c r="L40" s="51">
        <v>2015</v>
      </c>
      <c r="M40" s="88">
        <v>300970</v>
      </c>
      <c r="N40" s="70">
        <v>0.21750407017310694</v>
      </c>
      <c r="O40" s="88">
        <v>205189</v>
      </c>
      <c r="P40" s="70">
        <v>0.24046318272422013</v>
      </c>
      <c r="Q40" s="88">
        <v>178631</v>
      </c>
      <c r="R40" s="70">
        <v>0.3075843498608864</v>
      </c>
      <c r="S40" s="88">
        <v>165812</v>
      </c>
      <c r="T40" s="70">
        <v>0.23217197790268498</v>
      </c>
      <c r="U40" s="88">
        <v>144272</v>
      </c>
      <c r="V40" s="70">
        <v>0.29037789730509039</v>
      </c>
      <c r="W40" s="84"/>
    </row>
    <row r="41" spans="1:23" x14ac:dyDescent="0.25">
      <c r="A41" s="51">
        <v>2016</v>
      </c>
      <c r="B41" s="88">
        <v>168038</v>
      </c>
      <c r="C41" s="70">
        <v>0.2478183506111713</v>
      </c>
      <c r="D41" s="88">
        <v>190432</v>
      </c>
      <c r="E41" s="70">
        <v>0.21399817257603762</v>
      </c>
      <c r="F41" s="88">
        <v>180225</v>
      </c>
      <c r="G41" s="70">
        <v>0.20182050215009015</v>
      </c>
      <c r="H41" s="88">
        <v>231348</v>
      </c>
      <c r="I41" s="70">
        <v>0.20450663070352887</v>
      </c>
      <c r="J41" s="88">
        <v>183224</v>
      </c>
      <c r="K41" s="70">
        <v>0.21704580186001834</v>
      </c>
      <c r="L41" s="51">
        <v>2016</v>
      </c>
      <c r="M41" s="88">
        <v>225205</v>
      </c>
      <c r="N41" s="70">
        <v>0.2053098288226283</v>
      </c>
      <c r="O41" s="88">
        <v>225846</v>
      </c>
      <c r="P41" s="70">
        <v>0.20353028169637719</v>
      </c>
      <c r="Q41" s="88">
        <v>220776</v>
      </c>
      <c r="R41" s="70">
        <v>0.27305911874479111</v>
      </c>
      <c r="S41" s="88">
        <v>182407</v>
      </c>
      <c r="T41" s="70">
        <v>0.19950879078105557</v>
      </c>
      <c r="U41" s="88">
        <v>175980</v>
      </c>
      <c r="V41" s="70">
        <v>0.25662859415842709</v>
      </c>
      <c r="W41" s="84"/>
    </row>
    <row r="42" spans="1:23" x14ac:dyDescent="0.25">
      <c r="A42" s="51">
        <v>2017</v>
      </c>
      <c r="B42" s="88">
        <v>246044</v>
      </c>
      <c r="C42" s="70">
        <v>0.23502422330965195</v>
      </c>
      <c r="D42" s="88">
        <v>438126</v>
      </c>
      <c r="E42" s="70">
        <v>0.19352035715753002</v>
      </c>
      <c r="F42" s="88">
        <v>377592</v>
      </c>
      <c r="G42" s="70">
        <v>0.196040170342592</v>
      </c>
      <c r="H42" s="88">
        <v>475888</v>
      </c>
      <c r="I42" s="70">
        <v>0.18185203241098746</v>
      </c>
      <c r="J42" s="88">
        <v>439743</v>
      </c>
      <c r="K42" s="70">
        <v>0.19357965902811416</v>
      </c>
      <c r="L42" s="51">
        <v>2017</v>
      </c>
      <c r="M42" s="88">
        <v>479189</v>
      </c>
      <c r="N42" s="70">
        <v>0.1802814755764427</v>
      </c>
      <c r="O42" s="88">
        <v>418118</v>
      </c>
      <c r="P42" s="70">
        <v>0.18781635806159983</v>
      </c>
      <c r="Q42" s="88">
        <v>461615</v>
      </c>
      <c r="R42" s="70">
        <v>0.25534698829110841</v>
      </c>
      <c r="S42" s="88">
        <v>347844</v>
      </c>
      <c r="T42" s="70">
        <v>0.18750963075401617</v>
      </c>
      <c r="U42" s="88">
        <v>366859</v>
      </c>
      <c r="V42" s="70">
        <v>0.24261364720505699</v>
      </c>
      <c r="W42" s="84"/>
    </row>
    <row r="43" spans="1:23" x14ac:dyDescent="0.25">
      <c r="A43" s="51">
        <v>2018</v>
      </c>
      <c r="B43" s="88">
        <v>389895</v>
      </c>
      <c r="C43" s="70">
        <v>0.27794149706972388</v>
      </c>
      <c r="D43" s="88">
        <v>698218</v>
      </c>
      <c r="E43" s="70">
        <v>0.18918303452503374</v>
      </c>
      <c r="F43" s="88">
        <v>616627</v>
      </c>
      <c r="G43" s="70">
        <v>0.18826454242191795</v>
      </c>
      <c r="H43" s="88">
        <v>696969</v>
      </c>
      <c r="I43" s="70">
        <v>0.18026913679087592</v>
      </c>
      <c r="J43" s="88">
        <v>713420</v>
      </c>
      <c r="K43" s="70">
        <v>0.18940876342126658</v>
      </c>
      <c r="L43" s="51">
        <v>2018</v>
      </c>
      <c r="M43" s="88">
        <v>707726</v>
      </c>
      <c r="N43" s="70">
        <v>0.17800815569867434</v>
      </c>
      <c r="O43" s="88">
        <v>639029</v>
      </c>
      <c r="P43" s="70">
        <v>0.18435313577318088</v>
      </c>
      <c r="Q43" s="88">
        <v>589737</v>
      </c>
      <c r="R43" s="70">
        <v>0.25141376579729607</v>
      </c>
      <c r="S43" s="88">
        <v>457327</v>
      </c>
      <c r="T43" s="70">
        <v>0.18094252034102512</v>
      </c>
      <c r="U43" s="88">
        <v>435326</v>
      </c>
      <c r="V43" s="70">
        <v>0.23627580250203295</v>
      </c>
      <c r="W43" s="84"/>
    </row>
    <row r="44" spans="1:23" x14ac:dyDescent="0.25">
      <c r="A44" s="51">
        <v>2019</v>
      </c>
      <c r="B44" s="88">
        <v>399011</v>
      </c>
      <c r="C44" s="70">
        <v>0.40112177358518936</v>
      </c>
      <c r="D44" s="88">
        <v>253131</v>
      </c>
      <c r="E44" s="70">
        <v>0.2591093149396953</v>
      </c>
      <c r="F44" s="88">
        <v>213060</v>
      </c>
      <c r="G44" s="70">
        <v>0.26013141837979908</v>
      </c>
      <c r="H44" s="88">
        <v>268197</v>
      </c>
      <c r="I44" s="70">
        <v>0.23860557724359335</v>
      </c>
      <c r="J44" s="88">
        <v>226550</v>
      </c>
      <c r="K44" s="70">
        <v>0.27296137717943059</v>
      </c>
      <c r="L44" s="51">
        <v>2019</v>
      </c>
      <c r="M44" s="88">
        <v>251631</v>
      </c>
      <c r="N44" s="70">
        <v>0.24503260727016943</v>
      </c>
      <c r="O44" s="88">
        <v>212764</v>
      </c>
      <c r="P44" s="70">
        <v>0.25148145362937335</v>
      </c>
      <c r="Q44" s="88">
        <v>208246</v>
      </c>
      <c r="R44" s="70">
        <v>0.31207418149688348</v>
      </c>
      <c r="S44" s="88">
        <v>160661</v>
      </c>
      <c r="T44" s="70">
        <v>0.24147490679131836</v>
      </c>
      <c r="U44" s="88">
        <v>157075</v>
      </c>
      <c r="V44" s="70">
        <v>0.2967811554989655</v>
      </c>
      <c r="W44" s="84"/>
    </row>
    <row r="45" spans="1:23" x14ac:dyDescent="0.25">
      <c r="A45" s="54">
        <v>2020</v>
      </c>
      <c r="B45" s="89">
        <v>463705</v>
      </c>
      <c r="C45" s="77">
        <v>0.48175240724167306</v>
      </c>
      <c r="D45" s="89">
        <v>852381</v>
      </c>
      <c r="E45" s="77">
        <v>0.20690043536869077</v>
      </c>
      <c r="F45" s="89">
        <v>762533</v>
      </c>
      <c r="G45" s="77">
        <v>0.20819951398824707</v>
      </c>
      <c r="H45" s="89">
        <v>812021</v>
      </c>
      <c r="I45" s="77">
        <v>0.19613655311870012</v>
      </c>
      <c r="J45" s="89">
        <v>894707</v>
      </c>
      <c r="K45" s="77">
        <v>0.20962169738249506</v>
      </c>
      <c r="L45" s="54">
        <v>2020</v>
      </c>
      <c r="M45" s="89">
        <v>834260</v>
      </c>
      <c r="N45" s="77">
        <v>0.19505909428715268</v>
      </c>
      <c r="O45" s="89">
        <v>760536</v>
      </c>
      <c r="P45" s="77">
        <v>0.20297132548623603</v>
      </c>
      <c r="Q45" s="89">
        <v>674723</v>
      </c>
      <c r="R45" s="77">
        <v>0.26319393291765658</v>
      </c>
      <c r="S45" s="89">
        <v>529127</v>
      </c>
      <c r="T45" s="77">
        <v>0.19482090311021741</v>
      </c>
      <c r="U45" s="89">
        <v>498365</v>
      </c>
      <c r="V45" s="77">
        <v>0.2479267203756283</v>
      </c>
      <c r="W45" s="84"/>
    </row>
    <row r="46" spans="1:23" x14ac:dyDescent="0.25">
      <c r="A46" s="51" t="s">
        <v>214</v>
      </c>
      <c r="B46" s="88">
        <f>AVERAGE(B31:B45)</f>
        <v>488447.46666666667</v>
      </c>
      <c r="C46" s="90">
        <f t="shared" ref="C46:V46" si="0">AVERAGE(C31:C45)</f>
        <v>0.24939825270061847</v>
      </c>
      <c r="D46" s="88">
        <f t="shared" si="0"/>
        <v>502287.6</v>
      </c>
      <c r="E46" s="90">
        <f t="shared" si="0"/>
        <v>0.19297997787818624</v>
      </c>
      <c r="F46" s="88">
        <f t="shared" si="0"/>
        <v>441843.86666666664</v>
      </c>
      <c r="G46" s="90">
        <f t="shared" si="0"/>
        <v>0.19281235180094808</v>
      </c>
      <c r="H46" s="88">
        <f t="shared" si="0"/>
        <v>498842.86666666664</v>
      </c>
      <c r="I46" s="90">
        <f t="shared" si="0"/>
        <v>0.18347048343478814</v>
      </c>
      <c r="J46" s="88">
        <f t="shared" si="0"/>
        <v>513753.86666666664</v>
      </c>
      <c r="K46" s="90">
        <f t="shared" si="0"/>
        <v>0.1934865629024142</v>
      </c>
      <c r="L46" s="51" t="s">
        <v>214</v>
      </c>
      <c r="M46" s="88">
        <f t="shared" si="0"/>
        <v>504831.6</v>
      </c>
      <c r="N46" s="90">
        <f t="shared" si="0"/>
        <v>0.18184515092275053</v>
      </c>
      <c r="O46" s="88">
        <f t="shared" si="0"/>
        <v>449533.2</v>
      </c>
      <c r="P46" s="90">
        <f t="shared" si="0"/>
        <v>0.18868555239325488</v>
      </c>
      <c r="Q46" s="88">
        <f t="shared" si="0"/>
        <v>414920.93333333335</v>
      </c>
      <c r="R46" s="90">
        <f t="shared" si="0"/>
        <v>0.25490728570765175</v>
      </c>
      <c r="S46" s="88">
        <f t="shared" si="0"/>
        <v>324764.2</v>
      </c>
      <c r="T46" s="90">
        <f t="shared" si="0"/>
        <v>0.18554383189403614</v>
      </c>
      <c r="U46" s="88">
        <f t="shared" si="0"/>
        <v>311389.93333333335</v>
      </c>
      <c r="V46" s="90">
        <f t="shared" si="0"/>
        <v>0.23890362829549136</v>
      </c>
    </row>
    <row r="47" spans="1:23" x14ac:dyDescent="0.25">
      <c r="B47" s="86">
        <f>AVERAGE(B3:B45)</f>
        <v>473699.16279069765</v>
      </c>
      <c r="C47" s="87">
        <f t="shared" ref="C47:V47" si="1">AVERAGE(C3:C45)</f>
        <v>0.23466537607959811</v>
      </c>
      <c r="D47" s="86">
        <f t="shared" si="1"/>
        <v>481340.16279069765</v>
      </c>
      <c r="E47" s="87">
        <f t="shared" si="1"/>
        <v>0.21183415897834257</v>
      </c>
      <c r="F47" s="86">
        <f t="shared" si="1"/>
        <v>420182.23255813954</v>
      </c>
      <c r="G47" s="87">
        <f t="shared" si="1"/>
        <v>0.21258610522604604</v>
      </c>
      <c r="H47" s="86">
        <f t="shared" si="1"/>
        <v>491005.04651162791</v>
      </c>
      <c r="I47" s="87">
        <f t="shared" si="1"/>
        <v>0.20742506486507592</v>
      </c>
      <c r="J47" s="86">
        <f t="shared" si="1"/>
        <v>501879.62790697673</v>
      </c>
      <c r="K47" s="87">
        <f t="shared" si="1"/>
        <v>0.21054572680277606</v>
      </c>
      <c r="L47" s="3"/>
      <c r="M47" s="86">
        <f t="shared" si="1"/>
        <v>504989.25581395347</v>
      </c>
      <c r="N47" s="87">
        <f t="shared" si="1"/>
        <v>0.20488652849571071</v>
      </c>
      <c r="O47" s="86">
        <f t="shared" si="1"/>
        <v>449442.23255813954</v>
      </c>
      <c r="P47" s="87">
        <f t="shared" si="1"/>
        <v>0.21291953625746721</v>
      </c>
      <c r="Q47" s="86">
        <f t="shared" si="1"/>
        <v>402011.37209302327</v>
      </c>
      <c r="R47" s="87">
        <f t="shared" si="1"/>
        <v>0.28900409300726948</v>
      </c>
      <c r="S47" s="86">
        <f t="shared" si="1"/>
        <v>299972.27906976745</v>
      </c>
      <c r="T47" s="87">
        <f t="shared" si="1"/>
        <v>0.21852854894431992</v>
      </c>
      <c r="U47" s="86">
        <f t="shared" si="1"/>
        <v>282686.83720930235</v>
      </c>
      <c r="V47" s="87">
        <f t="shared" si="1"/>
        <v>0.28036446309844582</v>
      </c>
    </row>
    <row r="49" spans="3:27" x14ac:dyDescent="0.25">
      <c r="C49" s="85"/>
      <c r="E49" s="85"/>
      <c r="G49" s="85"/>
      <c r="I49" s="85"/>
      <c r="K49" s="85"/>
      <c r="L49" s="85"/>
      <c r="N49" s="85"/>
      <c r="P49" s="85"/>
      <c r="R49" s="85"/>
      <c r="T49" s="85"/>
      <c r="U49" s="56"/>
      <c r="V49" s="85"/>
      <c r="W49" s="56"/>
      <c r="X49" s="56"/>
      <c r="Y49" s="56"/>
      <c r="Z49" s="56"/>
      <c r="AA49" s="56"/>
    </row>
    <row r="50" spans="3:27" x14ac:dyDescent="0.25">
      <c r="C50" s="85"/>
      <c r="E50" s="85"/>
      <c r="G50" s="85"/>
      <c r="I50" s="85"/>
      <c r="K50" s="85"/>
      <c r="L50" s="85"/>
      <c r="N50" s="85"/>
      <c r="P50" s="85"/>
      <c r="R50" s="85"/>
      <c r="T50" s="85"/>
      <c r="U50" s="56"/>
      <c r="V50" s="85"/>
      <c r="W50" s="56"/>
      <c r="X50" s="56"/>
      <c r="Y50" s="56"/>
      <c r="Z50" s="56"/>
      <c r="AA50" s="56"/>
    </row>
    <row r="51" spans="3:27" x14ac:dyDescent="0.25">
      <c r="C51" s="85"/>
      <c r="E51" s="85"/>
      <c r="G51" s="85"/>
      <c r="I51" s="85"/>
      <c r="K51" s="85"/>
      <c r="L51" s="85"/>
      <c r="N51" s="85"/>
      <c r="P51" s="85"/>
      <c r="R51" s="85"/>
      <c r="T51" s="85"/>
      <c r="U51" s="56"/>
      <c r="V51" s="85"/>
      <c r="W51" s="56"/>
      <c r="X51" s="56"/>
      <c r="Y51" s="56"/>
      <c r="Z51" s="56"/>
      <c r="AA51" s="56"/>
    </row>
    <row r="52" spans="3:27" x14ac:dyDescent="0.25">
      <c r="C52" s="85"/>
      <c r="E52" s="85"/>
      <c r="G52" s="85"/>
      <c r="I52" s="85"/>
      <c r="K52" s="85"/>
      <c r="L52" s="85"/>
      <c r="N52" s="85"/>
      <c r="P52" s="85"/>
      <c r="R52" s="85"/>
      <c r="T52" s="85"/>
      <c r="U52" s="56"/>
      <c r="V52" s="85"/>
      <c r="W52" s="56"/>
      <c r="X52" s="56"/>
      <c r="Y52" s="56"/>
      <c r="Z52" s="56"/>
      <c r="AA52" s="56"/>
    </row>
    <row r="53" spans="3:27" x14ac:dyDescent="0.25">
      <c r="C53" s="85"/>
      <c r="E53" s="85"/>
      <c r="G53" s="85"/>
      <c r="I53" s="85"/>
      <c r="K53" s="85"/>
      <c r="L53" s="85"/>
      <c r="N53" s="85"/>
      <c r="P53" s="85"/>
      <c r="R53" s="85"/>
      <c r="T53" s="85"/>
      <c r="U53" s="56"/>
      <c r="V53" s="85"/>
      <c r="W53" s="56"/>
      <c r="X53" s="56"/>
      <c r="Y53" s="56"/>
      <c r="Z53" s="56"/>
      <c r="AA53" s="56"/>
    </row>
    <row r="54" spans="3:27" x14ac:dyDescent="0.25">
      <c r="C54" s="85"/>
      <c r="E54" s="85"/>
      <c r="G54" s="85"/>
      <c r="I54" s="85"/>
      <c r="K54" s="85"/>
      <c r="L54" s="85"/>
      <c r="N54" s="85"/>
      <c r="P54" s="85"/>
      <c r="R54" s="85"/>
      <c r="T54" s="85"/>
      <c r="U54" s="56"/>
      <c r="V54" s="85"/>
      <c r="W54" s="56"/>
      <c r="X54" s="56"/>
      <c r="Y54" s="56"/>
      <c r="Z54" s="56"/>
      <c r="AA54" s="56"/>
    </row>
    <row r="55" spans="3:27" x14ac:dyDescent="0.25">
      <c r="C55" s="85"/>
      <c r="E55" s="85"/>
      <c r="G55" s="85"/>
      <c r="I55" s="85"/>
      <c r="K55" s="85"/>
      <c r="L55" s="85"/>
      <c r="N55" s="85"/>
      <c r="P55" s="85"/>
      <c r="R55" s="85"/>
      <c r="T55" s="85"/>
      <c r="U55" s="56"/>
      <c r="V55" s="85"/>
      <c r="W55" s="56"/>
      <c r="X55" s="56"/>
      <c r="Y55" s="56"/>
      <c r="Z55" s="56"/>
      <c r="AA55" s="56"/>
    </row>
    <row r="56" spans="3:27" x14ac:dyDescent="0.25">
      <c r="C56" s="85"/>
      <c r="E56" s="85"/>
      <c r="G56" s="85"/>
      <c r="I56" s="85"/>
      <c r="K56" s="85"/>
      <c r="L56" s="85"/>
      <c r="N56" s="85"/>
      <c r="P56" s="85"/>
      <c r="R56" s="85"/>
      <c r="T56" s="85"/>
      <c r="U56" s="56"/>
      <c r="V56" s="85"/>
      <c r="W56" s="56"/>
      <c r="X56" s="56"/>
      <c r="Y56" s="56"/>
      <c r="Z56" s="56"/>
      <c r="AA56" s="56"/>
    </row>
    <row r="57" spans="3:27" x14ac:dyDescent="0.25">
      <c r="C57" s="85"/>
      <c r="E57" s="85"/>
      <c r="G57" s="85"/>
      <c r="I57" s="85"/>
      <c r="K57" s="85"/>
      <c r="L57" s="85"/>
      <c r="N57" s="85"/>
      <c r="P57" s="85"/>
      <c r="R57" s="85"/>
      <c r="T57" s="85"/>
      <c r="U57" s="56"/>
      <c r="V57" s="85"/>
      <c r="W57" s="56"/>
      <c r="X57" s="56"/>
      <c r="Y57" s="56"/>
      <c r="Z57" s="56"/>
      <c r="AA57" s="56"/>
    </row>
    <row r="58" spans="3:27" x14ac:dyDescent="0.25">
      <c r="C58" s="85"/>
      <c r="E58" s="85"/>
      <c r="G58" s="85"/>
      <c r="I58" s="85"/>
      <c r="K58" s="85"/>
      <c r="L58" s="85"/>
      <c r="N58" s="85"/>
      <c r="P58" s="85"/>
      <c r="R58" s="85"/>
      <c r="T58" s="85"/>
      <c r="U58" s="56"/>
      <c r="V58" s="85"/>
      <c r="W58" s="56"/>
      <c r="X58" s="56"/>
      <c r="Y58" s="56"/>
      <c r="Z58" s="56"/>
      <c r="AA58" s="56"/>
    </row>
    <row r="59" spans="3:27" x14ac:dyDescent="0.25">
      <c r="C59" s="85"/>
      <c r="E59" s="85"/>
      <c r="G59" s="85"/>
      <c r="I59" s="85"/>
      <c r="K59" s="85"/>
      <c r="L59" s="85"/>
      <c r="N59" s="85"/>
      <c r="P59" s="85"/>
      <c r="R59" s="85"/>
      <c r="T59" s="85"/>
      <c r="U59" s="56"/>
      <c r="V59" s="85"/>
      <c r="W59" s="56"/>
      <c r="X59" s="56"/>
      <c r="Y59" s="56"/>
      <c r="Z59" s="56"/>
      <c r="AA59" s="56"/>
    </row>
    <row r="60" spans="3:27" x14ac:dyDescent="0.25">
      <c r="C60" s="85"/>
      <c r="E60" s="85"/>
      <c r="G60" s="85"/>
      <c r="I60" s="85"/>
      <c r="K60" s="85"/>
      <c r="L60" s="85"/>
      <c r="N60" s="85"/>
      <c r="P60" s="85"/>
      <c r="R60" s="85"/>
      <c r="T60" s="85"/>
      <c r="U60" s="56"/>
      <c r="V60" s="85"/>
      <c r="W60" s="56"/>
      <c r="X60" s="56"/>
      <c r="Y60" s="56"/>
      <c r="Z60" s="56"/>
      <c r="AA60" s="56"/>
    </row>
    <row r="61" spans="3:27" x14ac:dyDescent="0.25">
      <c r="C61" s="85"/>
      <c r="E61" s="85"/>
      <c r="G61" s="85"/>
      <c r="I61" s="85"/>
      <c r="K61" s="85"/>
      <c r="L61" s="85"/>
      <c r="N61" s="85"/>
      <c r="P61" s="85"/>
      <c r="R61" s="85"/>
      <c r="T61" s="85"/>
      <c r="U61" s="56"/>
      <c r="V61" s="85"/>
      <c r="W61" s="56"/>
      <c r="X61" s="56"/>
      <c r="Y61" s="56"/>
      <c r="Z61" s="56"/>
      <c r="AA61" s="56"/>
    </row>
    <row r="62" spans="3:27" x14ac:dyDescent="0.25">
      <c r="C62" s="85"/>
      <c r="E62" s="85"/>
      <c r="G62" s="85"/>
      <c r="I62" s="85"/>
      <c r="K62" s="85"/>
      <c r="L62" s="85"/>
      <c r="N62" s="85"/>
      <c r="P62" s="85"/>
      <c r="R62" s="85"/>
      <c r="T62" s="85"/>
      <c r="U62" s="56"/>
      <c r="V62" s="85"/>
      <c r="W62" s="56"/>
      <c r="X62" s="56"/>
      <c r="Y62" s="56"/>
      <c r="Z62" s="56"/>
      <c r="AA62" s="56"/>
    </row>
    <row r="63" spans="3:27" x14ac:dyDescent="0.25">
      <c r="C63" s="85"/>
      <c r="E63" s="85"/>
      <c r="G63" s="85"/>
      <c r="I63" s="85"/>
      <c r="K63" s="85"/>
      <c r="L63" s="85"/>
      <c r="N63" s="85"/>
      <c r="P63" s="85"/>
      <c r="R63" s="85"/>
      <c r="T63" s="85"/>
      <c r="U63" s="56"/>
      <c r="V63" s="85"/>
      <c r="W63" s="56"/>
      <c r="X63" s="56"/>
      <c r="Y63" s="56"/>
      <c r="Z63" s="56"/>
      <c r="AA63" s="56"/>
    </row>
    <row r="64" spans="3:27" x14ac:dyDescent="0.25">
      <c r="C64" s="85"/>
      <c r="E64" s="85"/>
      <c r="G64" s="85"/>
      <c r="I64" s="85"/>
      <c r="K64" s="85"/>
      <c r="L64" s="85"/>
      <c r="N64" s="85"/>
      <c r="P64" s="85"/>
      <c r="R64" s="85"/>
      <c r="T64" s="85"/>
      <c r="U64" s="56"/>
      <c r="V64" s="85"/>
      <c r="W64" s="56"/>
      <c r="X64" s="56"/>
      <c r="Y64" s="56"/>
      <c r="Z64" s="56"/>
      <c r="AA64" s="56"/>
    </row>
    <row r="65" spans="3:27" x14ac:dyDescent="0.25">
      <c r="C65" s="85"/>
      <c r="E65" s="85"/>
      <c r="G65" s="85"/>
      <c r="I65" s="85"/>
      <c r="K65" s="85"/>
      <c r="L65" s="85"/>
      <c r="N65" s="85"/>
      <c r="P65" s="85"/>
      <c r="R65" s="85"/>
      <c r="T65" s="85"/>
      <c r="U65" s="56"/>
      <c r="V65" s="85"/>
      <c r="W65" s="56"/>
      <c r="X65" s="56"/>
      <c r="Y65" s="56"/>
      <c r="Z65" s="56"/>
      <c r="AA65" s="56"/>
    </row>
    <row r="66" spans="3:27" x14ac:dyDescent="0.25">
      <c r="C66" s="85"/>
      <c r="E66" s="85"/>
      <c r="G66" s="85"/>
      <c r="I66" s="85"/>
      <c r="K66" s="85"/>
      <c r="L66" s="85"/>
      <c r="N66" s="85"/>
      <c r="P66" s="85"/>
      <c r="R66" s="85"/>
      <c r="T66" s="85"/>
      <c r="U66" s="56"/>
      <c r="V66" s="85"/>
      <c r="W66" s="56"/>
      <c r="X66" s="56"/>
      <c r="Y66" s="56"/>
      <c r="Z66" s="56"/>
      <c r="AA66" s="56"/>
    </row>
    <row r="67" spans="3:27" x14ac:dyDescent="0.25">
      <c r="C67" s="85"/>
      <c r="E67" s="85"/>
      <c r="G67" s="85"/>
      <c r="I67" s="85"/>
      <c r="K67" s="85"/>
      <c r="L67" s="85"/>
      <c r="N67" s="85"/>
      <c r="P67" s="85"/>
      <c r="R67" s="85"/>
      <c r="T67" s="85"/>
      <c r="U67" s="56"/>
      <c r="V67" s="85"/>
      <c r="W67" s="56"/>
      <c r="X67" s="56"/>
      <c r="Y67" s="56"/>
      <c r="Z67" s="56"/>
      <c r="AA67" s="56"/>
    </row>
    <row r="68" spans="3:27" x14ac:dyDescent="0.25">
      <c r="C68" s="85"/>
      <c r="E68" s="85"/>
      <c r="G68" s="85"/>
      <c r="I68" s="85"/>
      <c r="K68" s="85"/>
      <c r="L68" s="85"/>
      <c r="N68" s="85"/>
      <c r="P68" s="85"/>
      <c r="R68" s="85"/>
      <c r="T68" s="85"/>
      <c r="U68" s="56"/>
      <c r="V68" s="85"/>
      <c r="W68" s="56"/>
      <c r="X68" s="56"/>
      <c r="Y68" s="56"/>
      <c r="Z68" s="56"/>
      <c r="AA68" s="56"/>
    </row>
    <row r="69" spans="3:27" x14ac:dyDescent="0.25">
      <c r="C69" s="85"/>
      <c r="E69" s="85"/>
      <c r="G69" s="85"/>
      <c r="I69" s="85"/>
      <c r="K69" s="85"/>
      <c r="L69" s="85"/>
      <c r="N69" s="85"/>
      <c r="P69" s="85"/>
      <c r="R69" s="85"/>
      <c r="T69" s="85"/>
      <c r="U69" s="56"/>
      <c r="V69" s="85"/>
      <c r="W69" s="56"/>
      <c r="X69" s="56"/>
      <c r="Y69" s="56"/>
      <c r="Z69" s="56"/>
      <c r="AA69" s="56"/>
    </row>
    <row r="70" spans="3:27" x14ac:dyDescent="0.25">
      <c r="C70" s="85"/>
      <c r="E70" s="85"/>
      <c r="G70" s="85"/>
      <c r="I70" s="85"/>
      <c r="K70" s="85"/>
      <c r="L70" s="85"/>
      <c r="N70" s="85"/>
      <c r="P70" s="85"/>
      <c r="R70" s="85"/>
      <c r="T70" s="85"/>
      <c r="U70" s="56"/>
      <c r="V70" s="85"/>
      <c r="W70" s="56"/>
      <c r="X70" s="56"/>
      <c r="Y70" s="56"/>
      <c r="Z70" s="56"/>
      <c r="AA70" s="56"/>
    </row>
    <row r="71" spans="3:27" x14ac:dyDescent="0.25">
      <c r="C71" s="85"/>
      <c r="E71" s="85"/>
      <c r="G71" s="85"/>
      <c r="I71" s="85"/>
      <c r="K71" s="85"/>
      <c r="L71" s="85"/>
      <c r="N71" s="85"/>
      <c r="P71" s="85"/>
      <c r="R71" s="85"/>
      <c r="T71" s="85"/>
      <c r="U71" s="56"/>
      <c r="V71" s="85"/>
      <c r="W71" s="56"/>
      <c r="X71" s="56"/>
      <c r="Y71" s="56"/>
      <c r="Z71" s="56"/>
      <c r="AA71" s="56"/>
    </row>
    <row r="72" spans="3:27" x14ac:dyDescent="0.25">
      <c r="C72" s="85"/>
      <c r="E72" s="85"/>
      <c r="G72" s="85"/>
      <c r="I72" s="85"/>
      <c r="K72" s="85"/>
      <c r="L72" s="85"/>
      <c r="N72" s="85"/>
      <c r="P72" s="85"/>
      <c r="R72" s="85"/>
      <c r="T72" s="85"/>
      <c r="U72" s="56"/>
      <c r="V72" s="85"/>
      <c r="W72" s="56"/>
      <c r="X72" s="56"/>
      <c r="Y72" s="56"/>
      <c r="Z72" s="56"/>
      <c r="AA72" s="56"/>
    </row>
    <row r="73" spans="3:27" x14ac:dyDescent="0.25">
      <c r="C73" s="85"/>
      <c r="E73" s="85"/>
      <c r="G73" s="85"/>
      <c r="I73" s="85"/>
      <c r="K73" s="85"/>
      <c r="L73" s="85"/>
      <c r="N73" s="85"/>
      <c r="P73" s="85"/>
      <c r="R73" s="85"/>
      <c r="T73" s="85"/>
      <c r="U73" s="56"/>
      <c r="V73" s="85"/>
      <c r="W73" s="56"/>
      <c r="X73" s="56"/>
      <c r="Y73" s="56"/>
      <c r="Z73" s="56"/>
      <c r="AA73" s="56"/>
    </row>
    <row r="74" spans="3:27" x14ac:dyDescent="0.25">
      <c r="C74" s="85"/>
      <c r="E74" s="85"/>
      <c r="G74" s="85"/>
      <c r="I74" s="85"/>
      <c r="K74" s="85"/>
      <c r="L74" s="85"/>
      <c r="N74" s="85"/>
      <c r="P74" s="85"/>
      <c r="R74" s="85"/>
      <c r="T74" s="85"/>
      <c r="U74" s="56"/>
      <c r="V74" s="85"/>
      <c r="W74" s="56"/>
      <c r="X74" s="56"/>
      <c r="Y74" s="56"/>
      <c r="Z74" s="56"/>
      <c r="AA74" s="56"/>
    </row>
    <row r="75" spans="3:27" x14ac:dyDescent="0.25">
      <c r="C75" s="85"/>
      <c r="E75" s="85"/>
      <c r="G75" s="85"/>
      <c r="I75" s="85"/>
      <c r="K75" s="85"/>
      <c r="L75" s="85"/>
      <c r="N75" s="85"/>
      <c r="P75" s="85"/>
      <c r="R75" s="85"/>
      <c r="T75" s="85"/>
      <c r="U75" s="56"/>
      <c r="V75" s="85"/>
      <c r="W75" s="56"/>
      <c r="X75" s="56"/>
      <c r="Y75" s="56"/>
      <c r="Z75" s="56"/>
      <c r="AA75" s="56"/>
    </row>
    <row r="76" spans="3:27" x14ac:dyDescent="0.25">
      <c r="C76" s="85"/>
      <c r="E76" s="85"/>
      <c r="G76" s="85"/>
      <c r="I76" s="85"/>
      <c r="K76" s="85"/>
      <c r="L76" s="85"/>
      <c r="N76" s="85"/>
      <c r="P76" s="85"/>
      <c r="R76" s="85"/>
      <c r="T76" s="85"/>
      <c r="U76" s="56"/>
      <c r="V76" s="85"/>
      <c r="W76" s="56"/>
      <c r="X76" s="56"/>
      <c r="Y76" s="56"/>
      <c r="Z76" s="56"/>
      <c r="AA76" s="56"/>
    </row>
    <row r="77" spans="3:27" x14ac:dyDescent="0.25">
      <c r="C77" s="85"/>
      <c r="E77" s="85"/>
      <c r="G77" s="85"/>
      <c r="I77" s="85"/>
      <c r="K77" s="85"/>
      <c r="L77" s="85"/>
      <c r="N77" s="85"/>
      <c r="P77" s="85"/>
      <c r="R77" s="85"/>
      <c r="T77" s="85"/>
      <c r="U77" s="56"/>
      <c r="V77" s="85"/>
      <c r="W77" s="56"/>
      <c r="X77" s="56"/>
      <c r="Y77" s="56"/>
      <c r="Z77" s="56"/>
      <c r="AA77" s="56"/>
    </row>
    <row r="78" spans="3:27" x14ac:dyDescent="0.25">
      <c r="C78" s="85"/>
      <c r="E78" s="85"/>
      <c r="G78" s="85"/>
      <c r="I78" s="85"/>
      <c r="K78" s="85"/>
      <c r="L78" s="85"/>
      <c r="N78" s="85"/>
      <c r="P78" s="85"/>
      <c r="R78" s="85"/>
      <c r="T78" s="85"/>
      <c r="U78" s="56"/>
      <c r="V78" s="85"/>
      <c r="W78" s="56"/>
      <c r="X78" s="56"/>
      <c r="Y78" s="56"/>
      <c r="Z78" s="56"/>
      <c r="AA78" s="56"/>
    </row>
    <row r="79" spans="3:27" x14ac:dyDescent="0.25">
      <c r="C79" s="85"/>
      <c r="E79" s="85"/>
      <c r="G79" s="85"/>
      <c r="I79" s="85"/>
      <c r="K79" s="85"/>
      <c r="L79" s="85"/>
      <c r="N79" s="85"/>
      <c r="P79" s="85"/>
      <c r="R79" s="85"/>
      <c r="T79" s="85"/>
      <c r="U79" s="56"/>
      <c r="V79" s="85"/>
      <c r="W79" s="56"/>
      <c r="X79" s="56"/>
      <c r="Y79" s="56"/>
      <c r="Z79" s="56"/>
      <c r="AA79" s="56"/>
    </row>
    <row r="80" spans="3:27" x14ac:dyDescent="0.25">
      <c r="C80" s="85"/>
      <c r="E80" s="85"/>
      <c r="G80" s="85"/>
      <c r="I80" s="85"/>
      <c r="K80" s="85"/>
      <c r="L80" s="85"/>
      <c r="N80" s="85"/>
      <c r="P80" s="85"/>
      <c r="R80" s="85"/>
      <c r="T80" s="85"/>
      <c r="U80" s="56"/>
      <c r="V80" s="85"/>
      <c r="W80" s="56"/>
      <c r="X80" s="56"/>
      <c r="Y80" s="56"/>
      <c r="Z80" s="56"/>
      <c r="AA80" s="56"/>
    </row>
    <row r="81" spans="3:27" x14ac:dyDescent="0.25">
      <c r="C81" s="85"/>
      <c r="E81" s="85"/>
      <c r="G81" s="85"/>
      <c r="I81" s="85"/>
      <c r="K81" s="85"/>
      <c r="L81" s="85"/>
      <c r="N81" s="85"/>
      <c r="P81" s="85"/>
      <c r="R81" s="85"/>
      <c r="T81" s="85"/>
      <c r="U81" s="56"/>
      <c r="V81" s="85"/>
      <c r="W81" s="56"/>
      <c r="X81" s="56"/>
      <c r="Y81" s="56"/>
      <c r="Z81" s="56"/>
      <c r="AA81" s="56"/>
    </row>
    <row r="82" spans="3:27" x14ac:dyDescent="0.25">
      <c r="C82" s="85"/>
      <c r="E82" s="85"/>
      <c r="G82" s="85"/>
      <c r="I82" s="85"/>
      <c r="K82" s="85"/>
      <c r="L82" s="85"/>
      <c r="N82" s="85"/>
      <c r="P82" s="85"/>
      <c r="R82" s="85"/>
      <c r="T82" s="85"/>
      <c r="U82" s="56"/>
      <c r="V82" s="85"/>
      <c r="W82" s="56"/>
      <c r="X82" s="56"/>
      <c r="Y82" s="56"/>
      <c r="Z82" s="56"/>
      <c r="AA82" s="56"/>
    </row>
    <row r="83" spans="3:27" x14ac:dyDescent="0.25">
      <c r="C83" s="85"/>
      <c r="E83" s="85"/>
      <c r="G83" s="85"/>
      <c r="I83" s="85"/>
      <c r="K83" s="85"/>
      <c r="L83" s="85"/>
      <c r="N83" s="85"/>
      <c r="P83" s="85"/>
      <c r="R83" s="85"/>
      <c r="T83" s="85"/>
      <c r="U83" s="56"/>
      <c r="V83" s="85"/>
      <c r="W83" s="56"/>
      <c r="X83" s="56"/>
      <c r="Y83" s="56"/>
      <c r="Z83" s="56"/>
      <c r="AA83" s="56"/>
    </row>
    <row r="84" spans="3:27" x14ac:dyDescent="0.25">
      <c r="C84" s="85"/>
      <c r="E84" s="85"/>
      <c r="G84" s="85"/>
      <c r="I84" s="85"/>
      <c r="K84" s="85"/>
      <c r="L84" s="85"/>
      <c r="N84" s="85"/>
      <c r="P84" s="85"/>
      <c r="R84" s="85"/>
      <c r="T84" s="85"/>
      <c r="U84" s="56"/>
      <c r="V84" s="85"/>
      <c r="W84" s="56"/>
      <c r="X84" s="56"/>
      <c r="Y84" s="56"/>
      <c r="Z84" s="56"/>
      <c r="AA84" s="56"/>
    </row>
    <row r="85" spans="3:27" x14ac:dyDescent="0.25">
      <c r="C85" s="85"/>
      <c r="E85" s="85"/>
      <c r="G85" s="85"/>
      <c r="I85" s="85"/>
      <c r="K85" s="85"/>
      <c r="L85" s="85"/>
      <c r="N85" s="85"/>
      <c r="P85" s="85"/>
      <c r="R85" s="85"/>
      <c r="T85" s="85"/>
      <c r="U85" s="56"/>
      <c r="V85" s="85"/>
      <c r="W85" s="56"/>
      <c r="X85" s="56"/>
      <c r="Y85" s="56"/>
      <c r="Z85" s="56"/>
      <c r="AA85" s="56"/>
    </row>
    <row r="86" spans="3:27" x14ac:dyDescent="0.25">
      <c r="C86" s="85"/>
      <c r="E86" s="85"/>
      <c r="G86" s="85"/>
      <c r="I86" s="85"/>
      <c r="K86" s="85"/>
      <c r="L86" s="85"/>
      <c r="N86" s="85"/>
      <c r="P86" s="85"/>
      <c r="R86" s="85"/>
      <c r="T86" s="85"/>
      <c r="U86" s="56"/>
      <c r="V86" s="85"/>
      <c r="W86" s="56"/>
      <c r="X86" s="56"/>
      <c r="Y86" s="56"/>
      <c r="Z86" s="56"/>
      <c r="AA86" s="56"/>
    </row>
    <row r="87" spans="3:27" x14ac:dyDescent="0.25">
      <c r="C87" s="85"/>
      <c r="E87" s="85"/>
      <c r="G87" s="85"/>
      <c r="I87" s="85"/>
      <c r="K87" s="85"/>
      <c r="L87" s="85"/>
      <c r="N87" s="85"/>
      <c r="P87" s="85"/>
      <c r="R87" s="85"/>
      <c r="T87" s="85"/>
      <c r="U87" s="56"/>
      <c r="V87" s="85"/>
      <c r="W87" s="56"/>
      <c r="X87" s="56"/>
      <c r="Y87" s="56"/>
      <c r="Z87" s="56"/>
      <c r="AA87" s="56"/>
    </row>
    <row r="88" spans="3:27" x14ac:dyDescent="0.25">
      <c r="C88" s="85"/>
      <c r="E88" s="85"/>
      <c r="G88" s="85"/>
      <c r="I88" s="85"/>
      <c r="K88" s="85"/>
      <c r="L88" s="85"/>
      <c r="N88" s="85"/>
      <c r="P88" s="85"/>
      <c r="R88" s="85"/>
      <c r="T88" s="85"/>
      <c r="U88" s="56"/>
      <c r="V88" s="85"/>
      <c r="W88" s="56"/>
      <c r="X88" s="56"/>
      <c r="Y88" s="56"/>
      <c r="Z88" s="56"/>
      <c r="AA88" s="56"/>
    </row>
    <row r="89" spans="3:27" x14ac:dyDescent="0.25">
      <c r="C89" s="85"/>
      <c r="E89" s="85"/>
      <c r="G89" s="85"/>
      <c r="I89" s="85"/>
      <c r="K89" s="85"/>
      <c r="L89" s="85"/>
      <c r="N89" s="85"/>
      <c r="P89" s="85"/>
      <c r="R89" s="85"/>
      <c r="T89" s="85"/>
      <c r="U89" s="56"/>
      <c r="V89" s="85"/>
      <c r="W89" s="56"/>
      <c r="X89" s="56"/>
      <c r="Y89" s="56"/>
      <c r="Z89" s="56"/>
      <c r="AA89" s="56"/>
    </row>
    <row r="90" spans="3:27" x14ac:dyDescent="0.25">
      <c r="C90" s="85"/>
      <c r="E90" s="85"/>
      <c r="G90" s="85"/>
      <c r="I90" s="85"/>
      <c r="K90" s="85"/>
      <c r="L90" s="85"/>
      <c r="N90" s="85"/>
      <c r="P90" s="85"/>
      <c r="R90" s="85"/>
      <c r="T90" s="85"/>
      <c r="U90" s="56"/>
      <c r="V90" s="85"/>
      <c r="W90" s="56"/>
      <c r="X90" s="56"/>
      <c r="Y90" s="56"/>
      <c r="Z90" s="56"/>
      <c r="AA90" s="56"/>
    </row>
    <row r="91" spans="3:27" x14ac:dyDescent="0.25">
      <c r="C91" s="85"/>
      <c r="E91" s="85"/>
      <c r="G91" s="85"/>
      <c r="I91" s="85"/>
      <c r="K91" s="85"/>
      <c r="L91" s="85"/>
      <c r="N91" s="85"/>
      <c r="P91" s="85"/>
      <c r="R91" s="85"/>
      <c r="T91" s="85"/>
      <c r="U91" s="56"/>
      <c r="V91" s="85"/>
      <c r="W91" s="56"/>
      <c r="X91" s="56"/>
      <c r="Y91" s="56"/>
      <c r="Z91" s="56"/>
      <c r="AA91" s="56"/>
    </row>
    <row r="92" spans="3:27" x14ac:dyDescent="0.25">
      <c r="C92" s="85"/>
      <c r="E92" s="85"/>
      <c r="G92" s="85"/>
      <c r="I92" s="85"/>
      <c r="K92" s="85"/>
      <c r="L92" s="85"/>
      <c r="N92" s="85"/>
      <c r="P92" s="85"/>
      <c r="R92" s="85"/>
      <c r="T92" s="85"/>
      <c r="U92" s="10"/>
      <c r="V92" s="85"/>
      <c r="W92" s="10"/>
      <c r="X92" s="10"/>
      <c r="Y92" s="10"/>
      <c r="Z92" s="10"/>
      <c r="AA92" s="10"/>
    </row>
    <row r="95" spans="3:27" x14ac:dyDescent="0.25">
      <c r="U95" s="19"/>
    </row>
    <row r="109" spans="3:3" x14ac:dyDescent="0.25">
      <c r="C109" s="85"/>
    </row>
  </sheetData>
  <mergeCells count="10">
    <mergeCell ref="O1:P1"/>
    <mergeCell ref="Q1:R1"/>
    <mergeCell ref="S1:T1"/>
    <mergeCell ref="U1:V1"/>
    <mergeCell ref="B1:C1"/>
    <mergeCell ref="D1:E1"/>
    <mergeCell ref="F1:G1"/>
    <mergeCell ref="H1:I1"/>
    <mergeCell ref="J1:K1"/>
    <mergeCell ref="M1:N1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35"/>
  <sheetViews>
    <sheetView workbookViewId="0">
      <selection activeCell="B9" sqref="B9:G9"/>
    </sheetView>
  </sheetViews>
  <sheetFormatPr defaultRowHeight="15" x14ac:dyDescent="0.25"/>
  <cols>
    <col min="1" max="1" width="12.85546875" customWidth="1"/>
    <col min="2" max="4" width="9.28515625" bestFit="1" customWidth="1"/>
    <col min="5" max="5" width="10.5703125" bestFit="1" customWidth="1"/>
    <col min="9" max="10" width="9.28515625" bestFit="1" customWidth="1"/>
    <col min="11" max="11" width="9.5703125" bestFit="1" customWidth="1"/>
    <col min="16" max="16" width="17.28515625" customWidth="1"/>
    <col min="17" max="17" width="11.5703125" bestFit="1" customWidth="1"/>
    <col min="19" max="19" width="11.5703125" bestFit="1" customWidth="1"/>
    <col min="28" max="29" width="10.85546875" customWidth="1"/>
    <col min="30" max="30" width="17.28515625" customWidth="1"/>
    <col min="31" max="31" width="12.42578125" customWidth="1"/>
    <col min="33" max="33" width="16.28515625" customWidth="1"/>
    <col min="34" max="36" width="10.5703125" bestFit="1" customWidth="1"/>
    <col min="38" max="39" width="15.28515625" customWidth="1"/>
    <col min="40" max="40" width="18" customWidth="1"/>
    <col min="41" max="41" width="15.28515625" customWidth="1"/>
    <col min="48" max="48" width="13.42578125" customWidth="1"/>
    <col min="49" max="49" width="20.5703125" customWidth="1"/>
    <col min="50" max="51" width="13.42578125" customWidth="1"/>
  </cols>
  <sheetData>
    <row r="1" spans="1:51" x14ac:dyDescent="0.25">
      <c r="A1" s="11" t="s">
        <v>69</v>
      </c>
      <c r="B1" t="s">
        <v>11</v>
      </c>
      <c r="C1" t="s">
        <v>12</v>
      </c>
      <c r="D1" t="s">
        <v>13</v>
      </c>
      <c r="E1" t="s">
        <v>14</v>
      </c>
      <c r="F1" t="s">
        <v>16</v>
      </c>
      <c r="G1" t="s">
        <v>31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34</v>
      </c>
      <c r="P1" t="s">
        <v>24</v>
      </c>
      <c r="Q1" t="s">
        <v>25</v>
      </c>
      <c r="R1" t="s">
        <v>26</v>
      </c>
      <c r="S1" t="s">
        <v>30</v>
      </c>
      <c r="T1" t="s">
        <v>27</v>
      </c>
      <c r="AB1" t="s">
        <v>45</v>
      </c>
      <c r="AC1" t="s">
        <v>48</v>
      </c>
      <c r="AD1" t="s">
        <v>46</v>
      </c>
      <c r="AE1" t="s">
        <v>47</v>
      </c>
      <c r="AG1" t="s">
        <v>57</v>
      </c>
      <c r="AH1" t="s">
        <v>58</v>
      </c>
      <c r="AI1" t="s">
        <v>59</v>
      </c>
      <c r="AJ1" t="s">
        <v>60</v>
      </c>
      <c r="AL1" t="s">
        <v>49</v>
      </c>
      <c r="AM1" t="s">
        <v>50</v>
      </c>
      <c r="AN1" t="s">
        <v>51</v>
      </c>
      <c r="AO1" t="s">
        <v>52</v>
      </c>
      <c r="AQ1" t="s">
        <v>61</v>
      </c>
      <c r="AR1" t="s">
        <v>62</v>
      </c>
      <c r="AS1" t="s">
        <v>63</v>
      </c>
      <c r="AT1" t="s">
        <v>64</v>
      </c>
      <c r="AV1" t="s">
        <v>65</v>
      </c>
      <c r="AW1" t="s">
        <v>66</v>
      </c>
      <c r="AX1" t="s">
        <v>67</v>
      </c>
      <c r="AY1" t="s">
        <v>68</v>
      </c>
    </row>
    <row r="2" spans="1:51" x14ac:dyDescent="0.25">
      <c r="A2" t="s">
        <v>15</v>
      </c>
      <c r="B2" s="6">
        <v>2.0477329999999998E-2</v>
      </c>
      <c r="C2" s="6">
        <v>6.3518699999999997E-2</v>
      </c>
      <c r="D2" s="6">
        <v>9.5457910000000007E-2</v>
      </c>
      <c r="E2" s="12">
        <v>2086.0745697227999</v>
      </c>
      <c r="F2">
        <v>206</v>
      </c>
      <c r="G2" s="14">
        <f>2*F2+E2</f>
        <v>2498.0745697227999</v>
      </c>
      <c r="M2" s="6">
        <v>0.45798195583200002</v>
      </c>
      <c r="N2" s="6">
        <v>0.45798195583200002</v>
      </c>
      <c r="O2" s="6">
        <v>0.70636399999999999</v>
      </c>
      <c r="P2" s="3">
        <v>316800</v>
      </c>
      <c r="Q2" s="3">
        <v>94799.8</v>
      </c>
      <c r="R2" s="4">
        <f>Q2/P2</f>
        <v>0.29924179292929293</v>
      </c>
      <c r="S2" s="3">
        <v>110081</v>
      </c>
      <c r="T2" s="6">
        <f>S2/P2</f>
        <v>0.34747790404040402</v>
      </c>
      <c r="V2" t="s">
        <v>53</v>
      </c>
      <c r="AB2" s="6">
        <v>1.1229721E-2</v>
      </c>
      <c r="AC2" s="6">
        <v>2.4483064999999998E-2</v>
      </c>
      <c r="AD2" s="6">
        <v>1.1235339E-2</v>
      </c>
      <c r="AE2" s="6">
        <v>1.4856542E-2</v>
      </c>
      <c r="AG2" s="6">
        <v>3.7502724000000001E-2</v>
      </c>
      <c r="AH2" s="6">
        <v>2.3899588999999999E-2</v>
      </c>
      <c r="AI2" s="6">
        <v>1.3590046999999999E-2</v>
      </c>
      <c r="AJ2" s="6">
        <v>4.4957037999999998E-2</v>
      </c>
    </row>
    <row r="3" spans="1:51" x14ac:dyDescent="0.25">
      <c r="A3" t="s">
        <v>28</v>
      </c>
      <c r="B3" s="6">
        <v>4.6081570000000002E-2</v>
      </c>
      <c r="C3" s="6">
        <v>2.817513E-2</v>
      </c>
      <c r="D3" s="6">
        <v>9.2950450000000004E-2</v>
      </c>
      <c r="E3" s="12">
        <v>2077.9901788806601</v>
      </c>
      <c r="F3">
        <v>209</v>
      </c>
      <c r="G3" s="14">
        <f>2*F3+E3</f>
        <v>2495.9901788806601</v>
      </c>
      <c r="M3" s="6">
        <v>0.43184699999999998</v>
      </c>
      <c r="N3" s="6">
        <v>0.43184699999999998</v>
      </c>
      <c r="O3" s="6">
        <v>0.69913700000000001</v>
      </c>
      <c r="P3" s="3">
        <v>324058</v>
      </c>
      <c r="Q3" s="3">
        <v>97736.6</v>
      </c>
      <c r="R3" s="4">
        <f>Q3/P3</f>
        <v>0.30160218232538621</v>
      </c>
      <c r="S3" s="3">
        <v>113788</v>
      </c>
      <c r="T3" s="6">
        <f>S3/P3</f>
        <v>0.35113467342265892</v>
      </c>
      <c r="V3" t="s">
        <v>54</v>
      </c>
    </row>
    <row r="4" spans="1:51" x14ac:dyDescent="0.25">
      <c r="A4" t="s">
        <v>29</v>
      </c>
      <c r="B4" s="6">
        <v>5.2826129999999999E-2</v>
      </c>
      <c r="C4" s="6">
        <v>2.022997E-2</v>
      </c>
      <c r="D4" s="6">
        <v>8.9693880000000004E-2</v>
      </c>
      <c r="E4" s="12">
        <v>2074.22470802211</v>
      </c>
      <c r="F4">
        <v>210</v>
      </c>
      <c r="G4" s="14">
        <f>2*F4+E4</f>
        <v>2494.22470802211</v>
      </c>
      <c r="M4" s="6">
        <v>0.43867400000000001</v>
      </c>
      <c r="N4" s="6">
        <v>0.43867400000000001</v>
      </c>
      <c r="O4" s="6">
        <v>0.70358299999999996</v>
      </c>
      <c r="P4" s="3">
        <v>322427</v>
      </c>
      <c r="Q4" s="3">
        <v>90130</v>
      </c>
      <c r="R4" s="4">
        <f>Q4/P4</f>
        <v>0.27953614306494184</v>
      </c>
      <c r="S4" s="3">
        <v>105023</v>
      </c>
      <c r="T4" s="6">
        <f>S4/P4</f>
        <v>0.32572644350504143</v>
      </c>
      <c r="V4" t="s">
        <v>55</v>
      </c>
    </row>
    <row r="5" spans="1:51" x14ac:dyDescent="0.25">
      <c r="A5" t="s">
        <v>17</v>
      </c>
      <c r="B5" s="6">
        <v>8.0150879999999994E-2</v>
      </c>
      <c r="C5" s="6">
        <v>7.8856350000000006E-2</v>
      </c>
      <c r="D5" s="6">
        <v>0.13781299999999999</v>
      </c>
      <c r="E5" s="12">
        <v>2066.6698780387601</v>
      </c>
      <c r="F5">
        <v>210</v>
      </c>
      <c r="G5" s="14">
        <f t="shared" ref="G5" si="0">2*F5+E5</f>
        <v>2486.6698780387601</v>
      </c>
      <c r="I5">
        <v>0.65</v>
      </c>
      <c r="J5">
        <v>-5.0000000000000001E-3</v>
      </c>
      <c r="K5">
        <v>400</v>
      </c>
      <c r="L5" s="6">
        <v>1.2732000000000001</v>
      </c>
      <c r="M5" s="6">
        <v>0.34041232516199998</v>
      </c>
      <c r="N5" s="6">
        <v>0.43906200000000001</v>
      </c>
      <c r="O5" s="6">
        <v>0.96962099999999996</v>
      </c>
      <c r="P5" s="3">
        <v>303991</v>
      </c>
      <c r="Q5" s="3">
        <v>60041.4</v>
      </c>
      <c r="R5" s="4">
        <f>Q5/P5</f>
        <v>0.19751045261208391</v>
      </c>
      <c r="S5" s="3">
        <v>85082.7</v>
      </c>
      <c r="T5" s="6">
        <f>S5/P5</f>
        <v>0.27988558871808705</v>
      </c>
      <c r="V5" t="s">
        <v>56</v>
      </c>
    </row>
    <row r="6" spans="1:51" x14ac:dyDescent="0.25">
      <c r="E6" s="12"/>
      <c r="G6" s="14"/>
    </row>
    <row r="7" spans="1:51" x14ac:dyDescent="0.25">
      <c r="E7" s="12"/>
      <c r="G7" s="14"/>
      <c r="R7" s="4"/>
      <c r="T7" s="6"/>
    </row>
    <row r="8" spans="1:51" x14ac:dyDescent="0.25">
      <c r="A8" t="s">
        <v>32</v>
      </c>
      <c r="B8" s="6">
        <v>1.466342E-2</v>
      </c>
      <c r="C8" s="6">
        <v>5.3550140000000003E-2</v>
      </c>
      <c r="D8" s="6">
        <v>8.7340520000000005E-2</v>
      </c>
      <c r="E8" s="12">
        <v>2095.9733531172101</v>
      </c>
      <c r="F8">
        <v>206</v>
      </c>
      <c r="G8" s="14">
        <f>2*F8+E8</f>
        <v>2507.9733531172101</v>
      </c>
      <c r="M8" s="6">
        <v>0.45841959469799998</v>
      </c>
      <c r="N8" s="6">
        <v>0.45841959469799998</v>
      </c>
      <c r="O8" s="6">
        <v>0.67678000000000005</v>
      </c>
      <c r="P8" s="3">
        <v>324195</v>
      </c>
      <c r="Q8" s="3">
        <v>107102</v>
      </c>
      <c r="R8" s="4">
        <f t="shared" ref="R8:R9" si="1">Q8/P8</f>
        <v>0.33036289887259213</v>
      </c>
      <c r="S8" s="3">
        <v>126841</v>
      </c>
      <c r="T8" s="6">
        <f t="shared" ref="T8:T9" si="2">S8/P8</f>
        <v>0.39124909390952978</v>
      </c>
      <c r="V8" t="s">
        <v>35</v>
      </c>
      <c r="AB8" s="6">
        <v>1.1574826E-2</v>
      </c>
      <c r="AC8" s="6">
        <v>2.6212545E-2</v>
      </c>
      <c r="AD8" s="6">
        <v>1.0235897000000001E-2</v>
      </c>
      <c r="AE8" s="6">
        <v>1.4070974999999999E-2</v>
      </c>
      <c r="AF8" s="6"/>
      <c r="AG8" s="6">
        <v>3.9716779000000001E-2</v>
      </c>
      <c r="AH8" s="6">
        <v>2.5397645999999999E-2</v>
      </c>
      <c r="AI8" s="6">
        <v>1.3809194E-2</v>
      </c>
      <c r="AJ8" s="6">
        <v>4.4060545E-2</v>
      </c>
      <c r="AL8" s="6">
        <v>3.0585181999999999E-2</v>
      </c>
      <c r="AM8" s="6">
        <v>8.2910994000000002E-2</v>
      </c>
      <c r="AN8" s="6">
        <v>7.0669590000000003E-3</v>
      </c>
      <c r="AO8" s="6">
        <v>4.0297258000000002E-2</v>
      </c>
      <c r="AQ8" s="8">
        <v>-4.7604819999999999E-3</v>
      </c>
      <c r="AR8" s="8">
        <v>-2.6733540000000002E-3</v>
      </c>
      <c r="AS8" s="8">
        <v>-2.5037789999999998E-3</v>
      </c>
      <c r="AT8" s="8">
        <v>1.0267277E-2</v>
      </c>
      <c r="AV8" s="5">
        <v>5.4645475567516111E-3</v>
      </c>
      <c r="AW8" s="5">
        <v>2.4909265344445629E-3</v>
      </c>
      <c r="AX8" s="5">
        <v>3.7408327949802832E-2</v>
      </c>
      <c r="AY8" s="5">
        <v>4603.7919153671573</v>
      </c>
    </row>
    <row r="9" spans="1:51" x14ac:dyDescent="0.25">
      <c r="A9" t="s">
        <v>37</v>
      </c>
      <c r="B9" s="6">
        <v>2.0503939999999998E-2</v>
      </c>
      <c r="C9" s="6">
        <v>3.1061979999999999E-2</v>
      </c>
      <c r="D9" s="6">
        <v>8.1244239999999995E-2</v>
      </c>
      <c r="E9" s="12">
        <v>2083.1861709476302</v>
      </c>
      <c r="F9">
        <v>210</v>
      </c>
      <c r="G9" s="14">
        <f>2*F9+E9</f>
        <v>2503.1861709476302</v>
      </c>
      <c r="M9" s="6">
        <v>0.44104199999999999</v>
      </c>
      <c r="N9" s="6">
        <v>0.44104199999999999</v>
      </c>
      <c r="O9" s="6">
        <v>0.67537000000000003</v>
      </c>
      <c r="P9" s="3">
        <v>330582</v>
      </c>
      <c r="Q9" s="3">
        <v>101172</v>
      </c>
      <c r="R9" s="4">
        <f t="shared" si="1"/>
        <v>0.30604207125614824</v>
      </c>
      <c r="S9" s="3">
        <v>120689</v>
      </c>
      <c r="T9" s="6">
        <f t="shared" si="2"/>
        <v>0.36508037340206062</v>
      </c>
      <c r="V9" t="s">
        <v>38</v>
      </c>
      <c r="AB9" s="6">
        <v>1.1557339E-2</v>
      </c>
      <c r="AC9" s="6">
        <v>2.9612386000000001E-2</v>
      </c>
      <c r="AD9" s="6">
        <v>7.1406309999999997E-3</v>
      </c>
      <c r="AE9" s="6">
        <v>1.1313986E-2</v>
      </c>
      <c r="AG9" s="6">
        <v>3.1421478000000003E-2</v>
      </c>
      <c r="AH9" s="6">
        <v>2.3281705999999999E-2</v>
      </c>
      <c r="AI9" s="6">
        <v>1.0507722000000001E-2</v>
      </c>
      <c r="AJ9" s="6">
        <v>2.4994349999999999E-2</v>
      </c>
      <c r="AL9" s="6">
        <v>2.4706279000000001E-2</v>
      </c>
      <c r="AM9" s="6">
        <v>8.7516725000000004E-2</v>
      </c>
      <c r="AN9" s="6">
        <v>8.5869959999999995E-3</v>
      </c>
      <c r="AO9" s="6">
        <v>3.1060516E-2</v>
      </c>
      <c r="AQ9" s="8">
        <v>-3.5273280000000001E-3</v>
      </c>
      <c r="AR9" s="8">
        <v>-2.5084759999999999E-3</v>
      </c>
      <c r="AS9" s="8">
        <v>-1.325447E-3</v>
      </c>
      <c r="AT9" s="8">
        <v>7.121077E-3</v>
      </c>
      <c r="AV9" s="5">
        <v>5.0635452007462122E-3</v>
      </c>
      <c r="AW9" s="5">
        <v>2.0756806112694698E-3</v>
      </c>
      <c r="AX9" s="5">
        <v>4.2182223744131837E-2</v>
      </c>
      <c r="AY9" s="5">
        <v>3260.1380338875224</v>
      </c>
    </row>
    <row r="10" spans="1:51" x14ac:dyDescent="0.25">
      <c r="A10" t="s">
        <v>33</v>
      </c>
      <c r="B10" s="6">
        <v>6.147536E-2</v>
      </c>
      <c r="C10" s="6">
        <v>6.0889209999999999E-2</v>
      </c>
      <c r="D10" s="6">
        <v>8.920235E-2</v>
      </c>
      <c r="E10" s="12">
        <v>2076.0777230511499</v>
      </c>
      <c r="F10">
        <v>210</v>
      </c>
      <c r="G10" s="14">
        <f>2*F10+E10</f>
        <v>2496.0777230511499</v>
      </c>
      <c r="I10">
        <v>0.65</v>
      </c>
      <c r="J10">
        <v>-5.0000000000000001E-3</v>
      </c>
      <c r="K10">
        <v>400</v>
      </c>
      <c r="L10" s="6">
        <v>1.1101099999999999</v>
      </c>
      <c r="M10" s="6">
        <v>0.35344162945699997</v>
      </c>
      <c r="N10" s="6">
        <v>0.43945499999999998</v>
      </c>
      <c r="O10" s="6">
        <v>0.90205199999999996</v>
      </c>
      <c r="P10" s="3">
        <v>312113</v>
      </c>
      <c r="Q10" s="3">
        <v>68512.3</v>
      </c>
      <c r="R10" s="4">
        <f>Q10/P10</f>
        <v>0.21951120267339075</v>
      </c>
      <c r="S10" s="3">
        <v>98043.1</v>
      </c>
      <c r="T10" s="6">
        <f>S10/P10</f>
        <v>0.31412693479605147</v>
      </c>
      <c r="V10" t="s">
        <v>36</v>
      </c>
      <c r="AB10" s="6">
        <v>1.8118130999999999E-2</v>
      </c>
      <c r="AC10" s="6">
        <v>3.2073334000000002E-2</v>
      </c>
      <c r="AD10" s="6">
        <v>8.6049219999999992E-3</v>
      </c>
      <c r="AE10" s="6">
        <v>2.2459153999999999E-2</v>
      </c>
      <c r="AG10" s="6">
        <v>2.4756961000000001E-2</v>
      </c>
      <c r="AH10" s="6">
        <v>2.4024073E-2</v>
      </c>
      <c r="AI10" s="6">
        <v>1.1174287E-2</v>
      </c>
      <c r="AJ10" s="6">
        <v>2.2459153999999999E-2</v>
      </c>
      <c r="AL10" s="6">
        <v>2.1079179999999999E-2</v>
      </c>
      <c r="AM10" s="6">
        <v>0.111595085</v>
      </c>
      <c r="AN10" s="6">
        <v>8.4219450000000001E-3</v>
      </c>
      <c r="AO10" s="6">
        <v>2.8251271000000001E-2</v>
      </c>
      <c r="AQ10" s="8">
        <v>-2.7427414000000001E-3</v>
      </c>
      <c r="AR10" s="8">
        <v>-9.2124830000000005E-4</v>
      </c>
      <c r="AS10" s="8">
        <v>-3.7394075999999999E-3</v>
      </c>
      <c r="AT10" s="8">
        <v>6.6350968999999999E-3</v>
      </c>
      <c r="AV10" s="5">
        <v>6.1354950900477465E-3</v>
      </c>
      <c r="AW10" s="5">
        <v>2.3992325856406669E-3</v>
      </c>
      <c r="AX10" s="5">
        <v>4.3451766362255055E-2</v>
      </c>
      <c r="AY10" s="5">
        <v>3296.479940785322</v>
      </c>
    </row>
    <row r="11" spans="1:51" x14ac:dyDescent="0.25">
      <c r="A11" t="s">
        <v>75</v>
      </c>
      <c r="E11" s="12">
        <v>2064.65</v>
      </c>
      <c r="F11">
        <v>215</v>
      </c>
      <c r="G11" s="14">
        <f>2*F11+E11</f>
        <v>2494.65</v>
      </c>
      <c r="I11">
        <v>0.65</v>
      </c>
      <c r="J11">
        <v>-5.0000000000000001E-3</v>
      </c>
      <c r="K11">
        <v>400</v>
      </c>
      <c r="P11">
        <v>328080</v>
      </c>
      <c r="Q11">
        <v>71800.800000000003</v>
      </c>
      <c r="R11" s="4">
        <f>Q11/P11</f>
        <v>0.21885149963423556</v>
      </c>
      <c r="S11">
        <v>108931</v>
      </c>
      <c r="T11" s="6">
        <f>S11/P11</f>
        <v>0.33202572543282127</v>
      </c>
      <c r="V11" t="s">
        <v>76</v>
      </c>
    </row>
    <row r="12" spans="1:51" x14ac:dyDescent="0.25">
      <c r="E12" s="12"/>
      <c r="G12" s="14"/>
    </row>
    <row r="13" spans="1:51" x14ac:dyDescent="0.25">
      <c r="A13" t="s">
        <v>40</v>
      </c>
      <c r="B13" s="6">
        <v>2.696643E-2</v>
      </c>
      <c r="C13" s="6">
        <v>6.5488560000000001E-2</v>
      </c>
      <c r="D13" s="6">
        <v>9.6137260000000002E-2</v>
      </c>
      <c r="E13" s="12">
        <v>2056.47001607841</v>
      </c>
      <c r="F13">
        <v>206</v>
      </c>
      <c r="G13" s="14">
        <f>2*F13+E13</f>
        <v>2468.47001607841</v>
      </c>
      <c r="M13" s="6">
        <v>0.45675508030700002</v>
      </c>
      <c r="N13" s="6">
        <v>0.45675508030700002</v>
      </c>
      <c r="O13" s="6">
        <v>0.69587677540600001</v>
      </c>
      <c r="P13" s="3">
        <v>313958</v>
      </c>
      <c r="Q13" s="3">
        <v>89773</v>
      </c>
      <c r="R13" s="4">
        <f>Q13/P13</f>
        <v>0.28593952057281546</v>
      </c>
      <c r="S13" s="3">
        <v>103308</v>
      </c>
      <c r="T13" s="6">
        <f>S13/P13</f>
        <v>0.32905038253524355</v>
      </c>
      <c r="V13" t="s">
        <v>42</v>
      </c>
    </row>
    <row r="14" spans="1:51" x14ac:dyDescent="0.25">
      <c r="A14" t="s">
        <v>39</v>
      </c>
      <c r="B14" s="6">
        <v>3.2145590000000002E-2</v>
      </c>
      <c r="C14" s="6">
        <v>4.145074E-2</v>
      </c>
      <c r="D14" s="6">
        <v>8.7801009999999999E-2</v>
      </c>
      <c r="E14" s="12">
        <v>2042.8127701767901</v>
      </c>
      <c r="F14">
        <v>210</v>
      </c>
      <c r="G14" s="14">
        <f t="shared" ref="G14" si="3">2*F14+E14</f>
        <v>2462.8127701767899</v>
      </c>
      <c r="M14" s="6">
        <v>0.439801</v>
      </c>
      <c r="N14" s="6">
        <v>0.439801</v>
      </c>
      <c r="O14" s="6">
        <v>0.69539200000000001</v>
      </c>
      <c r="P14" s="3">
        <v>320016</v>
      </c>
      <c r="Q14" s="3">
        <v>85708.7</v>
      </c>
      <c r="R14" s="4">
        <f>Q14/P14</f>
        <v>0.26782629618519072</v>
      </c>
      <c r="S14" s="3">
        <v>99051.1</v>
      </c>
      <c r="T14" s="6">
        <f>S14/P14</f>
        <v>0.30951921153942302</v>
      </c>
      <c r="V14" t="s">
        <v>44</v>
      </c>
      <c r="AQ14" s="8">
        <f t="shared" ref="AQ14:AT16" si="4">ABS(AQ8)</f>
        <v>4.7604819999999999E-3</v>
      </c>
      <c r="AR14" s="8">
        <f t="shared" si="4"/>
        <v>2.6733540000000002E-3</v>
      </c>
      <c r="AS14" s="8">
        <f t="shared" si="4"/>
        <v>2.5037789999999998E-3</v>
      </c>
      <c r="AT14" s="8">
        <f t="shared" si="4"/>
        <v>1.0267277E-2</v>
      </c>
      <c r="AV14" s="9"/>
      <c r="AW14" s="9"/>
      <c r="AX14" s="9"/>
      <c r="AY14" s="9"/>
    </row>
    <row r="15" spans="1:51" x14ac:dyDescent="0.25">
      <c r="A15" t="s">
        <v>41</v>
      </c>
      <c r="B15" s="6">
        <v>9.1831839999999998E-2</v>
      </c>
      <c r="C15" s="6">
        <v>7.5588390000000005E-2</v>
      </c>
      <c r="D15" s="6">
        <v>0.13528519999999999</v>
      </c>
      <c r="E15" s="12">
        <v>2036.05170088102</v>
      </c>
      <c r="F15">
        <v>210</v>
      </c>
      <c r="G15" s="14">
        <f>2*F15+E15</f>
        <v>2456.0517008810202</v>
      </c>
      <c r="I15">
        <v>0.65</v>
      </c>
      <c r="J15">
        <v>-5.0000000000000001E-3</v>
      </c>
      <c r="K15">
        <v>400</v>
      </c>
      <c r="L15" s="6">
        <v>1.18676</v>
      </c>
      <c r="M15" s="6">
        <v>0.34884399999999999</v>
      </c>
      <c r="N15" s="6">
        <v>0.44079699999999999</v>
      </c>
      <c r="O15" s="6">
        <v>0.93533500000000003</v>
      </c>
      <c r="P15" s="3">
        <v>302889</v>
      </c>
      <c r="Q15" s="3">
        <v>57732.3</v>
      </c>
      <c r="R15" s="4">
        <f>Q15/P15</f>
        <v>0.19060546933034875</v>
      </c>
      <c r="S15" s="3">
        <v>79791.100000000006</v>
      </c>
      <c r="T15" s="6">
        <f>S15/P15</f>
        <v>0.26343346902660714</v>
      </c>
      <c r="V15" t="s">
        <v>43</v>
      </c>
      <c r="AQ15" s="8">
        <f t="shared" si="4"/>
        <v>3.5273280000000001E-3</v>
      </c>
      <c r="AR15" s="8">
        <f t="shared" si="4"/>
        <v>2.5084759999999999E-3</v>
      </c>
      <c r="AS15" s="8">
        <f t="shared" si="4"/>
        <v>1.325447E-3</v>
      </c>
      <c r="AT15" s="8">
        <f t="shared" si="4"/>
        <v>7.121077E-3</v>
      </c>
      <c r="AV15" s="9"/>
      <c r="AW15" s="9"/>
      <c r="AX15" s="9"/>
      <c r="AY15" s="9"/>
    </row>
    <row r="16" spans="1:51" x14ac:dyDescent="0.25">
      <c r="E16" s="12"/>
      <c r="G16" s="14"/>
      <c r="AQ16" s="8">
        <f t="shared" si="4"/>
        <v>2.7427414000000001E-3</v>
      </c>
      <c r="AR16" s="8">
        <f t="shared" si="4"/>
        <v>9.2124830000000005E-4</v>
      </c>
      <c r="AS16" s="8">
        <f t="shared" si="4"/>
        <v>3.7394075999999999E-3</v>
      </c>
      <c r="AT16" s="8">
        <f t="shared" si="4"/>
        <v>6.6350968999999999E-3</v>
      </c>
      <c r="AV16" s="9"/>
      <c r="AW16" s="9"/>
      <c r="AX16" s="9"/>
      <c r="AY16" s="9"/>
    </row>
    <row r="17" spans="1:54" x14ac:dyDescent="0.25">
      <c r="E17" s="12"/>
      <c r="G17" s="14"/>
      <c r="AB17" s="6"/>
      <c r="AG17" s="6"/>
      <c r="AL17" s="6"/>
    </row>
    <row r="18" spans="1:54" x14ac:dyDescent="0.25">
      <c r="A18" s="11" t="s">
        <v>71</v>
      </c>
      <c r="E18" s="12"/>
      <c r="G18" s="14"/>
      <c r="AB18" s="6"/>
      <c r="AG18" s="6"/>
      <c r="AL18" s="6"/>
    </row>
    <row r="19" spans="1:54" x14ac:dyDescent="0.25">
      <c r="A19" t="s">
        <v>32</v>
      </c>
      <c r="B19" s="6">
        <v>0.1385208</v>
      </c>
      <c r="C19" s="6">
        <v>8.6203639999999998E-2</v>
      </c>
      <c r="D19" s="6">
        <v>0.15673619999999999</v>
      </c>
      <c r="E19" s="12">
        <v>3196.9634107788002</v>
      </c>
      <c r="F19">
        <v>206</v>
      </c>
      <c r="G19" s="14">
        <f t="shared" ref="G19:G33" si="5">2*F19+E19</f>
        <v>3608.9634107788002</v>
      </c>
      <c r="M19" s="6">
        <v>0.45207799999999998</v>
      </c>
      <c r="N19" s="6">
        <v>0.45207799999999998</v>
      </c>
      <c r="O19" s="6">
        <v>0.75005500000000003</v>
      </c>
      <c r="P19" s="3">
        <v>365368</v>
      </c>
      <c r="Q19" s="3">
        <v>115118</v>
      </c>
      <c r="R19" s="6">
        <f t="shared" ref="R19:R20" si="6">Q19/P19</f>
        <v>0.31507411705458604</v>
      </c>
      <c r="S19" s="3">
        <v>151669</v>
      </c>
      <c r="T19" s="10">
        <f t="shared" ref="T19:T20" si="7">S19/P19</f>
        <v>0.41511298197981211</v>
      </c>
      <c r="V19" t="s">
        <v>35</v>
      </c>
      <c r="AB19" s="6"/>
      <c r="AG19" s="6"/>
      <c r="AL19" s="6"/>
    </row>
    <row r="20" spans="1:54" x14ac:dyDescent="0.25">
      <c r="A20" t="s">
        <v>37</v>
      </c>
      <c r="B20" s="6">
        <v>8.9475330000000006E-2</v>
      </c>
      <c r="C20" s="6">
        <v>8.8372129999999993E-2</v>
      </c>
      <c r="D20" s="6">
        <v>0.14136560000000001</v>
      </c>
      <c r="E20" s="12">
        <v>3210.5415460986101</v>
      </c>
      <c r="F20">
        <v>210</v>
      </c>
      <c r="G20" s="14">
        <f t="shared" si="5"/>
        <v>3630.5415460986101</v>
      </c>
      <c r="M20" s="6">
        <v>0.46666785370199998</v>
      </c>
      <c r="N20" s="6">
        <v>0.46666785370199998</v>
      </c>
      <c r="O20" s="6">
        <v>0.74500872212299996</v>
      </c>
      <c r="P20" s="3">
        <v>365054</v>
      </c>
      <c r="Q20" s="3">
        <v>120942</v>
      </c>
      <c r="R20" s="6">
        <f t="shared" si="6"/>
        <v>0.33129893111704023</v>
      </c>
      <c r="S20" s="3">
        <v>155700</v>
      </c>
      <c r="T20" s="10">
        <f t="shared" si="7"/>
        <v>0.42651224202446764</v>
      </c>
      <c r="V20" t="s">
        <v>38</v>
      </c>
      <c r="AS20" s="7"/>
      <c r="AU20" s="2"/>
      <c r="AW20" s="2"/>
    </row>
    <row r="21" spans="1:54" x14ac:dyDescent="0.25">
      <c r="A21" t="s">
        <v>33</v>
      </c>
      <c r="B21" s="6">
        <v>0.16607150000000001</v>
      </c>
      <c r="C21" s="6">
        <v>7.2829489999999997E-2</v>
      </c>
      <c r="D21" s="6">
        <v>0.18369150000000001</v>
      </c>
      <c r="E21" s="12">
        <v>3182.5751635450702</v>
      </c>
      <c r="F21">
        <v>210</v>
      </c>
      <c r="G21" s="14">
        <f t="shared" si="5"/>
        <v>3602.5751635450702</v>
      </c>
      <c r="I21">
        <v>0.65</v>
      </c>
      <c r="J21">
        <v>-5.0000000000000001E-3</v>
      </c>
      <c r="K21">
        <v>400</v>
      </c>
      <c r="L21" s="6">
        <v>1.17302</v>
      </c>
      <c r="M21" s="6">
        <v>0.34569985551999999</v>
      </c>
      <c r="N21" s="6">
        <v>0.43658799999999998</v>
      </c>
      <c r="O21" s="6">
        <v>0.92540299999999998</v>
      </c>
      <c r="P21" s="3">
        <v>345568</v>
      </c>
      <c r="Q21" s="3">
        <v>74634.5</v>
      </c>
      <c r="R21" s="6">
        <f>Q21/P21</f>
        <v>0.21597630567645151</v>
      </c>
      <c r="S21" s="3">
        <v>115820</v>
      </c>
      <c r="T21" s="10">
        <f>S21/P21</f>
        <v>0.33515834799518474</v>
      </c>
      <c r="V21" t="s">
        <v>36</v>
      </c>
      <c r="AS21" s="7"/>
      <c r="AU21" s="2"/>
      <c r="AW21" s="2"/>
    </row>
    <row r="22" spans="1:54" x14ac:dyDescent="0.25">
      <c r="A22" t="s">
        <v>77</v>
      </c>
      <c r="E22" s="12">
        <v>3156.48</v>
      </c>
      <c r="F22">
        <v>212</v>
      </c>
      <c r="G22" s="14">
        <f t="shared" si="5"/>
        <v>3580.48</v>
      </c>
      <c r="I22">
        <v>0.65</v>
      </c>
      <c r="J22">
        <v>-5.0000000000000001E-3</v>
      </c>
      <c r="K22">
        <v>400</v>
      </c>
      <c r="N22">
        <v>0.46490199999999998</v>
      </c>
      <c r="O22">
        <v>1.7486999999999999</v>
      </c>
      <c r="P22" s="3">
        <v>364726</v>
      </c>
      <c r="Q22" s="3">
        <v>92419.6</v>
      </c>
      <c r="R22" s="6">
        <f>Q22/P22</f>
        <v>0.2533946030718951</v>
      </c>
      <c r="S22" s="3">
        <v>133375</v>
      </c>
      <c r="T22" s="10">
        <f>S22/P22</f>
        <v>0.36568547347872099</v>
      </c>
      <c r="V22" t="s">
        <v>76</v>
      </c>
      <c r="AS22" s="7"/>
      <c r="AU22" s="2"/>
      <c r="AW22" s="2"/>
    </row>
    <row r="23" spans="1:54" x14ac:dyDescent="0.25">
      <c r="A23" t="s">
        <v>78</v>
      </c>
      <c r="E23" s="12">
        <v>3145.4091880854799</v>
      </c>
      <c r="F23">
        <v>213</v>
      </c>
      <c r="G23" s="14">
        <f t="shared" si="5"/>
        <v>3571.4091880854799</v>
      </c>
      <c r="I23">
        <v>0.65</v>
      </c>
      <c r="J23">
        <v>-5.0000000000000001E-3</v>
      </c>
      <c r="K23">
        <v>400</v>
      </c>
      <c r="L23">
        <v>1.2970259131299999</v>
      </c>
      <c r="M23">
        <v>0.35584301165799997</v>
      </c>
      <c r="N23">
        <v>0.45633899999999999</v>
      </c>
      <c r="O23">
        <v>0.99682800000000005</v>
      </c>
      <c r="P23" s="3">
        <v>355362</v>
      </c>
      <c r="Q23" s="3">
        <v>87473.600000000006</v>
      </c>
      <c r="R23" s="6">
        <f>Q23/P23</f>
        <v>0.24615349981145987</v>
      </c>
      <c r="S23" s="3">
        <v>107065</v>
      </c>
      <c r="T23" s="10">
        <f>S23/P23</f>
        <v>0.30128432415396134</v>
      </c>
      <c r="V23" t="s">
        <v>79</v>
      </c>
      <c r="AS23" s="7"/>
      <c r="AU23" s="2"/>
      <c r="AW23" s="2"/>
    </row>
    <row r="24" spans="1:54" x14ac:dyDescent="0.25">
      <c r="G24" s="14"/>
      <c r="R24" s="6"/>
      <c r="T24" s="10"/>
    </row>
    <row r="25" spans="1:54" x14ac:dyDescent="0.25">
      <c r="A25" s="11" t="s">
        <v>70</v>
      </c>
      <c r="E25" s="12"/>
      <c r="G25" s="14"/>
      <c r="R25" s="6"/>
      <c r="T25" s="10"/>
    </row>
    <row r="26" spans="1:54" x14ac:dyDescent="0.25">
      <c r="A26" t="s">
        <v>32</v>
      </c>
      <c r="B26">
        <v>2.8910729999999999E-2</v>
      </c>
      <c r="C26">
        <v>1.844778E-2</v>
      </c>
      <c r="D26">
        <v>7.4293049999999999E-2</v>
      </c>
      <c r="E26" s="13">
        <v>2188.8974279076301</v>
      </c>
      <c r="F26">
        <v>211</v>
      </c>
      <c r="G26" s="14">
        <f>2*F26+E26</f>
        <v>2610.8974279076301</v>
      </c>
      <c r="M26" s="6">
        <v>0.46173900000000001</v>
      </c>
      <c r="N26" s="6">
        <v>0.46173900000000001</v>
      </c>
      <c r="O26" s="6">
        <v>0.60645899999999997</v>
      </c>
      <c r="P26" s="3">
        <v>333895</v>
      </c>
      <c r="Q26" s="3">
        <v>142829</v>
      </c>
      <c r="R26" s="6">
        <f t="shared" ref="R26:R28" si="8">Q26/P26</f>
        <v>0.42776621392952874</v>
      </c>
      <c r="S26" s="3">
        <v>152322</v>
      </c>
      <c r="T26" s="10">
        <f t="shared" ref="T26:T28" si="9">S26/P26</f>
        <v>0.45619730753680049</v>
      </c>
      <c r="V26" t="s">
        <v>72</v>
      </c>
      <c r="AS26" s="2"/>
      <c r="AT26" s="2"/>
      <c r="AU26" s="2"/>
      <c r="AV26" s="2"/>
    </row>
    <row r="27" spans="1:54" x14ac:dyDescent="0.25">
      <c r="A27" t="s">
        <v>37</v>
      </c>
      <c r="B27">
        <v>4.8586369999999999E-3</v>
      </c>
      <c r="C27">
        <v>-1.0156550000000001E-3</v>
      </c>
      <c r="D27">
        <v>7.6559630000000004E-2</v>
      </c>
      <c r="E27" s="13">
        <v>2166.1164718683299</v>
      </c>
      <c r="F27">
        <v>215</v>
      </c>
      <c r="G27" s="14">
        <f t="shared" si="5"/>
        <v>2596.1164718683299</v>
      </c>
      <c r="M27" s="6">
        <v>0.44758999999999999</v>
      </c>
      <c r="N27" s="6">
        <v>0.44758999999999999</v>
      </c>
      <c r="O27" s="6">
        <v>0.65334800000000004</v>
      </c>
      <c r="P27" s="3">
        <v>333726</v>
      </c>
      <c r="Q27" s="3">
        <v>124308</v>
      </c>
      <c r="R27" s="6">
        <f t="shared" si="8"/>
        <v>0.37248521241976951</v>
      </c>
      <c r="S27" s="3">
        <v>144361</v>
      </c>
      <c r="T27" s="10">
        <f t="shared" si="9"/>
        <v>0.43257342850122554</v>
      </c>
      <c r="V27" t="s">
        <v>73</v>
      </c>
    </row>
    <row r="28" spans="1:54" x14ac:dyDescent="0.25">
      <c r="A28" t="s">
        <v>33</v>
      </c>
      <c r="B28">
        <v>5.1958360000000002E-2</v>
      </c>
      <c r="C28">
        <v>5.7674030000000001E-2</v>
      </c>
      <c r="D28">
        <v>0.12664410000000001</v>
      </c>
      <c r="E28" s="13">
        <v>2163.54867225521</v>
      </c>
      <c r="F28">
        <v>215</v>
      </c>
      <c r="G28" s="14">
        <f t="shared" si="5"/>
        <v>2593.54867225521</v>
      </c>
      <c r="I28">
        <v>0.65</v>
      </c>
      <c r="J28">
        <v>-5.0000000000000001E-3</v>
      </c>
      <c r="K28">
        <v>400</v>
      </c>
      <c r="L28" s="6">
        <v>1.24813</v>
      </c>
      <c r="M28" s="6">
        <v>0.443131</v>
      </c>
      <c r="N28" s="6">
        <v>0.35985200000000001</v>
      </c>
      <c r="O28" s="6">
        <v>0.86402800000000002</v>
      </c>
      <c r="P28" s="3">
        <v>309215</v>
      </c>
      <c r="Q28" s="3">
        <v>75649.600000000006</v>
      </c>
      <c r="R28" s="6">
        <f t="shared" si="8"/>
        <v>0.24465048590786348</v>
      </c>
      <c r="S28" s="3">
        <v>92688.7</v>
      </c>
      <c r="T28" s="10">
        <f t="shared" si="9"/>
        <v>0.29975486312112931</v>
      </c>
      <c r="V28" t="s">
        <v>74</v>
      </c>
      <c r="AP28" s="7"/>
      <c r="AR28" s="2"/>
    </row>
    <row r="29" spans="1:54" x14ac:dyDescent="0.25">
      <c r="A29" t="s">
        <v>75</v>
      </c>
      <c r="G29" s="14"/>
      <c r="I29">
        <v>0.65</v>
      </c>
      <c r="J29">
        <v>-5.0000000000000001E-3</v>
      </c>
      <c r="K29">
        <v>400</v>
      </c>
      <c r="L29">
        <v>1.2970259131299999</v>
      </c>
      <c r="M29">
        <v>0.35584301165799997</v>
      </c>
      <c r="P29" s="3"/>
      <c r="Q29" s="3"/>
      <c r="R29" s="6"/>
      <c r="S29" s="3"/>
      <c r="T29" s="10"/>
      <c r="V29" t="s">
        <v>76</v>
      </c>
      <c r="AP29" s="7"/>
      <c r="AR29" s="2"/>
      <c r="AT29" s="2"/>
    </row>
    <row r="30" spans="1:54" x14ac:dyDescent="0.25">
      <c r="E30" s="13"/>
      <c r="G30" s="14"/>
      <c r="Q30" s="2"/>
      <c r="R30" s="6"/>
      <c r="T30" s="10"/>
      <c r="AP30" s="7"/>
      <c r="AR30" s="2"/>
      <c r="AT30" s="2"/>
      <c r="AY30" s="2"/>
      <c r="AZ30" s="2"/>
      <c r="BA30" s="2"/>
      <c r="BB30" s="2"/>
    </row>
    <row r="31" spans="1:54" x14ac:dyDescent="0.25">
      <c r="E31" s="13"/>
      <c r="G31" s="14"/>
      <c r="R31" s="6"/>
      <c r="T31" s="10"/>
      <c r="AP31" s="7"/>
      <c r="AR31" s="2"/>
      <c r="AT31" s="2"/>
    </row>
    <row r="32" spans="1:54" x14ac:dyDescent="0.25">
      <c r="A32" s="11" t="s">
        <v>80</v>
      </c>
      <c r="G32" s="14"/>
    </row>
    <row r="33" spans="1:22" x14ac:dyDescent="0.25">
      <c r="A33" t="s">
        <v>15</v>
      </c>
      <c r="B33">
        <v>9.906529E-2</v>
      </c>
      <c r="C33">
        <v>6.5763390000000005E-2</v>
      </c>
      <c r="D33">
        <v>0.10206369999999999</v>
      </c>
      <c r="E33">
        <v>2179.42</v>
      </c>
      <c r="F33">
        <v>213</v>
      </c>
      <c r="G33" s="14">
        <f t="shared" si="5"/>
        <v>2605.42</v>
      </c>
      <c r="M33">
        <v>0.47662627821100001</v>
      </c>
      <c r="N33">
        <v>0.47662627821100001</v>
      </c>
      <c r="O33">
        <v>0.69950916813399999</v>
      </c>
      <c r="P33">
        <v>352256</v>
      </c>
      <c r="Q33">
        <v>89389</v>
      </c>
      <c r="R33" s="6">
        <f>Q33/P33</f>
        <v>0.25376146893168605</v>
      </c>
      <c r="S33">
        <v>105133</v>
      </c>
      <c r="T33" s="10">
        <f>S33/P33</f>
        <v>0.29845623637354651</v>
      </c>
      <c r="V33" t="s">
        <v>81</v>
      </c>
    </row>
    <row r="34" spans="1:22" x14ac:dyDescent="0.25">
      <c r="A34" t="s">
        <v>37</v>
      </c>
    </row>
    <row r="35" spans="1:22" x14ac:dyDescent="0.25">
      <c r="A35" t="s">
        <v>33</v>
      </c>
    </row>
  </sheetData>
  <conditionalFormatting sqref="G13:G25">
    <cfRule type="colorScale" priority="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8:E10">
    <cfRule type="colorScale" priority="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3:E15">
    <cfRule type="colorScale" priority="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:D10 B2:D5 B7:D8">
    <cfRule type="colorScale" priority="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:O5 O7:O8 O10">
    <cfRule type="colorScale" priority="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3:R15 R2:R5 R7:R11">
    <cfRule type="colorScale" priority="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3:O15 O2:O5 O7:O10">
    <cfRule type="colorScale" priority="1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:D15 B2:D5 B7:D10">
    <cfRule type="colorScale" priority="1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:O5 O7:O10">
    <cfRule type="colorScale" priority="1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B5 B7:B10">
    <cfRule type="colorScale" priority="1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5 C7:C10">
    <cfRule type="colorScale" priority="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5 D7:D10">
    <cfRule type="colorScale" priority="1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8:AB10"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8:AC10">
    <cfRule type="colorScale" priority="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8:AD10">
    <cfRule type="colorScale" priority="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8:AE10">
    <cfRule type="colorScale" priority="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8:AG10">
    <cfRule type="colorScale" priority="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8:AH10"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8:AI10">
    <cfRule type="colorScale" priority="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8:AJ10">
    <cfRule type="colorScale" priority="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D5">
    <cfRule type="colorScale" priority="1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5">
    <cfRule type="colorScale" priority="1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5">
    <cfRule type="colorScale" priority="1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5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8:AL10"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8:AM10"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N8:AN10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8:AO10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V8:AV10">
    <cfRule type="colorScale" priority="33">
      <colorScale>
        <cfvo type="min"/>
        <cfvo type="max"/>
        <color rgb="FFFCFCFF"/>
        <color rgb="FFF8696B"/>
      </colorScale>
    </cfRule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W8:AW10">
    <cfRule type="colorScale" priority="32">
      <colorScale>
        <cfvo type="min"/>
        <cfvo type="max"/>
        <color rgb="FFFCFCFF"/>
        <color rgb="FFF8696B"/>
      </colorScale>
    </cfRule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X8:AX10">
    <cfRule type="colorScale" priority="29">
      <colorScale>
        <cfvo type="min"/>
        <cfvo type="max"/>
        <color rgb="FFFCFCFF"/>
        <color rgb="FFF8696B"/>
      </colorScale>
    </cfRule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Y8:AY10">
    <cfRule type="colorScale" priority="28">
      <colorScale>
        <cfvo type="min"/>
        <cfvo type="max"/>
        <color rgb="FFFCFCFF"/>
        <color rgb="FFF8696B"/>
      </colorScale>
    </cfRule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Q14:AT16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Q14:AQ16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R14:AR16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S14:AS16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T14:AT16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Q8:AT10">
    <cfRule type="colorScale" priority="3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Q8:AQ10">
    <cfRule type="colorScale" priority="37">
      <colorScale>
        <cfvo type="min"/>
        <cfvo type="max"/>
        <color rgb="FFF8696B"/>
        <color rgb="FFFCFCFF"/>
      </colorScale>
    </cfRule>
  </conditionalFormatting>
  <conditionalFormatting sqref="AR8:AR10">
    <cfRule type="colorScale" priority="36">
      <colorScale>
        <cfvo type="min"/>
        <cfvo type="max"/>
        <color rgb="FFF8696B"/>
        <color rgb="FFFCFCFF"/>
      </colorScale>
    </cfRule>
  </conditionalFormatting>
  <conditionalFormatting sqref="AS8:AS10">
    <cfRule type="colorScale" priority="35">
      <colorScale>
        <cfvo type="min"/>
        <cfvo type="max"/>
        <color rgb="FFF8696B"/>
        <color rgb="FFFCFCFF"/>
      </colorScale>
    </cfRule>
  </conditionalFormatting>
  <conditionalFormatting sqref="AT8:AT10">
    <cfRule type="colorScale" priority="34">
      <colorScale>
        <cfvo type="min"/>
        <cfvo type="max"/>
        <color rgb="FFFCFCFF"/>
        <color rgb="FFF8696B"/>
      </colorScale>
    </cfRule>
  </conditionalFormatting>
  <conditionalFormatting sqref="G19:G25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7:O28 O2:O25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:R25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7:N28 N2:N25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3:G15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9:G23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9:B21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9:C21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9:D21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2:T25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6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B28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9:E23 E25">
    <cfRule type="colorScale" priority="1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8:G11">
    <cfRule type="colorScale" priority="1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5 G8:G11">
    <cfRule type="colorScale" priority="1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B15">
    <cfRule type="colorScale" priority="1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15">
    <cfRule type="colorScale" priority="1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15">
    <cfRule type="colorScale" priority="1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15">
    <cfRule type="colorScale" priority="1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:O15">
    <cfRule type="colorScale" priority="1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:R15">
    <cfRule type="colorScale" priority="1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:N25">
    <cfRule type="colorScale" priority="1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B27">
    <cfRule type="colorScale" priority="1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28">
    <cfRule type="colorScale" priority="1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28">
    <cfRule type="colorScale" priority="1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6:R31 R33">
    <cfRule type="colorScale" priority="1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26:T31 T33">
    <cfRule type="colorScale" priority="1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21"/>
  <sheetViews>
    <sheetView workbookViewId="0">
      <selection activeCell="E5" sqref="E5"/>
    </sheetView>
  </sheetViews>
  <sheetFormatPr defaultRowHeight="15" x14ac:dyDescent="0.25"/>
  <cols>
    <col min="1" max="1" width="26.42578125" customWidth="1"/>
    <col min="9" max="9" width="11.28515625" customWidth="1"/>
    <col min="13" max="13" width="17.28515625" customWidth="1"/>
    <col min="14" max="14" width="11.5703125" bestFit="1" customWidth="1"/>
    <col min="16" max="16" width="11.5703125" bestFit="1" customWidth="1"/>
    <col min="19" max="19" width="10.5703125" bestFit="1" customWidth="1"/>
  </cols>
  <sheetData>
    <row r="1" spans="1:48" x14ac:dyDescent="0.25">
      <c r="A1" s="11"/>
      <c r="B1" t="s">
        <v>11</v>
      </c>
      <c r="C1" t="s">
        <v>12</v>
      </c>
      <c r="D1" t="s">
        <v>13</v>
      </c>
      <c r="E1" t="s">
        <v>14</v>
      </c>
      <c r="F1" t="s">
        <v>16</v>
      </c>
      <c r="G1" t="s">
        <v>31</v>
      </c>
      <c r="H1" t="s">
        <v>89</v>
      </c>
      <c r="I1" t="s">
        <v>21</v>
      </c>
      <c r="J1" t="s">
        <v>22</v>
      </c>
      <c r="K1" t="s">
        <v>23</v>
      </c>
      <c r="L1" t="s">
        <v>34</v>
      </c>
      <c r="M1" t="s">
        <v>24</v>
      </c>
      <c r="N1" t="s">
        <v>25</v>
      </c>
      <c r="O1" t="s">
        <v>26</v>
      </c>
      <c r="P1" t="s">
        <v>30</v>
      </c>
      <c r="Q1" t="s">
        <v>27</v>
      </c>
      <c r="S1" t="s">
        <v>86</v>
      </c>
      <c r="Y1" t="s">
        <v>45</v>
      </c>
      <c r="Z1" t="s">
        <v>48</v>
      </c>
      <c r="AA1" t="s">
        <v>46</v>
      </c>
      <c r="AB1" t="s">
        <v>47</v>
      </c>
      <c r="AD1" t="s">
        <v>57</v>
      </c>
      <c r="AE1" t="s">
        <v>58</v>
      </c>
      <c r="AF1" t="s">
        <v>59</v>
      </c>
      <c r="AG1" t="s">
        <v>60</v>
      </c>
      <c r="AI1" t="s">
        <v>49</v>
      </c>
      <c r="AJ1" t="s">
        <v>50</v>
      </c>
      <c r="AK1" t="s">
        <v>51</v>
      </c>
      <c r="AL1" t="s">
        <v>52</v>
      </c>
      <c r="AN1" t="s">
        <v>61</v>
      </c>
      <c r="AO1" t="s">
        <v>62</v>
      </c>
      <c r="AP1" t="s">
        <v>63</v>
      </c>
      <c r="AQ1" t="s">
        <v>64</v>
      </c>
      <c r="AS1" t="s">
        <v>65</v>
      </c>
      <c r="AT1" t="s">
        <v>66</v>
      </c>
      <c r="AU1" t="s">
        <v>67</v>
      </c>
      <c r="AV1" t="s">
        <v>68</v>
      </c>
    </row>
    <row r="2" spans="1:48" x14ac:dyDescent="0.25">
      <c r="A2" t="s">
        <v>83</v>
      </c>
      <c r="B2">
        <v>8.7850890000000001E-2</v>
      </c>
      <c r="C2">
        <v>6.8784949999999997E-2</v>
      </c>
      <c r="D2">
        <v>0.16905300000000001</v>
      </c>
      <c r="E2">
        <v>3190.0237218909301</v>
      </c>
      <c r="F2">
        <v>200</v>
      </c>
      <c r="G2">
        <f>2*F2+E2</f>
        <v>3590.0237218909301</v>
      </c>
      <c r="H2" s="6">
        <f>EXP(0.147111)</f>
        <v>1.1584825474560552</v>
      </c>
      <c r="I2" s="6">
        <v>0.46648810417600001</v>
      </c>
      <c r="J2" s="6">
        <v>0.823052287341</v>
      </c>
      <c r="K2" s="6">
        <v>0.46648810417600001</v>
      </c>
      <c r="L2" s="6">
        <v>0.823052287341</v>
      </c>
      <c r="M2" s="3">
        <v>413547</v>
      </c>
      <c r="N2" s="3">
        <v>89117.2</v>
      </c>
      <c r="O2" s="6">
        <f t="shared" ref="O2:O6" si="0">N2/M2</f>
        <v>0.215494732158618</v>
      </c>
      <c r="P2" s="3">
        <v>113591</v>
      </c>
      <c r="Q2" s="6">
        <f t="shared" ref="Q2:Q7" si="1">P2/M2</f>
        <v>0.27467494625762007</v>
      </c>
      <c r="S2" s="3">
        <v>39561.199999999997</v>
      </c>
    </row>
    <row r="3" spans="1:48" x14ac:dyDescent="0.25">
      <c r="A3" t="s">
        <v>82</v>
      </c>
      <c r="B3">
        <v>9.7620609999999997E-2</v>
      </c>
      <c r="C3">
        <v>6.5917569999999995E-2</v>
      </c>
      <c r="D3">
        <v>0.168712</v>
      </c>
      <c r="E3">
        <v>3210.5415460988402</v>
      </c>
      <c r="F3">
        <v>206</v>
      </c>
      <c r="G3">
        <f t="shared" ref="G3:G6" si="2">2*F3+E3</f>
        <v>3622.5415460988402</v>
      </c>
      <c r="H3" s="6">
        <f>EXP(0.149343)</f>
        <v>1.1610711683281993</v>
      </c>
      <c r="I3" s="6">
        <v>0.46666800000000003</v>
      </c>
      <c r="J3" s="6">
        <v>0.74500900000000003</v>
      </c>
      <c r="K3" s="6">
        <v>0.46666800000000003</v>
      </c>
      <c r="L3" s="6">
        <v>0.74500900000000003</v>
      </c>
      <c r="M3" s="3">
        <v>365054</v>
      </c>
      <c r="N3" s="3">
        <v>120942</v>
      </c>
      <c r="O3" s="6">
        <f t="shared" si="0"/>
        <v>0.33129893111704023</v>
      </c>
      <c r="P3" s="3">
        <v>155700</v>
      </c>
      <c r="Q3" s="6">
        <f t="shared" si="1"/>
        <v>0.42651224202446764</v>
      </c>
      <c r="S3" s="3">
        <v>81498</v>
      </c>
    </row>
    <row r="4" spans="1:48" x14ac:dyDescent="0.25">
      <c r="A4" t="s">
        <v>87</v>
      </c>
      <c r="B4">
        <v>0.1252664</v>
      </c>
      <c r="C4">
        <v>0.1897356</v>
      </c>
      <c r="D4">
        <v>0.26548670000000002</v>
      </c>
      <c r="E4">
        <v>3181.3830417243598</v>
      </c>
      <c r="F4">
        <v>206</v>
      </c>
      <c r="G4">
        <f t="shared" si="2"/>
        <v>3593.3830417243598</v>
      </c>
      <c r="H4" s="6">
        <f>EXP(0.249626)</f>
        <v>1.2835452809728756</v>
      </c>
      <c r="I4" s="6">
        <v>0.42477100000000001</v>
      </c>
      <c r="J4" s="6">
        <v>0.53183100000000005</v>
      </c>
      <c r="K4" s="6">
        <v>0.42477100000000001</v>
      </c>
      <c r="L4" s="6">
        <v>0.72297999999999996</v>
      </c>
      <c r="M4" s="3">
        <v>312173</v>
      </c>
      <c r="N4" s="3">
        <v>40347.699999999997</v>
      </c>
      <c r="O4" s="6">
        <f t="shared" si="0"/>
        <v>0.12924788498685022</v>
      </c>
      <c r="P4" s="3">
        <v>63642.3</v>
      </c>
      <c r="Q4" s="6">
        <f t="shared" si="1"/>
        <v>0.20386868819532761</v>
      </c>
      <c r="S4" s="3">
        <v>16730.900000000001</v>
      </c>
    </row>
    <row r="5" spans="1:48" x14ac:dyDescent="0.25">
      <c r="A5" t="s">
        <v>95</v>
      </c>
      <c r="E5">
        <v>3064.70746170348</v>
      </c>
      <c r="F5">
        <v>284</v>
      </c>
      <c r="G5">
        <f t="shared" si="2"/>
        <v>3632.70746170348</v>
      </c>
      <c r="H5" s="6">
        <f>EXP(0.242621)</f>
        <v>1.2745854646744168</v>
      </c>
      <c r="I5" s="6"/>
      <c r="J5" s="6"/>
      <c r="K5" s="6">
        <v>0.446905</v>
      </c>
      <c r="L5" s="6">
        <v>0.73431999999999997</v>
      </c>
      <c r="M5" s="3">
        <v>301516</v>
      </c>
      <c r="N5" s="3">
        <v>43623.7</v>
      </c>
      <c r="O5" s="6">
        <f t="shared" si="0"/>
        <v>0.14468121094734607</v>
      </c>
      <c r="P5" s="3">
        <v>63295.3</v>
      </c>
      <c r="Q5" s="6">
        <f t="shared" si="1"/>
        <v>0.20992351981321059</v>
      </c>
      <c r="S5" s="3">
        <v>19500.8</v>
      </c>
    </row>
    <row r="6" spans="1:48" x14ac:dyDescent="0.25">
      <c r="A6" t="s">
        <v>92</v>
      </c>
      <c r="E6">
        <v>3172.48530486452</v>
      </c>
      <c r="F6">
        <v>208</v>
      </c>
      <c r="G6">
        <f t="shared" si="2"/>
        <v>3588.48530486452</v>
      </c>
      <c r="H6" s="6">
        <f>EXP(0.322047512761)</f>
        <v>1.3799503396503578</v>
      </c>
      <c r="I6" s="6">
        <v>0.39662500000000001</v>
      </c>
      <c r="J6" s="6">
        <v>0.58835999999999999</v>
      </c>
      <c r="K6" s="6">
        <v>0.39662500000000001</v>
      </c>
      <c r="L6" s="6">
        <v>0.71433400000000002</v>
      </c>
      <c r="M6" s="3">
        <v>307923</v>
      </c>
      <c r="N6" s="3">
        <v>36739.4</v>
      </c>
      <c r="O6" s="6">
        <f t="shared" si="0"/>
        <v>0.11931359463242434</v>
      </c>
      <c r="P6" s="3">
        <v>59577.1</v>
      </c>
      <c r="Q6" s="6">
        <f t="shared" si="1"/>
        <v>0.19348051298538921</v>
      </c>
      <c r="S6" s="3">
        <v>14129.4</v>
      </c>
    </row>
    <row r="7" spans="1:48" x14ac:dyDescent="0.25">
      <c r="A7" t="s">
        <v>93</v>
      </c>
      <c r="H7" s="6">
        <f>EXP( 0.332814)</f>
        <v>1.39488782520405</v>
      </c>
      <c r="I7" s="6">
        <v>0.411912</v>
      </c>
      <c r="J7" s="6">
        <v>0.76242699999999997</v>
      </c>
      <c r="K7" s="6">
        <v>0.411912</v>
      </c>
      <c r="L7" s="6">
        <v>0.76242699999999997</v>
      </c>
      <c r="M7" s="3">
        <v>306791</v>
      </c>
      <c r="N7" s="3">
        <v>40511.300000000003</v>
      </c>
      <c r="O7" s="6">
        <f>N7/M7</f>
        <v>0.13204852815108659</v>
      </c>
      <c r="P7" s="3">
        <v>58507.1</v>
      </c>
      <c r="Q7" s="6">
        <f t="shared" si="1"/>
        <v>0.19070670260861627</v>
      </c>
      <c r="S7" s="3">
        <v>14326.1</v>
      </c>
    </row>
    <row r="8" spans="1:48" s="15" customFormat="1" x14ac:dyDescent="0.25">
      <c r="A8" t="s">
        <v>94</v>
      </c>
    </row>
    <row r="9" spans="1:48" s="15" customFormat="1" x14ac:dyDescent="0.25">
      <c r="A9" t="s">
        <v>91</v>
      </c>
      <c r="B9"/>
      <c r="C9"/>
      <c r="D9"/>
      <c r="E9"/>
      <c r="F9">
        <v>213</v>
      </c>
      <c r="G9">
        <f>2*F9+E9</f>
        <v>426</v>
      </c>
      <c r="H9" s="6">
        <f>EXP(0.141215947433)</f>
        <v>1.151673322031064</v>
      </c>
      <c r="I9" s="6"/>
      <c r="J9" s="6"/>
      <c r="K9" s="6"/>
      <c r="L9" s="6"/>
      <c r="M9"/>
      <c r="N9"/>
      <c r="O9" s="6"/>
      <c r="P9"/>
      <c r="Q9" s="6"/>
      <c r="R9"/>
      <c r="S9" s="3"/>
    </row>
    <row r="14" spans="1:48" x14ac:dyDescent="0.25">
      <c r="A14" t="s">
        <v>88</v>
      </c>
      <c r="E14">
        <v>2097.2381447039902</v>
      </c>
      <c r="F14">
        <v>209</v>
      </c>
      <c r="G14">
        <f t="shared" ref="G14:G19" si="3">2*F14+E14</f>
        <v>2515.2381447039902</v>
      </c>
      <c r="H14" s="6">
        <f>EXP(0.473474133878)</f>
        <v>1.6055624540899309</v>
      </c>
      <c r="I14" s="6">
        <v>0.42111003196300001</v>
      </c>
      <c r="J14" s="6">
        <v>0.67643869410599999</v>
      </c>
      <c r="K14" s="6">
        <v>0.42111003196300001</v>
      </c>
      <c r="L14" s="6">
        <v>0.67643869410599999</v>
      </c>
      <c r="M14">
        <v>296318</v>
      </c>
      <c r="N14">
        <v>45258</v>
      </c>
      <c r="O14" s="6">
        <f t="shared" ref="O14:O19" si="4">N14/M14</f>
        <v>0.15273456219331935</v>
      </c>
      <c r="P14">
        <v>69932.800000000003</v>
      </c>
      <c r="Q14" s="6">
        <f t="shared" ref="Q14:Q19" si="5">P14/M14</f>
        <v>0.23600591256690448</v>
      </c>
      <c r="S14" s="3">
        <v>19233.3</v>
      </c>
    </row>
    <row r="15" spans="1:48" x14ac:dyDescent="0.25">
      <c r="A15" t="s">
        <v>84</v>
      </c>
      <c r="B15">
        <v>2.2533319999999999E-2</v>
      </c>
      <c r="C15">
        <v>1.7955720000000001E-2</v>
      </c>
      <c r="D15">
        <v>8.7143250000000005E-2</v>
      </c>
      <c r="E15">
        <v>2086.20833391517</v>
      </c>
      <c r="F15">
        <v>213</v>
      </c>
      <c r="G15">
        <f t="shared" si="3"/>
        <v>2512.20833391517</v>
      </c>
      <c r="H15" s="6">
        <f>EXP(0.371159)</f>
        <v>1.4494135118146827</v>
      </c>
      <c r="I15" s="6">
        <v>0.45173999999999997</v>
      </c>
      <c r="J15" s="6">
        <v>0.65576500000000004</v>
      </c>
      <c r="K15" s="6">
        <v>0.45173999999999997</v>
      </c>
      <c r="L15" s="6">
        <v>0.65576500000000004</v>
      </c>
      <c r="M15">
        <v>343541</v>
      </c>
      <c r="N15">
        <v>134597</v>
      </c>
      <c r="O15" s="6">
        <f t="shared" si="4"/>
        <v>0.39179311930744803</v>
      </c>
      <c r="P15">
        <v>161695</v>
      </c>
      <c r="Q15" s="6">
        <f t="shared" si="5"/>
        <v>0.47067162289217301</v>
      </c>
      <c r="S15" s="3">
        <v>79738.7</v>
      </c>
    </row>
    <row r="16" spans="1:48" x14ac:dyDescent="0.25">
      <c r="A16" s="15" t="s">
        <v>85</v>
      </c>
      <c r="B16" s="15">
        <v>0.15054670000000001</v>
      </c>
      <c r="C16" s="15">
        <v>0.12801470000000001</v>
      </c>
      <c r="D16" s="15">
        <v>0.17349880000000001</v>
      </c>
      <c r="E16" s="15">
        <v>2078.1236461379399</v>
      </c>
      <c r="F16" s="15">
        <v>212</v>
      </c>
      <c r="G16" s="15">
        <f t="shared" si="3"/>
        <v>2502.1236461379399</v>
      </c>
      <c r="H16" s="16">
        <f>EXP(0.149343)</f>
        <v>1.1610711683281993</v>
      </c>
      <c r="I16" s="16">
        <v>0.44911888271599998</v>
      </c>
      <c r="J16" s="16">
        <v>0.71377642265399999</v>
      </c>
      <c r="K16" s="16">
        <v>0.44911888271599998</v>
      </c>
      <c r="L16" s="16">
        <v>0.71377642265399999</v>
      </c>
      <c r="M16" s="15">
        <v>303209</v>
      </c>
      <c r="N16" s="15">
        <v>49201.2</v>
      </c>
      <c r="O16" s="16">
        <f t="shared" si="4"/>
        <v>0.16226827040094455</v>
      </c>
      <c r="P16" s="15">
        <v>74040.5</v>
      </c>
      <c r="Q16" s="16">
        <f t="shared" si="5"/>
        <v>0.24418965136259149</v>
      </c>
      <c r="R16" s="15"/>
      <c r="S16" s="17">
        <v>24666.9</v>
      </c>
    </row>
    <row r="17" spans="1:19" x14ac:dyDescent="0.25">
      <c r="A17" s="15" t="s">
        <v>90</v>
      </c>
      <c r="B17" s="15">
        <v>0.15054670000000001</v>
      </c>
      <c r="C17" s="15">
        <v>0.12801470000000001</v>
      </c>
      <c r="D17" s="15">
        <v>0.17349880000000001</v>
      </c>
      <c r="E17" s="15">
        <v>3170.8218927481598</v>
      </c>
      <c r="F17" s="15">
        <v>209</v>
      </c>
      <c r="G17" s="15">
        <f t="shared" si="3"/>
        <v>3588.8218927481598</v>
      </c>
      <c r="H17" s="16">
        <f>EXP(0.149343)</f>
        <v>1.1610711683281993</v>
      </c>
      <c r="I17" s="16">
        <v>0.43279591731299999</v>
      </c>
      <c r="J17" s="16">
        <v>0.74625370516300005</v>
      </c>
      <c r="K17" s="16">
        <v>0.43279591731299999</v>
      </c>
      <c r="L17" s="16">
        <v>0.74625370516300005</v>
      </c>
      <c r="M17" s="15">
        <v>319371</v>
      </c>
      <c r="N17" s="15">
        <v>40552</v>
      </c>
      <c r="O17" s="16">
        <f t="shared" si="4"/>
        <v>0.12697458441749565</v>
      </c>
      <c r="P17" s="15">
        <v>63745.2</v>
      </c>
      <c r="Q17" s="16">
        <f t="shared" si="5"/>
        <v>0.19959608104680762</v>
      </c>
      <c r="R17" s="15"/>
      <c r="S17" s="17">
        <v>17273.599999999999</v>
      </c>
    </row>
    <row r="18" spans="1:19" x14ac:dyDescent="0.25">
      <c r="A18" t="s">
        <v>33</v>
      </c>
      <c r="B18">
        <v>0.1235253</v>
      </c>
      <c r="C18">
        <v>7.4938379999999999E-2</v>
      </c>
      <c r="D18">
        <v>0.15092739999999999</v>
      </c>
      <c r="E18">
        <v>2079.05729538991</v>
      </c>
      <c r="F18">
        <v>213</v>
      </c>
      <c r="G18">
        <f t="shared" si="3"/>
        <v>2505.05729538991</v>
      </c>
      <c r="H18" s="6">
        <f>EXP(0.351405)</f>
        <v>1.4210627397926352</v>
      </c>
      <c r="I18" s="6">
        <v>0.370946</v>
      </c>
      <c r="J18" s="6">
        <v>0.93368399999999996</v>
      </c>
      <c r="K18" s="6">
        <v>0.44329000000000002</v>
      </c>
      <c r="L18" s="6">
        <v>0.832368</v>
      </c>
      <c r="M18">
        <v>321072</v>
      </c>
      <c r="N18">
        <v>83799.8</v>
      </c>
      <c r="O18" s="6">
        <f t="shared" si="4"/>
        <v>0.26100002491652963</v>
      </c>
      <c r="P18">
        <v>114623</v>
      </c>
      <c r="Q18" s="6">
        <f t="shared" si="5"/>
        <v>0.35700092191159616</v>
      </c>
      <c r="S18" s="3">
        <v>53998.5</v>
      </c>
    </row>
    <row r="19" spans="1:19" x14ac:dyDescent="0.25">
      <c r="A19" t="s">
        <v>41</v>
      </c>
      <c r="B19">
        <v>0.2630844</v>
      </c>
      <c r="C19">
        <v>0.14978279999999999</v>
      </c>
      <c r="D19">
        <v>0.1780043</v>
      </c>
      <c r="E19">
        <v>2083.8106980387702</v>
      </c>
      <c r="F19">
        <v>211</v>
      </c>
      <c r="G19">
        <f t="shared" si="3"/>
        <v>2505.8106980387702</v>
      </c>
      <c r="H19" s="16">
        <v>1</v>
      </c>
      <c r="I19" s="6">
        <v>0.370946</v>
      </c>
      <c r="J19" s="6">
        <v>0.98874600000000001</v>
      </c>
      <c r="K19" s="6">
        <v>0.44755600000000001</v>
      </c>
      <c r="L19" s="6">
        <v>0.85958000000000001</v>
      </c>
      <c r="M19">
        <v>331518</v>
      </c>
      <c r="N19">
        <v>88526.2</v>
      </c>
      <c r="O19" s="6">
        <f t="shared" si="4"/>
        <v>0.26703286096079248</v>
      </c>
      <c r="P19">
        <v>118856</v>
      </c>
      <c r="Q19" s="6">
        <f t="shared" si="5"/>
        <v>0.3585205026574726</v>
      </c>
      <c r="S19" s="3">
        <v>57072.6</v>
      </c>
    </row>
    <row r="20" spans="1:19" x14ac:dyDescent="0.25">
      <c r="A20" t="s">
        <v>91</v>
      </c>
      <c r="H20" s="16"/>
      <c r="I20" s="6"/>
      <c r="J20" s="6"/>
      <c r="K20" s="6"/>
      <c r="L20" s="6"/>
      <c r="O20" s="6"/>
      <c r="Q20" s="6"/>
      <c r="S20" s="3"/>
    </row>
    <row r="21" spans="1:19" x14ac:dyDescent="0.25">
      <c r="A21" t="s">
        <v>75</v>
      </c>
      <c r="F21">
        <v>217</v>
      </c>
      <c r="G21">
        <f>2*F21+E21</f>
        <v>434</v>
      </c>
      <c r="H21" s="6">
        <v>1</v>
      </c>
      <c r="O21" s="6" t="e">
        <f>N21/M21</f>
        <v>#DIV/0!</v>
      </c>
      <c r="Q21" s="6" t="e">
        <f>P21/M21</f>
        <v>#DIV/0!</v>
      </c>
      <c r="S21" s="3"/>
    </row>
  </sheetData>
  <conditionalFormatting sqref="O2:O7 O9">
    <cfRule type="colorScale" priority="2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:Q7 Q9">
    <cfRule type="colorScale" priority="2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B6 B9">
    <cfRule type="colorScale" priority="2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6 C9">
    <cfRule type="colorScale" priority="2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6 D9">
    <cfRule type="colorScale" priority="2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:M6 M9">
    <cfRule type="colorScale" priority="2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6 H9">
    <cfRule type="colorScale" priority="2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:M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27"/>
  <sheetViews>
    <sheetView workbookViewId="0">
      <selection activeCell="Q10" sqref="P10:Q10"/>
    </sheetView>
  </sheetViews>
  <sheetFormatPr defaultRowHeight="15" x14ac:dyDescent="0.25"/>
  <cols>
    <col min="1" max="1" width="10.7109375" customWidth="1"/>
    <col min="2" max="2" width="9.28515625" customWidth="1"/>
    <col min="3" max="3" width="8.5703125" customWidth="1"/>
    <col min="4" max="4" width="8" customWidth="1"/>
    <col min="5" max="5" width="7" customWidth="1"/>
    <col min="6" max="6" width="9.7109375" customWidth="1"/>
    <col min="7" max="7" width="7" customWidth="1"/>
    <col min="8" max="8" width="7.7109375" customWidth="1"/>
    <col min="9" max="9" width="8.42578125" customWidth="1"/>
    <col min="10" max="10" width="8.5703125" customWidth="1"/>
    <col min="11" max="11" width="13" customWidth="1"/>
    <col min="12" max="12" width="15.28515625" bestFit="1" customWidth="1"/>
    <col min="13" max="13" width="17.42578125" customWidth="1"/>
    <col min="14" max="14" width="16.5703125" customWidth="1"/>
    <col min="15" max="15" width="14.28515625" customWidth="1"/>
    <col min="16" max="16" width="12.140625" customWidth="1"/>
    <col min="17" max="18" width="11.5703125" bestFit="1" customWidth="1"/>
    <col min="20" max="20" width="11.5703125" bestFit="1" customWidth="1"/>
    <col min="23" max="23" width="10.5703125" bestFit="1" customWidth="1"/>
  </cols>
  <sheetData>
    <row r="1" spans="1:53" ht="17.25" customHeight="1" x14ac:dyDescent="0.25">
      <c r="A1" s="34"/>
      <c r="B1" s="34"/>
      <c r="C1" s="34"/>
      <c r="D1" s="34"/>
      <c r="E1" s="34"/>
      <c r="F1" s="34"/>
      <c r="G1" s="34"/>
      <c r="H1" s="91" t="s">
        <v>186</v>
      </c>
      <c r="I1" s="91"/>
      <c r="J1" s="91"/>
      <c r="L1" s="34"/>
      <c r="AD1" t="s">
        <v>45</v>
      </c>
      <c r="AE1" t="s">
        <v>48</v>
      </c>
      <c r="AF1" t="s">
        <v>46</v>
      </c>
      <c r="AG1" t="s">
        <v>47</v>
      </c>
      <c r="AI1" t="s">
        <v>57</v>
      </c>
      <c r="AJ1" t="s">
        <v>58</v>
      </c>
      <c r="AK1" t="s">
        <v>59</v>
      </c>
      <c r="AL1" t="s">
        <v>60</v>
      </c>
      <c r="AN1" t="s">
        <v>49</v>
      </c>
      <c r="AO1" t="s">
        <v>50</v>
      </c>
      <c r="AP1" t="s">
        <v>51</v>
      </c>
      <c r="AQ1" t="s">
        <v>52</v>
      </c>
      <c r="AS1" t="s">
        <v>61</v>
      </c>
      <c r="AT1" t="s">
        <v>62</v>
      </c>
      <c r="AU1" t="s">
        <v>63</v>
      </c>
      <c r="AV1" t="s">
        <v>64</v>
      </c>
      <c r="AX1" t="s">
        <v>65</v>
      </c>
      <c r="AY1" t="s">
        <v>66</v>
      </c>
      <c r="AZ1" t="s">
        <v>67</v>
      </c>
      <c r="BA1" t="s">
        <v>68</v>
      </c>
    </row>
    <row r="2" spans="1:53" ht="35.25" thickBot="1" x14ac:dyDescent="0.3">
      <c r="A2" s="46"/>
      <c r="B2" s="78" t="s">
        <v>201</v>
      </c>
      <c r="C2" s="79" t="s">
        <v>182</v>
      </c>
      <c r="D2" s="80" t="s">
        <v>183</v>
      </c>
      <c r="E2" s="79" t="s">
        <v>31</v>
      </c>
      <c r="F2" s="80" t="s">
        <v>184</v>
      </c>
      <c r="G2" s="79" t="s">
        <v>180</v>
      </c>
      <c r="H2" s="79" t="s">
        <v>185</v>
      </c>
      <c r="I2" s="79" t="s">
        <v>208</v>
      </c>
      <c r="J2" s="79" t="s">
        <v>13</v>
      </c>
      <c r="L2" s="46"/>
      <c r="M2" t="s">
        <v>181</v>
      </c>
      <c r="N2" t="s">
        <v>21</v>
      </c>
      <c r="O2" t="s">
        <v>22</v>
      </c>
      <c r="P2" t="s">
        <v>23</v>
      </c>
      <c r="Q2" t="s">
        <v>34</v>
      </c>
      <c r="R2" t="s">
        <v>24</v>
      </c>
      <c r="S2" t="s">
        <v>25</v>
      </c>
      <c r="T2" t="s">
        <v>26</v>
      </c>
      <c r="U2" t="s">
        <v>30</v>
      </c>
      <c r="V2" t="s">
        <v>27</v>
      </c>
      <c r="X2" t="s">
        <v>86</v>
      </c>
    </row>
    <row r="3" spans="1:53" ht="15.75" thickTop="1" x14ac:dyDescent="0.25">
      <c r="A3" s="68" t="s">
        <v>83</v>
      </c>
      <c r="B3" s="66"/>
      <c r="C3" s="51">
        <v>201</v>
      </c>
      <c r="D3" s="69">
        <v>3190.0237218909301</v>
      </c>
      <c r="E3" s="69">
        <f t="shared" ref="E3:E12" si="0">2*C3+2*D3</f>
        <v>6782.0474437818602</v>
      </c>
      <c r="F3" s="69">
        <v>3356.6410000000001</v>
      </c>
      <c r="G3" s="69">
        <v>7115.2820000000002</v>
      </c>
      <c r="H3" s="70">
        <v>8.0967999999999998E-2</v>
      </c>
      <c r="I3" s="70">
        <v>8.4573750000000003E-2</v>
      </c>
      <c r="J3" s="70">
        <v>0.15150569999999999</v>
      </c>
      <c r="L3" s="21" t="s">
        <v>83</v>
      </c>
      <c r="M3" s="6">
        <f>EXP(0.147111)</f>
        <v>1.1584825474560552</v>
      </c>
      <c r="N3" s="6"/>
      <c r="O3" s="6"/>
      <c r="P3" s="6">
        <v>0.46648810417600001</v>
      </c>
      <c r="Q3" s="6">
        <v>0.823052287341</v>
      </c>
      <c r="R3" s="3">
        <v>413547</v>
      </c>
      <c r="S3" s="3">
        <v>89117.2</v>
      </c>
      <c r="T3" s="6">
        <f t="shared" ref="T3:T8" si="1">S3/R3</f>
        <v>0.215494732158618</v>
      </c>
      <c r="U3" s="3">
        <v>113591</v>
      </c>
      <c r="V3" s="6">
        <f t="shared" ref="V3" si="2">U3/R3</f>
        <v>0.27467494625762007</v>
      </c>
      <c r="X3" s="3">
        <v>39561.199999999997</v>
      </c>
    </row>
    <row r="4" spans="1:53" x14ac:dyDescent="0.25">
      <c r="A4" s="71" t="s">
        <v>96</v>
      </c>
      <c r="B4" s="66"/>
      <c r="C4" s="51">
        <v>202</v>
      </c>
      <c r="D4" s="69">
        <v>3210.5415460988402</v>
      </c>
      <c r="E4" s="69">
        <f t="shared" si="0"/>
        <v>6825.0830921976803</v>
      </c>
      <c r="F4" s="69">
        <v>3368.6590000000001</v>
      </c>
      <c r="G4" s="69">
        <v>7139.317</v>
      </c>
      <c r="H4" s="70">
        <v>8.653885E-2</v>
      </c>
      <c r="I4" s="70">
        <v>7.0997439999999995E-2</v>
      </c>
      <c r="J4" s="70">
        <v>0.16248950000000001</v>
      </c>
      <c r="L4" s="22" t="s">
        <v>96</v>
      </c>
      <c r="M4" s="6">
        <f>EXP(0.149343)</f>
        <v>1.1610711683281993</v>
      </c>
      <c r="N4" s="6"/>
      <c r="O4" s="6"/>
      <c r="P4" s="6">
        <v>0.46666785267900002</v>
      </c>
      <c r="Q4" s="6">
        <v>0.74500872097600002</v>
      </c>
      <c r="R4" s="3">
        <v>365054</v>
      </c>
      <c r="S4" s="3">
        <v>120942</v>
      </c>
      <c r="T4" s="6">
        <f t="shared" si="1"/>
        <v>0.33129893111704023</v>
      </c>
      <c r="U4" s="3">
        <v>155700</v>
      </c>
      <c r="V4" s="6">
        <f t="shared" ref="V4:V10" si="3">U4/R4</f>
        <v>0.42651224202446764</v>
      </c>
      <c r="X4" s="3">
        <v>81498</v>
      </c>
    </row>
    <row r="5" spans="1:53" x14ac:dyDescent="0.25">
      <c r="A5" s="68" t="s">
        <v>88</v>
      </c>
      <c r="B5" s="66" t="s">
        <v>156</v>
      </c>
      <c r="C5" s="51">
        <v>204</v>
      </c>
      <c r="D5" s="69">
        <v>3202.8480941545399</v>
      </c>
      <c r="E5" s="69">
        <f t="shared" si="0"/>
        <v>6813.6961883090798</v>
      </c>
      <c r="F5" s="69">
        <v>3372.1419999999998</v>
      </c>
      <c r="G5" s="69">
        <v>7152.2839999999997</v>
      </c>
      <c r="H5" s="70">
        <v>0.1287547</v>
      </c>
      <c r="I5" s="70">
        <v>7.9524750000000005E-2</v>
      </c>
      <c r="J5" s="70">
        <v>0.1775243</v>
      </c>
      <c r="L5" s="21" t="s">
        <v>88</v>
      </c>
      <c r="M5" s="6">
        <f>EXP(0.204665362068)</f>
        <v>1.2271143572369849</v>
      </c>
      <c r="N5" s="6"/>
      <c r="O5" s="6"/>
      <c r="P5" s="6">
        <v>0.44454020009799999</v>
      </c>
      <c r="Q5" s="6">
        <v>0.74481432984100004</v>
      </c>
      <c r="R5" s="3">
        <v>361744</v>
      </c>
      <c r="S5" s="3">
        <v>117780</v>
      </c>
      <c r="T5" s="6">
        <f t="shared" si="1"/>
        <v>0.32558936706621255</v>
      </c>
      <c r="U5" s="3">
        <v>154538</v>
      </c>
      <c r="V5" s="6">
        <f t="shared" si="3"/>
        <v>0.42720266265646423</v>
      </c>
      <c r="X5" s="3">
        <v>78617</v>
      </c>
      <c r="Y5" t="s">
        <v>156</v>
      </c>
    </row>
    <row r="6" spans="1:53" x14ac:dyDescent="0.25">
      <c r="A6" s="68" t="s">
        <v>92</v>
      </c>
      <c r="B6" s="66" t="s">
        <v>202</v>
      </c>
      <c r="C6" s="51">
        <v>201</v>
      </c>
      <c r="D6" s="69">
        <v>3194.1126796326198</v>
      </c>
      <c r="E6" s="69">
        <f t="shared" si="0"/>
        <v>6790.2253592652396</v>
      </c>
      <c r="F6" s="69">
        <v>3352.2080000000001</v>
      </c>
      <c r="G6" s="69">
        <v>7106.4160000000002</v>
      </c>
      <c r="H6" s="70">
        <v>0.1008503</v>
      </c>
      <c r="I6" s="70">
        <v>6.3226190000000002E-2</v>
      </c>
      <c r="J6" s="70">
        <v>0.15945190000000001</v>
      </c>
      <c r="L6" s="21" t="s">
        <v>92</v>
      </c>
      <c r="M6" s="6">
        <f>EXP(0.0972149)</f>
        <v>1.1020971888601878</v>
      </c>
      <c r="P6" s="6">
        <v>0.45219999999999999</v>
      </c>
      <c r="Q6" s="6">
        <v>0.91707399999999994</v>
      </c>
      <c r="R6" s="3">
        <v>347329</v>
      </c>
      <c r="S6" s="3">
        <v>78974.399999999994</v>
      </c>
      <c r="T6" s="6">
        <f t="shared" si="1"/>
        <v>0.22737634922508629</v>
      </c>
      <c r="U6" s="3">
        <v>109882</v>
      </c>
      <c r="V6" s="6">
        <f t="shared" si="3"/>
        <v>0.31636287208957503</v>
      </c>
      <c r="X6" s="3">
        <v>48680.7</v>
      </c>
      <c r="Y6" t="s">
        <v>23</v>
      </c>
    </row>
    <row r="7" spans="1:53" x14ac:dyDescent="0.25">
      <c r="A7" s="68" t="s">
        <v>93</v>
      </c>
      <c r="B7" s="66" t="s">
        <v>122</v>
      </c>
      <c r="C7" s="51">
        <v>203</v>
      </c>
      <c r="D7" s="69">
        <v>3205.0711933890898</v>
      </c>
      <c r="E7" s="69">
        <f t="shared" si="0"/>
        <v>6816.1423867781796</v>
      </c>
      <c r="F7" s="69">
        <v>3368.7310000000002</v>
      </c>
      <c r="G7" s="69">
        <v>7141.4620000000004</v>
      </c>
      <c r="H7" s="70">
        <v>8.5659529999999998E-2</v>
      </c>
      <c r="I7" s="70">
        <v>6.7103369999999996E-2</v>
      </c>
      <c r="J7" s="70">
        <v>0.1452281</v>
      </c>
      <c r="L7" s="21" t="s">
        <v>93</v>
      </c>
      <c r="M7" s="6">
        <f>EXP(0.137192727879)</f>
        <v>1.147049195577321</v>
      </c>
      <c r="P7" s="6">
        <v>0.47234512943899998</v>
      </c>
      <c r="Q7" s="6">
        <v>0.74747737680199999</v>
      </c>
      <c r="R7" s="3">
        <v>368363</v>
      </c>
      <c r="S7" s="3">
        <v>117788</v>
      </c>
      <c r="T7" s="6">
        <f t="shared" si="1"/>
        <v>0.3197606708599941</v>
      </c>
      <c r="U7" s="3">
        <v>152538</v>
      </c>
      <c r="V7" s="6">
        <f t="shared" si="3"/>
        <v>0.41409696413592029</v>
      </c>
      <c r="X7" s="3">
        <v>81084</v>
      </c>
      <c r="Y7" t="s">
        <v>122</v>
      </c>
    </row>
    <row r="8" spans="1:53" x14ac:dyDescent="0.25">
      <c r="A8" s="68" t="s">
        <v>153</v>
      </c>
      <c r="B8" s="66" t="s">
        <v>203</v>
      </c>
      <c r="C8" s="51">
        <v>202</v>
      </c>
      <c r="D8" s="69">
        <v>3191.0537928488802</v>
      </c>
      <c r="E8" s="69">
        <f t="shared" si="0"/>
        <v>6786.1075856977604</v>
      </c>
      <c r="F8" s="69">
        <v>3354.788</v>
      </c>
      <c r="G8" s="69">
        <v>7113.576</v>
      </c>
      <c r="H8" s="70">
        <v>0.10356609999999999</v>
      </c>
      <c r="I8" s="70">
        <v>5.4127769999999999E-2</v>
      </c>
      <c r="J8" s="70">
        <v>0.15108859999999999</v>
      </c>
      <c r="L8" s="21" t="s">
        <v>153</v>
      </c>
      <c r="M8" s="6">
        <f>EXP(0.0892040112313)</f>
        <v>1.0933036798058113</v>
      </c>
      <c r="N8" s="6">
        <v>0.37214301497300001</v>
      </c>
      <c r="O8" s="6">
        <v>1.0906604014500001</v>
      </c>
      <c r="P8" s="6">
        <v>0.45664900000000003</v>
      </c>
      <c r="Q8" s="6">
        <v>0.91114300000000004</v>
      </c>
      <c r="R8" s="3">
        <v>350759</v>
      </c>
      <c r="S8" s="3">
        <v>78705.100000000006</v>
      </c>
      <c r="T8" s="6">
        <f t="shared" si="1"/>
        <v>0.22438511912737807</v>
      </c>
      <c r="U8" s="3">
        <v>109440</v>
      </c>
      <c r="V8" s="6">
        <f t="shared" si="3"/>
        <v>0.31200910026542439</v>
      </c>
      <c r="X8" s="3">
        <v>48300.7</v>
      </c>
      <c r="Y8" t="s">
        <v>154</v>
      </c>
    </row>
    <row r="9" spans="1:53" x14ac:dyDescent="0.25">
      <c r="A9" s="68" t="s">
        <v>94</v>
      </c>
      <c r="B9" s="66" t="s">
        <v>204</v>
      </c>
      <c r="C9" s="51">
        <v>205</v>
      </c>
      <c r="D9" s="69">
        <v>3182.09</v>
      </c>
      <c r="E9" s="69">
        <f t="shared" si="0"/>
        <v>6774.18</v>
      </c>
      <c r="F9" s="69">
        <v>3356.3029999999999</v>
      </c>
      <c r="G9" s="69">
        <v>7122.6049999999996</v>
      </c>
      <c r="H9" s="70">
        <v>0.16378309999999999</v>
      </c>
      <c r="I9" s="70">
        <v>7.2308789999999998E-2</v>
      </c>
      <c r="J9" s="70">
        <v>0.1830977</v>
      </c>
      <c r="L9" s="21" t="s">
        <v>94</v>
      </c>
      <c r="M9" s="6">
        <f>EXP(0.151513367935)</f>
        <v>1.1635938565527486</v>
      </c>
      <c r="N9" s="6">
        <v>0.34570200000000001</v>
      </c>
      <c r="O9" s="6">
        <v>1.17354</v>
      </c>
      <c r="P9" s="6">
        <v>0.43663000000000002</v>
      </c>
      <c r="Q9" s="6">
        <v>0.92566000000000004</v>
      </c>
      <c r="R9" s="3">
        <v>345360</v>
      </c>
      <c r="S9" s="3">
        <v>74584.5</v>
      </c>
      <c r="T9" s="6">
        <f>S9/R9</f>
        <v>0.21596160528144545</v>
      </c>
      <c r="U9" s="3">
        <v>105685</v>
      </c>
      <c r="V9" s="6">
        <f t="shared" si="3"/>
        <v>0.30601401436182535</v>
      </c>
      <c r="X9" s="3">
        <v>44742.6</v>
      </c>
      <c r="Y9" t="s">
        <v>123</v>
      </c>
    </row>
    <row r="10" spans="1:53" x14ac:dyDescent="0.25">
      <c r="A10" s="68" t="s">
        <v>158</v>
      </c>
      <c r="B10" s="66" t="s">
        <v>205</v>
      </c>
      <c r="C10" s="51">
        <v>205</v>
      </c>
      <c r="D10" s="69">
        <v>2039.61508176179</v>
      </c>
      <c r="E10" s="69">
        <f t="shared" si="0"/>
        <v>4489.2301635235799</v>
      </c>
      <c r="F10" s="69">
        <v>2149.107</v>
      </c>
      <c r="G10" s="69">
        <v>4708.2139999999999</v>
      </c>
      <c r="H10" s="70">
        <v>0.16414889999999999</v>
      </c>
      <c r="I10" s="70">
        <v>0.1198944</v>
      </c>
      <c r="J10" s="70">
        <v>0.1980643</v>
      </c>
      <c r="L10" s="21" t="s">
        <v>158</v>
      </c>
      <c r="M10" s="6">
        <f>EXP(0.356514)</f>
        <v>1.4283415271600692</v>
      </c>
      <c r="N10" s="6">
        <v>0.36758000000000002</v>
      </c>
      <c r="O10" s="6">
        <v>0.983962</v>
      </c>
      <c r="P10" s="6">
        <v>0.44381900000000002</v>
      </c>
      <c r="Q10" s="6">
        <v>0.85384899999999997</v>
      </c>
      <c r="R10" s="3">
        <v>318939</v>
      </c>
      <c r="S10" s="3">
        <v>79771.600000000006</v>
      </c>
      <c r="T10" s="6">
        <f>S10/R10</f>
        <v>0.25011553933510799</v>
      </c>
      <c r="U10" s="3">
        <v>110754</v>
      </c>
      <c r="V10" s="6">
        <f t="shared" si="3"/>
        <v>0.34725762606642652</v>
      </c>
      <c r="X10" s="3">
        <v>51394.9</v>
      </c>
      <c r="Y10" t="s">
        <v>129</v>
      </c>
    </row>
    <row r="11" spans="1:53" x14ac:dyDescent="0.25">
      <c r="A11" s="68" t="s">
        <v>97</v>
      </c>
      <c r="B11" s="66" t="s">
        <v>206</v>
      </c>
      <c r="C11" s="72">
        <v>205</v>
      </c>
      <c r="D11" s="73">
        <v>3168.6866401821198</v>
      </c>
      <c r="E11" s="73">
        <f t="shared" si="0"/>
        <v>6747.3732803642397</v>
      </c>
      <c r="F11" s="73">
        <v>3343.614</v>
      </c>
      <c r="G11" s="73">
        <v>7097.2280000000001</v>
      </c>
      <c r="H11" s="74">
        <v>0.1317825</v>
      </c>
      <c r="I11" s="74">
        <v>0.120614</v>
      </c>
      <c r="J11" s="74">
        <v>0.22258240000000001</v>
      </c>
      <c r="L11" s="21" t="s">
        <v>97</v>
      </c>
      <c r="M11" s="16">
        <f>EXP(0.30679622332)</f>
        <v>1.3590639943038749</v>
      </c>
      <c r="N11" s="16">
        <v>0.40371703721500002</v>
      </c>
      <c r="O11" s="16">
        <v>0.57211591333400003</v>
      </c>
      <c r="P11" s="16">
        <v>0.40371703721500002</v>
      </c>
      <c r="Q11" s="16">
        <v>0.71539200000000003</v>
      </c>
      <c r="R11" s="17">
        <v>310786</v>
      </c>
      <c r="S11" s="17">
        <v>37250.5</v>
      </c>
      <c r="T11" s="6">
        <f>S11/R11</f>
        <v>0.11985900265777738</v>
      </c>
      <c r="U11" s="17">
        <v>60164.2</v>
      </c>
      <c r="V11" s="6">
        <f>U11/R11</f>
        <v>0.1935872272238775</v>
      </c>
      <c r="W11" s="15"/>
      <c r="X11" s="17">
        <v>14536.4</v>
      </c>
      <c r="Y11" t="s">
        <v>155</v>
      </c>
    </row>
    <row r="12" spans="1:53" s="15" customFormat="1" ht="15.75" thickBot="1" x14ac:dyDescent="0.3">
      <c r="A12" s="75" t="s">
        <v>157</v>
      </c>
      <c r="B12" s="67" t="s">
        <v>207</v>
      </c>
      <c r="C12" s="54">
        <v>205</v>
      </c>
      <c r="D12" s="76">
        <v>2036.43153788429</v>
      </c>
      <c r="E12" s="76">
        <f t="shared" si="0"/>
        <v>4482.8630757685805</v>
      </c>
      <c r="F12" s="76">
        <v>2149.752</v>
      </c>
      <c r="G12" s="76">
        <v>4709.5029999999997</v>
      </c>
      <c r="H12" s="77">
        <v>-4.6829320000000001E-2</v>
      </c>
      <c r="I12" s="77">
        <v>-1.500158E-2</v>
      </c>
      <c r="J12" s="77">
        <v>7.7778299999999995E-2</v>
      </c>
      <c r="K12"/>
      <c r="L12" s="48" t="s">
        <v>157</v>
      </c>
      <c r="M12" s="6">
        <f>EXP(0.473060392786)</f>
        <v>1.6048983043293992</v>
      </c>
      <c r="N12" s="6">
        <v>0.40847573365200002</v>
      </c>
      <c r="O12" s="6">
        <v>0.50761393497700003</v>
      </c>
      <c r="P12" s="6">
        <v>0.40847573365200002</v>
      </c>
      <c r="Q12" s="6">
        <v>0.67861000000000005</v>
      </c>
      <c r="R12" s="3">
        <v>300363</v>
      </c>
      <c r="S12" s="3">
        <v>42898.2</v>
      </c>
      <c r="T12" s="6">
        <f t="shared" ref="T12" si="4">S12/R12</f>
        <v>0.14282118636449895</v>
      </c>
      <c r="U12" s="3">
        <v>67785.899999999994</v>
      </c>
      <c r="V12" s="6">
        <f t="shared" ref="V12" si="5">U12/R12</f>
        <v>0.22567992728798153</v>
      </c>
      <c r="W12"/>
      <c r="X12" s="3">
        <v>18754.900000000001</v>
      </c>
      <c r="Y12" t="s">
        <v>152</v>
      </c>
    </row>
    <row r="13" spans="1:53" s="15" customFormat="1" x14ac:dyDescent="0.25">
      <c r="C13"/>
      <c r="D13"/>
      <c r="R13"/>
      <c r="S13"/>
      <c r="T13"/>
      <c r="U13"/>
      <c r="V13"/>
      <c r="W13"/>
    </row>
    <row r="14" spans="1:53" x14ac:dyDescent="0.25">
      <c r="A14" s="15"/>
      <c r="B14" s="15"/>
    </row>
    <row r="15" spans="1:53" x14ac:dyDescent="0.25">
      <c r="A15" s="15"/>
      <c r="B15" s="15"/>
      <c r="R15" s="3"/>
      <c r="S15" s="6"/>
      <c r="T15" s="3"/>
      <c r="U15" s="6"/>
      <c r="W15" s="3"/>
    </row>
    <row r="16" spans="1:53" x14ac:dyDescent="0.25">
      <c r="A16" s="15"/>
      <c r="B16" s="15"/>
      <c r="R16" s="3"/>
      <c r="S16" s="6"/>
      <c r="T16" s="3"/>
      <c r="U16" s="6"/>
      <c r="W16" s="3"/>
    </row>
    <row r="18" spans="1:15" x14ac:dyDescent="0.25">
      <c r="O18" s="70">
        <v>8.4573750000000003E-2</v>
      </c>
    </row>
    <row r="19" spans="1:15" x14ac:dyDescent="0.25">
      <c r="O19" s="70">
        <v>7.0997439999999995E-2</v>
      </c>
    </row>
    <row r="20" spans="1:15" x14ac:dyDescent="0.25">
      <c r="A20" s="3">
        <v>413547</v>
      </c>
      <c r="B20" s="3"/>
      <c r="C20" s="3">
        <v>365054</v>
      </c>
      <c r="D20" s="3">
        <v>361744</v>
      </c>
      <c r="E20" s="3">
        <v>347329</v>
      </c>
      <c r="F20" s="3">
        <v>368363</v>
      </c>
      <c r="G20" s="3">
        <v>350759</v>
      </c>
      <c r="H20" s="3">
        <v>345360</v>
      </c>
      <c r="I20" s="3">
        <v>318939</v>
      </c>
      <c r="J20" s="3"/>
      <c r="K20" s="17">
        <v>310786</v>
      </c>
      <c r="L20" s="3">
        <v>300363</v>
      </c>
      <c r="O20" s="70">
        <v>7.9524750000000005E-2</v>
      </c>
    </row>
    <row r="21" spans="1:15" x14ac:dyDescent="0.25">
      <c r="O21" s="70">
        <v>6.3226190000000002E-2</v>
      </c>
    </row>
    <row r="22" spans="1:15" x14ac:dyDescent="0.25">
      <c r="O22" s="70">
        <v>6.7103369999999996E-2</v>
      </c>
    </row>
    <row r="23" spans="1:15" x14ac:dyDescent="0.25">
      <c r="A23" s="19">
        <f>A20/1000</f>
        <v>413.54700000000003</v>
      </c>
      <c r="B23" s="19"/>
      <c r="C23" s="19">
        <f t="shared" ref="C23:L23" si="6">C20/1000</f>
        <v>365.05399999999997</v>
      </c>
      <c r="D23" s="19">
        <f t="shared" si="6"/>
        <v>361.74400000000003</v>
      </c>
      <c r="E23" s="19">
        <f t="shared" si="6"/>
        <v>347.32900000000001</v>
      </c>
      <c r="F23" s="19">
        <f t="shared" si="6"/>
        <v>368.363</v>
      </c>
      <c r="G23" s="19">
        <f t="shared" si="6"/>
        <v>350.75900000000001</v>
      </c>
      <c r="H23" s="19">
        <f t="shared" si="6"/>
        <v>345.36</v>
      </c>
      <c r="I23" s="19">
        <f t="shared" si="6"/>
        <v>318.93900000000002</v>
      </c>
      <c r="J23" s="19">
        <f t="shared" si="6"/>
        <v>0</v>
      </c>
      <c r="K23" s="19">
        <f t="shared" si="6"/>
        <v>310.786</v>
      </c>
      <c r="L23" s="19">
        <f t="shared" si="6"/>
        <v>300.363</v>
      </c>
      <c r="O23" s="70">
        <v>5.4127769999999999E-2</v>
      </c>
    </row>
    <row r="24" spans="1:15" x14ac:dyDescent="0.25">
      <c r="O24" s="70">
        <v>7.2308789999999998E-2</v>
      </c>
    </row>
    <row r="25" spans="1:15" x14ac:dyDescent="0.25">
      <c r="A25" s="6">
        <v>0.215494732158618</v>
      </c>
      <c r="B25" s="6"/>
      <c r="C25" s="6">
        <v>0.33129893111704023</v>
      </c>
      <c r="D25" s="6">
        <v>0.32558936706621255</v>
      </c>
      <c r="E25" s="6">
        <v>0.22737634922508629</v>
      </c>
      <c r="F25" s="6">
        <v>0.3197606708599941</v>
      </c>
      <c r="G25" s="6">
        <v>0.22438511912737807</v>
      </c>
      <c r="H25" s="6">
        <v>0.21596160528144545</v>
      </c>
      <c r="I25" s="6">
        <v>0.25011553933510799</v>
      </c>
      <c r="J25" s="6">
        <v>0.11985900265777738</v>
      </c>
      <c r="K25" s="6">
        <v>0.14282118636449895</v>
      </c>
      <c r="O25" s="70">
        <v>0.1198944</v>
      </c>
    </row>
    <row r="26" spans="1:15" x14ac:dyDescent="0.25">
      <c r="O26" s="74">
        <v>0.120614</v>
      </c>
    </row>
    <row r="27" spans="1:15" x14ac:dyDescent="0.25">
      <c r="O27" s="77">
        <v>-1.500158E-2</v>
      </c>
    </row>
  </sheetData>
  <mergeCells count="1">
    <mergeCell ref="H1:J1"/>
  </mergeCells>
  <conditionalFormatting sqref="S15:S16 T3:T12">
    <cfRule type="colorScale" priority="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5:U16 V3:V12">
    <cfRule type="colorScale" priority="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:R5 R12">
    <cfRule type="colorScale" priority="3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5:D15 H12 H3:H5">
    <cfRule type="colorScale" priority="3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5 I12">
    <cfRule type="colorScale" priority="3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5 J12">
    <cfRule type="colorScale" priority="3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:M5 M12">
    <cfRule type="colorScale" priority="3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1:M12 M3:M5">
    <cfRule type="colorScale" priority="3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5:S16">
    <cfRule type="colorScale" priority="4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5:U16">
    <cfRule type="colorScale" priority="4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1:M12 M3:M7 M9">
    <cfRule type="colorScale" priority="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7 H9:H11">
    <cfRule type="colorScale" priority="5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7 I9:I11">
    <cfRule type="colorScale" priority="5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7 J9:J11">
    <cfRule type="colorScale" priority="5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:E9 E11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:D9 D11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:E9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:R5 R11">
    <cfRule type="colorScale" priority="6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1:R12 R3:R7 R9">
    <cfRule type="colorScale" priority="6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:R7 R9:R11">
    <cfRule type="colorScale" priority="6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:M11">
    <cfRule type="colorScale" priority="6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:R11">
    <cfRule type="colorScale" priority="6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:Q11">
    <cfRule type="colorScale" priority="6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11">
    <cfRule type="colorScale" priority="6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11">
    <cfRule type="colorScale" priority="6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11">
    <cfRule type="colorScale" priority="6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2">
    <cfRule type="colorScale" priority="6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:E9 G9 G4:G7">
    <cfRule type="colorScale" priority="6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:G9 G11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:G9">
    <cfRule type="colorScale" priority="6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2 E11 G11">
    <cfRule type="colorScale" priority="6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1 E11">
    <cfRule type="colorScale" priority="6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:G9">
    <cfRule type="colorScale" priority="6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:F9 F11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0:D20 L20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0:D20 K20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0:L20 A20:F20 H20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0:F20 K20 H20:I20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0:I20 K20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0:L20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12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1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12">
    <cfRule type="colorScale" priority="7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1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:X12">
    <cfRule type="colorScale" priority="7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:Q12">
    <cfRule type="colorScale" priority="7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:S12">
    <cfRule type="colorScale" priority="7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3:U12">
    <cfRule type="colorScale" priority="7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:R12">
    <cfRule type="colorScale" priority="7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3:P12">
    <cfRule type="colorScale" priority="7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8:O20 O27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8:O22 O24:O2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8:O2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8:O2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8:O27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T46"/>
  <sheetViews>
    <sheetView topLeftCell="A16" workbookViewId="0">
      <selection activeCell="G22" sqref="G22"/>
    </sheetView>
  </sheetViews>
  <sheetFormatPr defaultRowHeight="15" x14ac:dyDescent="0.25"/>
  <cols>
    <col min="2" max="2" width="11.5703125" bestFit="1" customWidth="1"/>
    <col min="3" max="3" width="10.5703125" bestFit="1" customWidth="1"/>
    <col min="12" max="12" width="15.140625" customWidth="1"/>
    <col min="13" max="13" width="11.7109375" customWidth="1"/>
  </cols>
  <sheetData>
    <row r="14" spans="1:5" ht="15.75" thickBot="1" x14ac:dyDescent="0.3">
      <c r="A14" s="35" t="s">
        <v>173</v>
      </c>
      <c r="B14" s="35" t="s">
        <v>211</v>
      </c>
      <c r="C14" s="35" t="s">
        <v>210</v>
      </c>
      <c r="D14" s="35" t="s">
        <v>198</v>
      </c>
      <c r="E14" s="35" t="s">
        <v>0</v>
      </c>
    </row>
    <row r="15" spans="1:5" ht="15.75" thickTop="1" x14ac:dyDescent="0.25">
      <c r="A15">
        <v>2021</v>
      </c>
      <c r="B15" s="3">
        <v>89117.2</v>
      </c>
      <c r="C15" s="3">
        <v>10038.4</v>
      </c>
      <c r="D15" s="6">
        <f t="shared" ref="D15:D34" si="0">C15/B15</f>
        <v>0.11264267728339759</v>
      </c>
      <c r="E15">
        <v>19.100000000000001</v>
      </c>
    </row>
    <row r="16" spans="1:5" x14ac:dyDescent="0.25">
      <c r="A16">
        <v>2021</v>
      </c>
      <c r="B16" s="3">
        <v>120942</v>
      </c>
      <c r="C16" s="3">
        <v>11505.8</v>
      </c>
      <c r="D16" s="6">
        <f t="shared" si="0"/>
        <v>9.5134858031122344E-2</v>
      </c>
      <c r="E16" s="1" t="s">
        <v>159</v>
      </c>
    </row>
    <row r="17" spans="1:20" x14ac:dyDescent="0.25">
      <c r="A17">
        <v>2021</v>
      </c>
      <c r="B17" s="3">
        <v>117737</v>
      </c>
      <c r="C17" s="3">
        <v>12929.5</v>
      </c>
      <c r="D17" s="6">
        <f t="shared" si="0"/>
        <v>0.1098167950601765</v>
      </c>
      <c r="E17" s="1" t="s">
        <v>160</v>
      </c>
    </row>
    <row r="18" spans="1:20" x14ac:dyDescent="0.25">
      <c r="A18">
        <v>2021</v>
      </c>
      <c r="B18" s="3">
        <v>78974.399999999994</v>
      </c>
      <c r="C18" s="3">
        <v>7534.91</v>
      </c>
      <c r="D18" s="6">
        <f t="shared" si="0"/>
        <v>9.5409525111935012E-2</v>
      </c>
      <c r="E18" s="1" t="s">
        <v>161</v>
      </c>
    </row>
    <row r="19" spans="1:20" x14ac:dyDescent="0.25">
      <c r="A19">
        <v>2021</v>
      </c>
      <c r="B19" s="3">
        <v>78705.100000000006</v>
      </c>
      <c r="C19" s="3">
        <v>7520.76</v>
      </c>
      <c r="D19" s="6">
        <f t="shared" si="0"/>
        <v>9.5556196485361178E-2</v>
      </c>
      <c r="E19" s="1" t="s">
        <v>163</v>
      </c>
    </row>
    <row r="20" spans="1:20" x14ac:dyDescent="0.25">
      <c r="A20">
        <v>2021</v>
      </c>
      <c r="B20" s="3">
        <v>117788</v>
      </c>
      <c r="C20" s="3">
        <v>11424.3</v>
      </c>
      <c r="D20" s="6">
        <f t="shared" si="0"/>
        <v>9.699035555404624E-2</v>
      </c>
      <c r="E20" s="1" t="s">
        <v>162</v>
      </c>
    </row>
    <row r="21" spans="1:20" x14ac:dyDescent="0.25">
      <c r="A21">
        <v>2021</v>
      </c>
      <c r="B21" s="3">
        <v>74584.5</v>
      </c>
      <c r="C21" s="3">
        <v>8288.6299999999992</v>
      </c>
      <c r="D21" s="6">
        <f t="shared" si="0"/>
        <v>0.11113073091594097</v>
      </c>
      <c r="E21" s="1" t="s">
        <v>164</v>
      </c>
    </row>
    <row r="22" spans="1:20" x14ac:dyDescent="0.25">
      <c r="A22">
        <v>2021</v>
      </c>
      <c r="B22" s="3">
        <v>79771.600000000006</v>
      </c>
      <c r="C22" s="3">
        <v>12904.8</v>
      </c>
      <c r="D22" s="6">
        <f t="shared" si="0"/>
        <v>0.16177185865646418</v>
      </c>
      <c r="E22" s="1" t="s">
        <v>165</v>
      </c>
    </row>
    <row r="23" spans="1:20" x14ac:dyDescent="0.25">
      <c r="A23">
        <v>2021</v>
      </c>
      <c r="B23" s="3">
        <v>37250.5</v>
      </c>
      <c r="C23" s="3">
        <v>5166.95</v>
      </c>
      <c r="D23" s="6">
        <f t="shared" si="0"/>
        <v>0.1387082052589898</v>
      </c>
      <c r="E23" s="1" t="s">
        <v>110</v>
      </c>
      <c r="K23" s="43"/>
      <c r="L23" s="43"/>
      <c r="M23" s="43"/>
      <c r="N23" s="43"/>
      <c r="O23" s="43"/>
      <c r="P23" s="43"/>
      <c r="Q23" s="43"/>
      <c r="R23" s="43"/>
      <c r="S23" s="43"/>
      <c r="T23" s="43"/>
    </row>
    <row r="24" spans="1:20" x14ac:dyDescent="0.25">
      <c r="A24" s="29">
        <v>2021</v>
      </c>
      <c r="B24" s="57">
        <v>42898.2</v>
      </c>
      <c r="C24" s="57">
        <v>9772.99</v>
      </c>
      <c r="D24" s="40">
        <f t="shared" si="0"/>
        <v>0.22781818351352739</v>
      </c>
      <c r="E24" s="45" t="s">
        <v>166</v>
      </c>
      <c r="K24" s="43"/>
      <c r="L24" s="43"/>
      <c r="M24" s="83"/>
      <c r="N24" s="83"/>
      <c r="O24" s="83"/>
      <c r="P24" s="83"/>
      <c r="Q24" s="83"/>
      <c r="R24" s="43"/>
      <c r="S24" s="43"/>
      <c r="T24" s="43"/>
    </row>
    <row r="25" spans="1:20" x14ac:dyDescent="0.25">
      <c r="A25">
        <v>2022</v>
      </c>
      <c r="B25" s="3">
        <v>113591</v>
      </c>
      <c r="C25" s="3">
        <v>13150.9</v>
      </c>
      <c r="D25" s="6">
        <f t="shared" si="0"/>
        <v>0.11577413703550457</v>
      </c>
      <c r="E25">
        <v>19.100000000000001</v>
      </c>
      <c r="K25" s="43"/>
      <c r="L25" s="43"/>
      <c r="M25" s="83"/>
      <c r="N25" s="83"/>
      <c r="O25" s="83"/>
      <c r="P25" s="83"/>
      <c r="Q25" s="83"/>
      <c r="R25" s="44"/>
      <c r="S25" s="43"/>
      <c r="T25" s="43"/>
    </row>
    <row r="26" spans="1:20" x14ac:dyDescent="0.25">
      <c r="A26">
        <v>2022</v>
      </c>
      <c r="B26" s="3">
        <v>155700</v>
      </c>
      <c r="C26" s="3">
        <v>12058.9</v>
      </c>
      <c r="D26" s="6">
        <f t="shared" si="0"/>
        <v>7.7449582530507377E-2</v>
      </c>
      <c r="E26" s="1" t="s">
        <v>159</v>
      </c>
      <c r="K26" s="43"/>
      <c r="L26" s="43"/>
      <c r="M26" s="83"/>
      <c r="N26" s="83"/>
      <c r="O26" s="83"/>
      <c r="P26" s="83"/>
      <c r="Q26" s="83"/>
      <c r="R26" s="44"/>
      <c r="S26" s="43"/>
      <c r="T26" s="43"/>
    </row>
    <row r="27" spans="1:20" x14ac:dyDescent="0.25">
      <c r="A27">
        <v>2022</v>
      </c>
      <c r="B27" s="3">
        <v>154473</v>
      </c>
      <c r="C27" s="3">
        <v>11815.3</v>
      </c>
      <c r="D27" s="6">
        <f t="shared" si="0"/>
        <v>7.6487800457037791E-2</v>
      </c>
      <c r="E27" s="1" t="s">
        <v>160</v>
      </c>
      <c r="K27" s="43"/>
      <c r="L27" s="43"/>
      <c r="M27" s="83"/>
      <c r="N27" s="83"/>
      <c r="O27" s="83"/>
      <c r="P27" s="83"/>
      <c r="Q27" s="83"/>
      <c r="R27" s="44"/>
      <c r="S27" s="43"/>
      <c r="T27" s="43"/>
    </row>
    <row r="28" spans="1:20" x14ac:dyDescent="0.25">
      <c r="A28">
        <v>2022</v>
      </c>
      <c r="B28" s="3">
        <v>109882</v>
      </c>
      <c r="C28" s="3">
        <v>7984.33</v>
      </c>
      <c r="D28" s="6">
        <f t="shared" si="0"/>
        <v>7.2662765512094787E-2</v>
      </c>
      <c r="E28" s="1" t="s">
        <v>161</v>
      </c>
      <c r="K28" s="43"/>
      <c r="L28" s="43"/>
      <c r="M28" s="83"/>
      <c r="N28" s="83"/>
      <c r="O28" s="83"/>
      <c r="P28" s="83"/>
      <c r="Q28" s="83"/>
      <c r="R28" s="44"/>
      <c r="S28" s="43"/>
      <c r="T28" s="43"/>
    </row>
    <row r="29" spans="1:20" x14ac:dyDescent="0.25">
      <c r="A29">
        <v>2022</v>
      </c>
      <c r="B29" s="3">
        <v>109440</v>
      </c>
      <c r="C29" s="3">
        <v>8049.87</v>
      </c>
      <c r="D29" s="6">
        <f t="shared" si="0"/>
        <v>7.3555098684210521E-2</v>
      </c>
      <c r="E29" s="1" t="s">
        <v>163</v>
      </c>
      <c r="K29" s="43"/>
      <c r="L29" s="43"/>
      <c r="M29" s="83"/>
      <c r="N29" s="83"/>
      <c r="O29" s="83"/>
      <c r="P29" s="83"/>
      <c r="Q29" s="83"/>
      <c r="R29" s="44"/>
      <c r="S29" s="43"/>
      <c r="T29" s="43"/>
    </row>
    <row r="30" spans="1:20" x14ac:dyDescent="0.25">
      <c r="A30">
        <v>2022</v>
      </c>
      <c r="B30" s="3">
        <v>152538</v>
      </c>
      <c r="C30" s="3">
        <v>12293.3</v>
      </c>
      <c r="D30" s="6">
        <f t="shared" si="0"/>
        <v>8.0591721407124783E-2</v>
      </c>
      <c r="E30" s="1" t="s">
        <v>162</v>
      </c>
      <c r="K30" s="43"/>
      <c r="L30" s="43"/>
      <c r="M30" s="83"/>
      <c r="N30" s="83"/>
      <c r="O30" s="83"/>
      <c r="P30" s="83"/>
      <c r="Q30" s="83"/>
      <c r="R30" s="44"/>
      <c r="S30" s="43"/>
      <c r="T30" s="43"/>
    </row>
    <row r="31" spans="1:20" x14ac:dyDescent="0.25">
      <c r="A31">
        <v>2022</v>
      </c>
      <c r="B31" s="3">
        <v>105685</v>
      </c>
      <c r="C31" s="3">
        <v>7923.13</v>
      </c>
      <c r="D31" s="6">
        <f t="shared" si="0"/>
        <v>7.4969295548091022E-2</v>
      </c>
      <c r="E31" s="1" t="s">
        <v>164</v>
      </c>
      <c r="K31" s="43"/>
      <c r="L31" s="43"/>
      <c r="M31" s="83"/>
      <c r="N31" s="83"/>
      <c r="O31" s="83"/>
      <c r="P31" s="83"/>
      <c r="Q31" s="83"/>
      <c r="R31" s="44"/>
      <c r="S31" s="43"/>
      <c r="T31" s="43"/>
    </row>
    <row r="32" spans="1:20" x14ac:dyDescent="0.25">
      <c r="A32">
        <v>2022</v>
      </c>
      <c r="B32" s="3">
        <v>110754</v>
      </c>
      <c r="C32" s="3">
        <v>10403.700000000001</v>
      </c>
      <c r="D32" s="6">
        <f t="shared" si="0"/>
        <v>9.3935207757733355E-2</v>
      </c>
      <c r="E32" s="1" t="s">
        <v>165</v>
      </c>
      <c r="K32" s="43"/>
      <c r="L32" s="43"/>
      <c r="M32" s="83"/>
      <c r="N32" s="83"/>
      <c r="O32" s="83"/>
      <c r="P32" s="83"/>
      <c r="Q32" s="83"/>
      <c r="R32" s="44"/>
      <c r="S32" s="43"/>
      <c r="T32" s="43"/>
    </row>
    <row r="33" spans="1:20" x14ac:dyDescent="0.25">
      <c r="A33">
        <v>2022</v>
      </c>
      <c r="B33" s="3">
        <v>60164.2</v>
      </c>
      <c r="C33" s="3">
        <v>5852.8</v>
      </c>
      <c r="D33" s="6">
        <f t="shared" si="0"/>
        <v>9.7280442522297325E-2</v>
      </c>
      <c r="E33" s="1" t="s">
        <v>110</v>
      </c>
      <c r="K33" s="43"/>
      <c r="L33" s="43"/>
      <c r="M33" s="83"/>
      <c r="N33" s="83"/>
      <c r="O33" s="83"/>
      <c r="P33" s="83"/>
      <c r="Q33" s="83"/>
      <c r="R33" s="44"/>
      <c r="S33" s="43"/>
      <c r="T33" s="43"/>
    </row>
    <row r="34" spans="1:20" x14ac:dyDescent="0.25">
      <c r="A34" s="29">
        <v>2022</v>
      </c>
      <c r="B34" s="57">
        <v>67785.899999999994</v>
      </c>
      <c r="C34" s="57">
        <v>10048.200000000001</v>
      </c>
      <c r="D34" s="40">
        <f t="shared" si="0"/>
        <v>0.14823436732417805</v>
      </c>
      <c r="E34" s="45" t="s">
        <v>166</v>
      </c>
      <c r="K34" s="43"/>
      <c r="L34" s="43"/>
      <c r="M34" s="43"/>
      <c r="N34" s="43"/>
      <c r="O34" s="43"/>
      <c r="P34" s="43"/>
      <c r="Q34" s="43"/>
      <c r="R34" s="43"/>
      <c r="S34" s="43"/>
      <c r="T34" s="43"/>
    </row>
    <row r="35" spans="1:20" x14ac:dyDescent="0.25">
      <c r="A35" s="7"/>
      <c r="K35" s="43"/>
      <c r="L35" s="43"/>
      <c r="M35" s="43"/>
      <c r="N35" s="43"/>
      <c r="O35" s="43"/>
      <c r="P35" s="43"/>
      <c r="Q35" s="43"/>
      <c r="R35" s="43"/>
      <c r="S35" s="43"/>
      <c r="T35" s="43"/>
    </row>
    <row r="36" spans="1:20" x14ac:dyDescent="0.25">
      <c r="A36" s="7"/>
      <c r="K36" s="43"/>
      <c r="L36" s="43"/>
      <c r="M36" s="43"/>
      <c r="N36" s="43"/>
      <c r="O36" s="43"/>
      <c r="P36" s="43"/>
      <c r="Q36" s="43"/>
      <c r="R36" s="43"/>
      <c r="S36" s="43"/>
      <c r="T36" s="43"/>
    </row>
    <row r="37" spans="1:20" x14ac:dyDescent="0.25">
      <c r="A37" s="7"/>
      <c r="K37" s="43"/>
      <c r="L37" s="43"/>
      <c r="M37" s="83"/>
      <c r="N37" s="83"/>
      <c r="O37" s="83"/>
      <c r="P37" s="83"/>
      <c r="Q37" s="83"/>
      <c r="R37" s="43"/>
      <c r="S37" s="43"/>
      <c r="T37" s="43"/>
    </row>
    <row r="38" spans="1:20" x14ac:dyDescent="0.25">
      <c r="K38" s="43"/>
      <c r="L38" s="43"/>
      <c r="M38" s="83"/>
      <c r="N38" s="83"/>
      <c r="O38" s="83"/>
      <c r="P38" s="83"/>
      <c r="Q38" s="83"/>
      <c r="R38" s="44"/>
      <c r="S38" s="43"/>
      <c r="T38" s="43"/>
    </row>
    <row r="39" spans="1:20" x14ac:dyDescent="0.25">
      <c r="K39" s="43"/>
      <c r="L39" s="43"/>
      <c r="M39" s="83"/>
      <c r="N39" s="83"/>
      <c r="O39" s="83"/>
      <c r="P39" s="83"/>
      <c r="Q39" s="83"/>
      <c r="R39" s="44"/>
      <c r="S39" s="43"/>
      <c r="T39" s="43"/>
    </row>
    <row r="40" spans="1:20" x14ac:dyDescent="0.25">
      <c r="K40" s="43"/>
      <c r="L40" s="43"/>
      <c r="M40" s="83"/>
      <c r="N40" s="83"/>
      <c r="O40" s="83"/>
      <c r="P40" s="83"/>
      <c r="Q40" s="83"/>
      <c r="R40" s="44"/>
      <c r="S40" s="43"/>
      <c r="T40" s="43"/>
    </row>
    <row r="41" spans="1:20" x14ac:dyDescent="0.25">
      <c r="K41" s="43"/>
      <c r="L41" s="43"/>
      <c r="M41" s="83"/>
      <c r="N41" s="83"/>
      <c r="O41" s="83"/>
      <c r="P41" s="83"/>
      <c r="Q41" s="83"/>
      <c r="R41" s="44"/>
      <c r="S41" s="43"/>
      <c r="T41" s="43"/>
    </row>
    <row r="42" spans="1:20" x14ac:dyDescent="0.25">
      <c r="K42" s="43"/>
      <c r="L42" s="43"/>
      <c r="M42" s="83"/>
      <c r="N42" s="83"/>
      <c r="O42" s="83"/>
      <c r="P42" s="83"/>
      <c r="Q42" s="83"/>
      <c r="R42" s="44"/>
      <c r="S42" s="43"/>
      <c r="T42" s="43"/>
    </row>
    <row r="43" spans="1:20" x14ac:dyDescent="0.25">
      <c r="K43" s="43"/>
      <c r="L43" s="43"/>
      <c r="M43" s="83"/>
      <c r="N43" s="83"/>
      <c r="O43" s="83"/>
      <c r="P43" s="83"/>
      <c r="Q43" s="83"/>
      <c r="R43" s="44"/>
      <c r="S43" s="43"/>
      <c r="T43" s="43"/>
    </row>
    <row r="44" spans="1:20" x14ac:dyDescent="0.25">
      <c r="K44" s="43"/>
      <c r="L44" s="43"/>
      <c r="M44" s="83"/>
      <c r="N44" s="83"/>
      <c r="O44" s="83"/>
      <c r="P44" s="83"/>
      <c r="Q44" s="83"/>
      <c r="R44" s="44"/>
      <c r="S44" s="43"/>
      <c r="T44" s="43"/>
    </row>
    <row r="45" spans="1:20" x14ac:dyDescent="0.25">
      <c r="K45" s="43"/>
      <c r="L45" s="43"/>
      <c r="M45" s="83"/>
      <c r="N45" s="83"/>
      <c r="O45" s="83"/>
      <c r="P45" s="83"/>
      <c r="Q45" s="83"/>
      <c r="R45" s="44"/>
      <c r="S45" s="43"/>
      <c r="T45" s="43"/>
    </row>
    <row r="46" spans="1:20" x14ac:dyDescent="0.25">
      <c r="K46" s="43"/>
      <c r="L46" s="43"/>
      <c r="M46" s="83"/>
      <c r="N46" s="83"/>
      <c r="O46" s="83"/>
      <c r="P46" s="83"/>
      <c r="Q46" s="83"/>
      <c r="R46" s="44"/>
      <c r="S46" s="43"/>
      <c r="T46" s="43"/>
    </row>
  </sheetData>
  <sortState ref="L24:R43">
    <sortCondition ref="L24:L43"/>
    <sortCondition ref="R24:R43"/>
  </sortState>
  <conditionalFormatting sqref="D15:D24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5:D34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:B24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5:B34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4:M33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7:M4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4:N33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7:N4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4:O33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7:O4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4:P3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37:P4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4:Q3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7:Q4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"/>
  <sheetViews>
    <sheetView workbookViewId="0">
      <selection sqref="A1:C15"/>
    </sheetView>
  </sheetViews>
  <sheetFormatPr defaultRowHeight="15" x14ac:dyDescent="0.25"/>
  <cols>
    <col min="1" max="1" width="20.28515625" customWidth="1"/>
    <col min="2" max="2" width="14" customWidth="1"/>
    <col min="3" max="3" width="12.28515625" customWidth="1"/>
  </cols>
  <sheetData>
    <row r="1" spans="1:3" x14ac:dyDescent="0.25">
      <c r="A1" s="29"/>
      <c r="B1" s="29" t="s">
        <v>83</v>
      </c>
      <c r="C1" s="29" t="s">
        <v>148</v>
      </c>
    </row>
    <row r="2" spans="1:3" x14ac:dyDescent="0.25">
      <c r="A2" t="s">
        <v>136</v>
      </c>
      <c r="B2" s="14">
        <v>3190.02</v>
      </c>
      <c r="C2" s="14">
        <v>3210.54</v>
      </c>
    </row>
    <row r="3" spans="1:3" x14ac:dyDescent="0.25">
      <c r="A3" t="s">
        <v>137</v>
      </c>
      <c r="B3" s="2">
        <v>8.0454499999999994E-12</v>
      </c>
      <c r="C3" s="2">
        <v>5.4879899999999999E-12</v>
      </c>
    </row>
    <row r="4" spans="1:3" x14ac:dyDescent="0.25">
      <c r="A4" t="s">
        <v>138</v>
      </c>
      <c r="B4" s="2">
        <v>1.44158E-4</v>
      </c>
      <c r="C4" s="2">
        <v>0</v>
      </c>
    </row>
    <row r="5" spans="1:3" x14ac:dyDescent="0.25">
      <c r="A5" t="s">
        <v>149</v>
      </c>
      <c r="B5" s="14">
        <v>-16.119499999999999</v>
      </c>
      <c r="C5" s="14">
        <v>-6.9957399999999996</v>
      </c>
    </row>
    <row r="6" spans="1:3" x14ac:dyDescent="0.25">
      <c r="A6" t="s">
        <v>150</v>
      </c>
      <c r="B6" s="14">
        <v>-5.47532</v>
      </c>
      <c r="C6" s="14">
        <v>0.49164600000000003</v>
      </c>
    </row>
    <row r="7" spans="1:3" x14ac:dyDescent="0.25">
      <c r="A7" t="s">
        <v>151</v>
      </c>
      <c r="B7" s="28" t="s">
        <v>105</v>
      </c>
      <c r="C7" s="14">
        <v>4.1475400000000002</v>
      </c>
    </row>
    <row r="8" spans="1:3" x14ac:dyDescent="0.25">
      <c r="A8" t="s">
        <v>140</v>
      </c>
      <c r="B8" s="14">
        <v>1568.22</v>
      </c>
      <c r="C8" s="14">
        <v>1576.75</v>
      </c>
    </row>
    <row r="9" spans="1:3" x14ac:dyDescent="0.25">
      <c r="A9" t="s">
        <v>141</v>
      </c>
      <c r="B9" s="14">
        <v>1633.74</v>
      </c>
      <c r="C9" s="14">
        <v>1634.15</v>
      </c>
    </row>
    <row r="10" spans="1:3" x14ac:dyDescent="0.25">
      <c r="A10" s="15" t="s">
        <v>142</v>
      </c>
      <c r="B10" s="23">
        <v>-5.4985799999999996</v>
      </c>
      <c r="C10" s="23">
        <v>-8.3657299999999992</v>
      </c>
    </row>
    <row r="11" spans="1:3" x14ac:dyDescent="0.25">
      <c r="A11" t="s">
        <v>143</v>
      </c>
      <c r="B11" s="14">
        <v>1.4751799999999999</v>
      </c>
      <c r="C11" s="14">
        <v>1.44892</v>
      </c>
    </row>
    <row r="12" spans="1:3" x14ac:dyDescent="0.25">
      <c r="A12" t="s">
        <v>144</v>
      </c>
      <c r="B12" s="14">
        <v>5.8310399999999998E-2</v>
      </c>
      <c r="C12" s="14">
        <v>1.90523</v>
      </c>
    </row>
    <row r="13" spans="1:3" x14ac:dyDescent="0.25">
      <c r="A13" t="s">
        <v>145</v>
      </c>
      <c r="B13" s="14">
        <v>1.5899099999999999</v>
      </c>
      <c r="C13" s="14">
        <v>0.472945</v>
      </c>
    </row>
    <row r="14" spans="1:3" x14ac:dyDescent="0.25">
      <c r="A14" t="s">
        <v>146</v>
      </c>
      <c r="B14" s="14">
        <v>1.38426E-2</v>
      </c>
      <c r="C14" s="14">
        <v>1.32195E-2</v>
      </c>
    </row>
    <row r="15" spans="1:3" x14ac:dyDescent="0.25">
      <c r="A15" s="29" t="s">
        <v>147</v>
      </c>
      <c r="B15" s="30">
        <v>6.54291</v>
      </c>
      <c r="C15" s="30">
        <v>6.52102</v>
      </c>
    </row>
    <row r="16" spans="1:3" x14ac:dyDescent="0.25">
      <c r="B16" s="2"/>
    </row>
    <row r="17" spans="2:2" x14ac:dyDescent="0.25">
      <c r="B17" s="2"/>
    </row>
    <row r="18" spans="2:2" x14ac:dyDescent="0.25">
      <c r="B18" s="2"/>
    </row>
    <row r="19" spans="2:2" x14ac:dyDescent="0.25">
      <c r="B19" s="2"/>
    </row>
    <row r="20" spans="2:2" x14ac:dyDescent="0.25">
      <c r="B20" s="2"/>
    </row>
    <row r="21" spans="2:2" x14ac:dyDescent="0.25">
      <c r="B21" s="2"/>
    </row>
    <row r="22" spans="2:2" x14ac:dyDescent="0.25">
      <c r="B22" s="2"/>
    </row>
    <row r="23" spans="2:2" x14ac:dyDescent="0.25">
      <c r="B23" s="2"/>
    </row>
    <row r="24" spans="2:2" x14ac:dyDescent="0.25">
      <c r="B24" s="2"/>
    </row>
    <row r="25" spans="2:2" x14ac:dyDescent="0.25">
      <c r="B25" s="2"/>
    </row>
    <row r="26" spans="2:2" x14ac:dyDescent="0.25">
      <c r="B26" s="2"/>
    </row>
    <row r="27" spans="2:2" x14ac:dyDescent="0.25">
      <c r="B27" s="2"/>
    </row>
    <row r="28" spans="2:2" x14ac:dyDescent="0.25">
      <c r="B28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2"/>
  <sheetViews>
    <sheetView topLeftCell="A26" workbookViewId="0">
      <selection activeCell="B34" sqref="B34:K34"/>
    </sheetView>
  </sheetViews>
  <sheetFormatPr defaultRowHeight="15" x14ac:dyDescent="0.25"/>
  <cols>
    <col min="1" max="1" width="39.5703125" customWidth="1"/>
    <col min="2" max="11" width="10.85546875" customWidth="1"/>
  </cols>
  <sheetData>
    <row r="1" spans="1:11" x14ac:dyDescent="0.25">
      <c r="A1" t="s">
        <v>98</v>
      </c>
      <c r="B1" t="s">
        <v>83</v>
      </c>
      <c r="C1" t="s">
        <v>169</v>
      </c>
      <c r="D1" t="s">
        <v>124</v>
      </c>
      <c r="E1" t="s">
        <v>125</v>
      </c>
      <c r="F1" t="s">
        <v>126</v>
      </c>
      <c r="G1" t="s">
        <v>170</v>
      </c>
      <c r="H1" t="s">
        <v>127</v>
      </c>
      <c r="I1" t="s">
        <v>167</v>
      </c>
      <c r="J1" t="s">
        <v>128</v>
      </c>
      <c r="K1" t="s">
        <v>168</v>
      </c>
    </row>
    <row r="2" spans="1:11" x14ac:dyDescent="0.25">
      <c r="A2" t="s">
        <v>171</v>
      </c>
      <c r="B2" s="14">
        <v>3190.02</v>
      </c>
      <c r="C2" s="14">
        <v>3210.54</v>
      </c>
      <c r="D2" s="14">
        <v>3202.85</v>
      </c>
      <c r="E2" s="14">
        <v>3194.11</v>
      </c>
      <c r="F2" s="14">
        <v>3205.07</v>
      </c>
      <c r="G2" s="14">
        <v>3191.05</v>
      </c>
      <c r="H2" s="14">
        <v>3182.09</v>
      </c>
      <c r="I2" s="14">
        <v>2039.62</v>
      </c>
      <c r="J2" s="14">
        <v>3168.69</v>
      </c>
      <c r="K2" s="14">
        <v>2036.43</v>
      </c>
    </row>
    <row r="3" spans="1:11" x14ac:dyDescent="0.25">
      <c r="A3" t="s">
        <v>137</v>
      </c>
      <c r="B3" s="2">
        <v>8.0454499999999994E-12</v>
      </c>
      <c r="C3" s="2">
        <v>5.4879899999999999E-12</v>
      </c>
      <c r="D3" s="2">
        <v>1.4738100000000001E-11</v>
      </c>
      <c r="E3" s="2">
        <v>5.6619999999999999E-12</v>
      </c>
      <c r="F3" s="2">
        <v>4.5738099999999999E-12</v>
      </c>
      <c r="G3" s="2">
        <v>4.9369200000000003E-12</v>
      </c>
      <c r="H3" s="2">
        <v>8.7543499999999993E-12</v>
      </c>
      <c r="I3" s="2">
        <v>5.20511E-10</v>
      </c>
      <c r="J3" s="2">
        <v>7.4389000000000005E-11</v>
      </c>
      <c r="K3" s="2">
        <v>2.2317899999999998E-9</v>
      </c>
    </row>
    <row r="4" spans="1:11" x14ac:dyDescent="0.25">
      <c r="A4" t="s">
        <v>139</v>
      </c>
      <c r="B4" s="14">
        <v>-16.119499999999999</v>
      </c>
      <c r="C4" s="14">
        <v>-2.3565499999999999</v>
      </c>
      <c r="D4" s="14">
        <v>-0.80638200000000004</v>
      </c>
      <c r="E4" s="14">
        <v>-6.2237900000000002</v>
      </c>
      <c r="F4" s="14">
        <v>-4.0861099999999997</v>
      </c>
      <c r="G4" s="14">
        <v>-7.2344999999999997</v>
      </c>
      <c r="H4" s="14">
        <v>-5.6354499999999996</v>
      </c>
      <c r="I4" s="14">
        <v>-32.738799999999998</v>
      </c>
      <c r="J4" s="14">
        <v>-11.0854</v>
      </c>
      <c r="K4" s="14">
        <v>-34.89</v>
      </c>
    </row>
    <row r="5" spans="1:11" x14ac:dyDescent="0.25">
      <c r="A5" t="s">
        <v>140</v>
      </c>
      <c r="B5" s="14">
        <v>1568.22</v>
      </c>
      <c r="C5" s="14">
        <v>1576.75</v>
      </c>
      <c r="D5" s="14">
        <v>1573.39</v>
      </c>
      <c r="E5" s="14">
        <v>1569.87</v>
      </c>
      <c r="F5" s="14">
        <v>1577.55</v>
      </c>
      <c r="G5" s="14">
        <v>1570.42</v>
      </c>
      <c r="H5" s="14">
        <v>1568.46</v>
      </c>
      <c r="I5" s="14">
        <v>525.05200000000002</v>
      </c>
      <c r="J5" s="14">
        <v>1561.77</v>
      </c>
      <c r="K5" s="14">
        <v>521.178</v>
      </c>
    </row>
    <row r="6" spans="1:11" x14ac:dyDescent="0.25">
      <c r="A6" t="s">
        <v>141</v>
      </c>
      <c r="B6" s="14">
        <v>1633.74</v>
      </c>
      <c r="C6" s="14">
        <v>1634.15</v>
      </c>
      <c r="D6" s="14">
        <v>1625.46</v>
      </c>
      <c r="E6" s="14">
        <v>1635.35</v>
      </c>
      <c r="F6" s="14">
        <v>1634.62</v>
      </c>
      <c r="G6" s="14">
        <v>1635.6</v>
      </c>
      <c r="H6" s="14">
        <v>1625.2</v>
      </c>
      <c r="I6" s="14">
        <v>1562.15</v>
      </c>
      <c r="J6" s="14">
        <v>1622.36</v>
      </c>
      <c r="K6" s="14">
        <v>1562.75</v>
      </c>
    </row>
    <row r="7" spans="1:11" x14ac:dyDescent="0.25">
      <c r="A7" t="s">
        <v>142</v>
      </c>
      <c r="B7" s="14">
        <v>-5.4985799999999996</v>
      </c>
      <c r="C7" s="14">
        <v>-8.3657299999999992</v>
      </c>
      <c r="D7" s="14">
        <v>-5.59762</v>
      </c>
      <c r="E7" s="14">
        <v>-15.4764</v>
      </c>
      <c r="F7" s="14">
        <v>-12.3375</v>
      </c>
      <c r="G7" s="14">
        <v>-17.461500000000001</v>
      </c>
      <c r="H7" s="14">
        <v>-15.696199999999999</v>
      </c>
      <c r="I7" s="14">
        <v>-20.4834</v>
      </c>
      <c r="J7" s="14">
        <v>-13.6708</v>
      </c>
      <c r="K7" s="14">
        <v>-18.4663</v>
      </c>
    </row>
    <row r="8" spans="1:11" x14ac:dyDescent="0.25">
      <c r="A8" t="s">
        <v>143</v>
      </c>
      <c r="B8" s="14">
        <v>1.4751799999999999</v>
      </c>
      <c r="C8" s="14">
        <v>1.44892</v>
      </c>
      <c r="D8" s="14">
        <v>1.89645</v>
      </c>
      <c r="E8" s="14">
        <v>2.0284499999999999</v>
      </c>
      <c r="F8" s="14">
        <v>1.5850299999999999</v>
      </c>
      <c r="G8" s="14">
        <v>2.1255700000000002</v>
      </c>
      <c r="H8" s="14">
        <v>2.6694900000000001</v>
      </c>
      <c r="I8" s="14">
        <v>1.17045</v>
      </c>
      <c r="J8" s="14">
        <v>2.13089</v>
      </c>
      <c r="K8" s="14">
        <v>1.3033999999999999</v>
      </c>
    </row>
    <row r="9" spans="1:11" x14ac:dyDescent="0.25">
      <c r="A9" t="s">
        <v>144</v>
      </c>
      <c r="B9" s="14">
        <v>5.8310399999999998E-2</v>
      </c>
      <c r="C9" s="14">
        <v>1.90523</v>
      </c>
      <c r="D9" s="14">
        <v>2.0998800000000002</v>
      </c>
      <c r="E9" s="14">
        <v>1.60277</v>
      </c>
      <c r="F9" s="14">
        <v>0.73771900000000001</v>
      </c>
      <c r="G9" s="14">
        <v>0.64503200000000005</v>
      </c>
      <c r="H9" s="14">
        <v>0.71463900000000002</v>
      </c>
      <c r="I9" s="14">
        <v>0.542184</v>
      </c>
      <c r="J9" s="14">
        <v>0.69277500000000003</v>
      </c>
      <c r="K9" s="14">
        <v>0.61271600000000004</v>
      </c>
    </row>
    <row r="10" spans="1:11" x14ac:dyDescent="0.25">
      <c r="A10" t="s">
        <v>145</v>
      </c>
      <c r="B10" s="14">
        <v>1.5899099999999999</v>
      </c>
      <c r="C10" s="14">
        <v>0.472945</v>
      </c>
      <c r="D10" s="14">
        <v>5.1286400000000003E-3</v>
      </c>
      <c r="E10" s="14">
        <v>0.468165</v>
      </c>
      <c r="F10" s="14">
        <v>0.47292699999999999</v>
      </c>
      <c r="G10" s="14">
        <v>0.46814299999999998</v>
      </c>
      <c r="H10" s="14">
        <v>5.3073800000000004E-3</v>
      </c>
      <c r="I10" s="14">
        <v>3.2555399999999999E-3</v>
      </c>
      <c r="J10" s="14">
        <v>5.2189699999999999E-3</v>
      </c>
      <c r="K10" s="14">
        <v>3.3026900000000001E-3</v>
      </c>
    </row>
    <row r="11" spans="1:11" x14ac:dyDescent="0.25">
      <c r="A11" t="s">
        <v>146</v>
      </c>
      <c r="B11" s="14">
        <v>1.3843100000000001E-2</v>
      </c>
      <c r="C11" s="14">
        <v>1.32195E-2</v>
      </c>
      <c r="D11" s="14">
        <v>1.2947500000000001E-2</v>
      </c>
      <c r="E11" s="14">
        <v>1.16793E-2</v>
      </c>
      <c r="F11" s="14">
        <v>1.3208900000000001E-2</v>
      </c>
      <c r="G11" s="14">
        <v>1.32411E-2</v>
      </c>
      <c r="H11" s="14">
        <v>1.30264E-2</v>
      </c>
      <c r="I11" s="14">
        <v>2.8201899999999998E-2</v>
      </c>
      <c r="J11" s="14">
        <v>1.3865300000000001E-2</v>
      </c>
      <c r="K11" s="14">
        <v>2.81252E-2</v>
      </c>
    </row>
    <row r="12" spans="1:11" x14ac:dyDescent="0.25">
      <c r="A12" t="s">
        <v>147</v>
      </c>
      <c r="B12" s="14">
        <v>6.54291</v>
      </c>
      <c r="C12" s="14">
        <v>6.52102</v>
      </c>
      <c r="D12" s="14">
        <v>6.3849499999999999</v>
      </c>
      <c r="E12" s="14">
        <v>6.4842000000000004</v>
      </c>
      <c r="F12" s="14">
        <v>6.5134699999999999</v>
      </c>
      <c r="G12" s="14">
        <v>6.4796800000000001</v>
      </c>
      <c r="H12" s="14">
        <v>6.3570399999999996</v>
      </c>
      <c r="I12" s="14">
        <v>3.8945599999999998</v>
      </c>
      <c r="J12" s="14">
        <v>6.4679000000000002</v>
      </c>
      <c r="K12" s="14">
        <v>3.9153799999999999</v>
      </c>
    </row>
    <row r="14" spans="1:11" x14ac:dyDescent="0.25">
      <c r="A14" s="14" t="s">
        <v>111</v>
      </c>
      <c r="B14" s="6">
        <v>0.46648800000000001</v>
      </c>
      <c r="C14" s="6"/>
      <c r="D14" s="6"/>
      <c r="E14" s="6"/>
      <c r="F14" s="6"/>
      <c r="G14" s="6"/>
      <c r="H14" s="6"/>
      <c r="I14" s="6"/>
      <c r="J14" s="6"/>
      <c r="K14" s="6"/>
    </row>
    <row r="15" spans="1:11" x14ac:dyDescent="0.25">
      <c r="A15" s="14" t="s">
        <v>112</v>
      </c>
      <c r="B15" s="6">
        <v>0.82305200000000001</v>
      </c>
      <c r="C15" s="6"/>
      <c r="D15" s="6"/>
      <c r="E15" s="6"/>
      <c r="F15" s="6"/>
      <c r="G15" s="6"/>
      <c r="H15" s="6"/>
      <c r="I15" s="6"/>
      <c r="J15" s="6"/>
      <c r="K15" s="6"/>
    </row>
    <row r="16" spans="1:11" x14ac:dyDescent="0.25">
      <c r="A16" s="14" t="s">
        <v>113</v>
      </c>
      <c r="B16" s="6"/>
      <c r="C16" s="6">
        <v>0.46666800000000003</v>
      </c>
      <c r="D16" s="6">
        <v>0.44459599999999999</v>
      </c>
      <c r="E16" s="6">
        <v>0.36576399999999998</v>
      </c>
      <c r="F16" s="6">
        <v>0.47234500000000001</v>
      </c>
      <c r="G16" s="6">
        <v>0.372143</v>
      </c>
      <c r="H16" s="6">
        <v>0.34570200000000001</v>
      </c>
      <c r="I16" s="6">
        <v>0.36758000000000002</v>
      </c>
      <c r="J16" s="6">
        <v>0.40371699999999999</v>
      </c>
      <c r="K16" s="6">
        <v>0.40847600000000001</v>
      </c>
    </row>
    <row r="17" spans="1:11" x14ac:dyDescent="0.25">
      <c r="A17" s="14" t="s">
        <v>114</v>
      </c>
      <c r="C17" s="6">
        <v>0.74500900000000003</v>
      </c>
      <c r="D17" s="6">
        <v>0.74508200000000002</v>
      </c>
      <c r="E17" s="6"/>
      <c r="F17" s="6">
        <v>0.74747699999999995</v>
      </c>
      <c r="G17" s="6"/>
      <c r="H17" s="6"/>
      <c r="I17" s="6"/>
      <c r="J17" s="6"/>
      <c r="K17" s="6"/>
    </row>
    <row r="18" spans="1:11" x14ac:dyDescent="0.25">
      <c r="A18" s="14" t="s">
        <v>115</v>
      </c>
      <c r="C18" s="6"/>
      <c r="D18" s="6"/>
      <c r="E18" s="6">
        <v>1.11557</v>
      </c>
      <c r="F18" s="6"/>
      <c r="G18" s="6">
        <v>1.09066</v>
      </c>
      <c r="H18" s="6">
        <v>1.17354</v>
      </c>
      <c r="I18" s="6">
        <v>0.983962</v>
      </c>
      <c r="J18" s="6"/>
      <c r="K18" s="6"/>
    </row>
    <row r="19" spans="1:11" x14ac:dyDescent="0.25">
      <c r="A19" s="14" t="s">
        <v>116</v>
      </c>
      <c r="C19" s="6"/>
      <c r="D19" s="6"/>
      <c r="E19" s="6"/>
      <c r="F19" s="6"/>
      <c r="G19" s="6"/>
      <c r="H19" s="6"/>
      <c r="I19" s="6"/>
      <c r="J19" s="6">
        <v>0.57211599999999996</v>
      </c>
      <c r="K19" s="6">
        <v>0.50761400000000001</v>
      </c>
    </row>
    <row r="20" spans="1:11" x14ac:dyDescent="0.25">
      <c r="A20" s="14" t="s">
        <v>117</v>
      </c>
      <c r="B20">
        <v>99.461399999999998</v>
      </c>
      <c r="C20" s="6">
        <v>99.461399999999998</v>
      </c>
      <c r="D20" s="6">
        <v>99.461500000000001</v>
      </c>
      <c r="E20" s="6">
        <v>99.461399999999998</v>
      </c>
      <c r="F20" s="6">
        <v>99.461399999999998</v>
      </c>
      <c r="G20" s="6">
        <v>99.461399999999998</v>
      </c>
      <c r="H20" s="6">
        <v>99.461500000000001</v>
      </c>
      <c r="I20" s="6">
        <v>99.461200000000005</v>
      </c>
      <c r="J20" s="6">
        <v>99.461500000000001</v>
      </c>
      <c r="K20" s="6">
        <v>99.461200000000005</v>
      </c>
    </row>
    <row r="21" spans="1:11" x14ac:dyDescent="0.25">
      <c r="A21" s="14" t="s">
        <v>118</v>
      </c>
      <c r="D21" s="6">
        <v>-0.15875400000000001</v>
      </c>
      <c r="H21" s="6">
        <v>-0.15485099999999999</v>
      </c>
      <c r="I21" s="6">
        <v>-0.126892</v>
      </c>
      <c r="J21" s="6">
        <v>-0.14646300000000001</v>
      </c>
      <c r="K21" s="6">
        <v>-0.12356499999999999</v>
      </c>
    </row>
    <row r="22" spans="1:11" x14ac:dyDescent="0.25">
      <c r="A22" s="14" t="s">
        <v>119</v>
      </c>
      <c r="B22" s="14">
        <v>413.54700000000003</v>
      </c>
      <c r="C22" s="14">
        <v>418.85899999999998</v>
      </c>
      <c r="D22" s="14">
        <v>423.30099999999999</v>
      </c>
      <c r="E22" s="14">
        <v>488.08100000000002</v>
      </c>
      <c r="F22" s="14">
        <v>462.08499999999998</v>
      </c>
      <c r="G22" s="14">
        <v>523.01199999999994</v>
      </c>
      <c r="H22" s="14">
        <v>536.12300000000005</v>
      </c>
      <c r="I22" s="14">
        <v>467.23</v>
      </c>
      <c r="J22" s="14">
        <v>464.01900000000001</v>
      </c>
      <c r="K22" s="14">
        <v>430.91699999999997</v>
      </c>
    </row>
    <row r="23" spans="1:11" x14ac:dyDescent="0.25">
      <c r="A23" s="14" t="s">
        <v>120</v>
      </c>
      <c r="B23" s="14">
        <v>0.21549399999999999</v>
      </c>
      <c r="C23" s="14">
        <v>0.28874100000000003</v>
      </c>
      <c r="D23" s="14">
        <v>0.27813900000000003</v>
      </c>
      <c r="E23" s="14">
        <v>0.16180600000000001</v>
      </c>
      <c r="F23" s="14">
        <v>0.25490600000000002</v>
      </c>
      <c r="G23" s="14">
        <v>0.15048400000000001</v>
      </c>
      <c r="H23" s="14">
        <v>0.13911799999999999</v>
      </c>
      <c r="I23" s="14">
        <v>0.170733</v>
      </c>
      <c r="J23" s="14">
        <v>8.0278000000000002E-2</v>
      </c>
      <c r="K23" s="14">
        <v>9.9551000000000001E-2</v>
      </c>
    </row>
    <row r="24" spans="1:11" x14ac:dyDescent="0.25">
      <c r="A24" s="14" t="s">
        <v>121</v>
      </c>
      <c r="B24" s="14">
        <v>0.28642499999999999</v>
      </c>
      <c r="C24" s="14">
        <v>0.16747300000000001</v>
      </c>
      <c r="D24" s="14">
        <v>0.17304700000000001</v>
      </c>
      <c r="E24" s="14">
        <v>0.20138900000000001</v>
      </c>
      <c r="F24" s="14">
        <v>0.168182</v>
      </c>
      <c r="G24" s="14">
        <v>0.20019899999999999</v>
      </c>
      <c r="H24" s="14">
        <v>0.20818500000000001</v>
      </c>
      <c r="I24" s="14">
        <v>0.208922</v>
      </c>
      <c r="J24" s="14">
        <v>0.21656600000000001</v>
      </c>
      <c r="K24" s="14">
        <v>0.21681400000000001</v>
      </c>
    </row>
    <row r="29" spans="1:11" ht="15.75" thickBot="1" x14ac:dyDescent="0.3">
      <c r="A29" s="50" t="s">
        <v>98</v>
      </c>
      <c r="B29" s="50" t="s">
        <v>83</v>
      </c>
      <c r="C29" s="50" t="s">
        <v>169</v>
      </c>
      <c r="D29" s="50" t="s">
        <v>124</v>
      </c>
      <c r="E29" s="50" t="s">
        <v>125</v>
      </c>
      <c r="F29" s="50" t="s">
        <v>126</v>
      </c>
      <c r="G29" s="50" t="s">
        <v>170</v>
      </c>
      <c r="H29" s="50" t="s">
        <v>127</v>
      </c>
      <c r="I29" s="50" t="s">
        <v>167</v>
      </c>
      <c r="J29" s="50" t="s">
        <v>128</v>
      </c>
      <c r="K29" s="50" t="s">
        <v>168</v>
      </c>
    </row>
    <row r="30" spans="1:11" ht="15.75" thickTop="1" x14ac:dyDescent="0.25">
      <c r="A30" s="51" t="s">
        <v>187</v>
      </c>
      <c r="B30" s="52">
        <v>3190.02</v>
      </c>
      <c r="C30" s="52">
        <v>3210.54</v>
      </c>
      <c r="D30" s="52">
        <v>3202.85</v>
      </c>
      <c r="E30" s="52">
        <v>3194.11</v>
      </c>
      <c r="F30" s="52">
        <v>3205.07</v>
      </c>
      <c r="G30" s="52">
        <v>3191.05</v>
      </c>
      <c r="H30" s="52">
        <v>3182.09</v>
      </c>
      <c r="I30" s="52">
        <v>2039.62</v>
      </c>
      <c r="J30" s="52">
        <v>3168.69</v>
      </c>
      <c r="K30" s="52">
        <v>2036.43</v>
      </c>
    </row>
    <row r="31" spans="1:11" x14ac:dyDescent="0.25">
      <c r="A31" s="51" t="s">
        <v>188</v>
      </c>
      <c r="B31" s="52">
        <v>-16.119499999999999</v>
      </c>
      <c r="C31" s="52">
        <v>-2.3565499999999999</v>
      </c>
      <c r="D31" s="52">
        <v>-0.80638200000000004</v>
      </c>
      <c r="E31" s="52">
        <v>-6.2237900000000002</v>
      </c>
      <c r="F31" s="52">
        <v>-4.0861099999999997</v>
      </c>
      <c r="G31" s="52">
        <v>-7.2344999999999997</v>
      </c>
      <c r="H31" s="52">
        <v>-5.6354499999999996</v>
      </c>
      <c r="I31" s="52">
        <v>-32.738799999999998</v>
      </c>
      <c r="J31" s="52">
        <v>-11.0854</v>
      </c>
      <c r="K31" s="52">
        <v>-34.89</v>
      </c>
    </row>
    <row r="32" spans="1:11" x14ac:dyDescent="0.25">
      <c r="A32" s="51" t="s">
        <v>189</v>
      </c>
      <c r="B32" s="52">
        <v>1568.22</v>
      </c>
      <c r="C32" s="52">
        <v>1576.75</v>
      </c>
      <c r="D32" s="52">
        <v>1573.39</v>
      </c>
      <c r="E32" s="52">
        <v>1569.87</v>
      </c>
      <c r="F32" s="52">
        <v>1577.55</v>
      </c>
      <c r="G32" s="52">
        <v>1570.42</v>
      </c>
      <c r="H32" s="52">
        <v>1568.46</v>
      </c>
      <c r="I32" s="52">
        <v>525.05200000000002</v>
      </c>
      <c r="J32" s="52">
        <v>1561.77</v>
      </c>
      <c r="K32" s="52">
        <v>521.178</v>
      </c>
    </row>
    <row r="33" spans="1:11" x14ac:dyDescent="0.25">
      <c r="A33" s="51" t="s">
        <v>190</v>
      </c>
      <c r="B33" s="52">
        <v>1633.74</v>
      </c>
      <c r="C33" s="52">
        <v>1634.15</v>
      </c>
      <c r="D33" s="52">
        <v>1625.46</v>
      </c>
      <c r="E33" s="52">
        <v>1635.35</v>
      </c>
      <c r="F33" s="52">
        <v>1634.62</v>
      </c>
      <c r="G33" s="52">
        <v>1635.6</v>
      </c>
      <c r="H33" s="52">
        <v>1625.2</v>
      </c>
      <c r="I33" s="52">
        <v>1562.15</v>
      </c>
      <c r="J33" s="52">
        <v>1622.36</v>
      </c>
      <c r="K33" s="52">
        <v>1562.75</v>
      </c>
    </row>
    <row r="34" spans="1:11" x14ac:dyDescent="0.25">
      <c r="A34" s="51" t="s">
        <v>142</v>
      </c>
      <c r="B34" s="52">
        <v>-5.4985799999999996</v>
      </c>
      <c r="C34" s="52">
        <v>-8.3657299999999992</v>
      </c>
      <c r="D34" s="52">
        <v>-5.59762</v>
      </c>
      <c r="E34" s="52">
        <v>-15.4764</v>
      </c>
      <c r="F34" s="52">
        <v>-12.3375</v>
      </c>
      <c r="G34" s="52">
        <v>-17.461500000000001</v>
      </c>
      <c r="H34" s="52">
        <v>-15.696199999999999</v>
      </c>
      <c r="I34" s="52">
        <v>-20.4834</v>
      </c>
      <c r="J34" s="52">
        <v>-13.6708</v>
      </c>
      <c r="K34" s="52">
        <v>-18.4663</v>
      </c>
    </row>
    <row r="35" spans="1:11" x14ac:dyDescent="0.25">
      <c r="A35" s="51" t="s">
        <v>143</v>
      </c>
      <c r="B35" s="52">
        <v>1.4751799999999999</v>
      </c>
      <c r="C35" s="52">
        <v>1.44892</v>
      </c>
      <c r="D35" s="52">
        <v>1.89645</v>
      </c>
      <c r="E35" s="52">
        <v>2.0284499999999999</v>
      </c>
      <c r="F35" s="52">
        <v>1.5850299999999999</v>
      </c>
      <c r="G35" s="52">
        <v>2.1255700000000002</v>
      </c>
      <c r="H35" s="52">
        <v>2.6694900000000001</v>
      </c>
      <c r="I35" s="52">
        <v>1.17045</v>
      </c>
      <c r="J35" s="52">
        <v>2.13089</v>
      </c>
      <c r="K35" s="52">
        <v>1.3033999999999999</v>
      </c>
    </row>
    <row r="36" spans="1:11" x14ac:dyDescent="0.25">
      <c r="A36" s="51" t="s">
        <v>144</v>
      </c>
      <c r="B36" s="52">
        <v>5.8310399999999998E-2</v>
      </c>
      <c r="C36" s="52">
        <v>1.90523</v>
      </c>
      <c r="D36" s="52">
        <v>2.0998800000000002</v>
      </c>
      <c r="E36" s="52">
        <v>1.60277</v>
      </c>
      <c r="F36" s="52">
        <v>0.73771900000000001</v>
      </c>
      <c r="G36" s="52">
        <v>0.64503200000000005</v>
      </c>
      <c r="H36" s="52">
        <v>0.71463900000000002</v>
      </c>
      <c r="I36" s="52">
        <v>0.542184</v>
      </c>
      <c r="J36" s="52">
        <v>0.69277500000000003</v>
      </c>
      <c r="K36" s="52">
        <v>0.61271600000000004</v>
      </c>
    </row>
    <row r="37" spans="1:11" x14ac:dyDescent="0.25">
      <c r="A37" s="51" t="s">
        <v>191</v>
      </c>
      <c r="B37" s="52">
        <v>1.5899099999999999</v>
      </c>
      <c r="C37" s="52">
        <v>0.472945</v>
      </c>
      <c r="D37" s="52">
        <v>5.1286400000000003E-3</v>
      </c>
      <c r="E37" s="52">
        <v>0.468165</v>
      </c>
      <c r="F37" s="52">
        <v>0.47292699999999999</v>
      </c>
      <c r="G37" s="52">
        <v>0.46814299999999998</v>
      </c>
      <c r="H37" s="52">
        <v>5.3073800000000004E-3</v>
      </c>
      <c r="I37" s="52">
        <v>3.25546E-3</v>
      </c>
      <c r="J37" s="52">
        <v>5.2189699999999999E-3</v>
      </c>
      <c r="K37" s="52">
        <v>3.3026800000000001E-3</v>
      </c>
    </row>
    <row r="38" spans="1:11" x14ac:dyDescent="0.25">
      <c r="A38" s="51" t="s">
        <v>192</v>
      </c>
      <c r="B38" s="52">
        <v>463.70499999999998</v>
      </c>
      <c r="C38" s="52">
        <v>472.99400000000003</v>
      </c>
      <c r="D38" s="52">
        <v>406.78399999999999</v>
      </c>
      <c r="E38" s="52">
        <v>495.07299999999998</v>
      </c>
      <c r="F38" s="52">
        <v>544.07000000000005</v>
      </c>
      <c r="G38" s="52">
        <v>548.40099999999995</v>
      </c>
      <c r="H38" s="52">
        <v>485.40600000000001</v>
      </c>
      <c r="I38" s="52">
        <v>444.55</v>
      </c>
      <c r="J38" s="52">
        <v>324.786</v>
      </c>
      <c r="K38" s="52">
        <v>310.91199999999998</v>
      </c>
    </row>
    <row r="39" spans="1:11" x14ac:dyDescent="0.25">
      <c r="A39" s="51" t="s">
        <v>193</v>
      </c>
      <c r="B39" s="52">
        <v>13.047000000000001</v>
      </c>
      <c r="C39" s="52">
        <v>13.066800000000001</v>
      </c>
      <c r="D39" s="52">
        <v>12.916</v>
      </c>
      <c r="E39" s="52">
        <v>13.112500000000001</v>
      </c>
      <c r="F39" s="52">
        <v>13.206799999999999</v>
      </c>
      <c r="G39" s="52">
        <v>13.2148</v>
      </c>
      <c r="H39" s="52">
        <v>13.092700000000001</v>
      </c>
      <c r="I39" s="52">
        <v>13.004799999999999</v>
      </c>
      <c r="J39" s="52">
        <v>12.690899999999999</v>
      </c>
      <c r="K39" s="52">
        <v>12.6473</v>
      </c>
    </row>
    <row r="40" spans="1:11" x14ac:dyDescent="0.25">
      <c r="A40" s="51" t="s">
        <v>194</v>
      </c>
      <c r="B40" s="52"/>
      <c r="C40" s="52"/>
      <c r="D40" s="52"/>
      <c r="E40" s="52"/>
      <c r="F40" s="53">
        <v>-1.13822E-2</v>
      </c>
      <c r="G40" s="53">
        <v>-8.4241200000000002E-3</v>
      </c>
      <c r="H40" s="53">
        <v>-9.2460300000000006E-3</v>
      </c>
      <c r="I40" s="53">
        <v>-9.6246500000000002E-3</v>
      </c>
      <c r="J40" s="53">
        <v>-9.1867500000000005E-3</v>
      </c>
      <c r="K40" s="53">
        <v>-9.7754199999999999E-3</v>
      </c>
    </row>
    <row r="41" spans="1:11" x14ac:dyDescent="0.25">
      <c r="A41" s="51" t="s">
        <v>195</v>
      </c>
      <c r="B41" s="52">
        <v>0.46648800000000001</v>
      </c>
      <c r="C41" s="52">
        <v>0.46666800000000003</v>
      </c>
      <c r="D41" s="52">
        <v>0.44459599999999999</v>
      </c>
      <c r="E41" s="52"/>
      <c r="F41" s="52">
        <v>0.47234500000000001</v>
      </c>
      <c r="G41" s="53"/>
      <c r="H41" s="53"/>
      <c r="I41" s="53"/>
      <c r="J41" s="53"/>
      <c r="K41" s="53"/>
    </row>
    <row r="42" spans="1:11" x14ac:dyDescent="0.25">
      <c r="A42" s="51" t="s">
        <v>196</v>
      </c>
      <c r="B42" s="52">
        <v>0.82305200000000001</v>
      </c>
      <c r="C42" s="52">
        <v>0.74500900000000003</v>
      </c>
      <c r="D42" s="52">
        <v>0.74508200000000002</v>
      </c>
      <c r="E42" s="52"/>
      <c r="F42" s="52">
        <v>0.74747699999999995</v>
      </c>
      <c r="G42" s="52"/>
      <c r="H42" s="52"/>
      <c r="I42" s="52"/>
      <c r="J42" s="52"/>
      <c r="K42" s="52"/>
    </row>
    <row r="43" spans="1:11" x14ac:dyDescent="0.25">
      <c r="A43" s="51" t="s">
        <v>111</v>
      </c>
      <c r="B43" s="52"/>
      <c r="C43" s="51"/>
      <c r="D43" s="51"/>
      <c r="E43" s="52">
        <v>0.36576399999999998</v>
      </c>
      <c r="F43" s="51"/>
      <c r="G43" s="52">
        <v>0.372143</v>
      </c>
      <c r="H43" s="52">
        <v>0.34570200000000001</v>
      </c>
      <c r="I43" s="52">
        <v>0.36758000000000002</v>
      </c>
      <c r="J43" s="52">
        <v>0.40371699999999999</v>
      </c>
      <c r="K43" s="52">
        <v>0.40847600000000001</v>
      </c>
    </row>
    <row r="44" spans="1:11" x14ac:dyDescent="0.25">
      <c r="A44" s="51" t="s">
        <v>113</v>
      </c>
      <c r="B44" s="52"/>
      <c r="C44" s="52"/>
      <c r="D44" s="52"/>
      <c r="E44" s="52">
        <v>1.11557</v>
      </c>
      <c r="F44" s="52"/>
      <c r="G44" s="52">
        <v>1.09066</v>
      </c>
      <c r="H44" s="52">
        <v>1.17354</v>
      </c>
      <c r="I44" s="52">
        <v>0.983962</v>
      </c>
      <c r="J44" s="52"/>
      <c r="K44" s="52"/>
    </row>
    <row r="45" spans="1:11" x14ac:dyDescent="0.25">
      <c r="A45" s="51" t="s">
        <v>114</v>
      </c>
      <c r="B45" s="52"/>
      <c r="C45" s="52"/>
      <c r="D45" s="52"/>
      <c r="E45" s="52"/>
      <c r="F45" s="52"/>
      <c r="G45" s="52"/>
      <c r="H45" s="52"/>
      <c r="I45" s="52"/>
      <c r="J45" s="52">
        <v>0.57211599999999996</v>
      </c>
      <c r="K45" s="52">
        <v>0.50761400000000001</v>
      </c>
    </row>
    <row r="46" spans="1:11" x14ac:dyDescent="0.25">
      <c r="A46" s="51" t="s">
        <v>115</v>
      </c>
      <c r="B46" s="52">
        <v>99.461399999999998</v>
      </c>
      <c r="C46" s="52">
        <v>99.461399999999998</v>
      </c>
      <c r="D46" s="52">
        <v>99.461500000000001</v>
      </c>
      <c r="E46" s="52">
        <v>99.461399999999998</v>
      </c>
      <c r="F46" s="52">
        <v>99.461399999999998</v>
      </c>
      <c r="G46" s="52">
        <v>99.461399999999998</v>
      </c>
      <c r="H46" s="52">
        <v>99.461500000000001</v>
      </c>
      <c r="I46" s="52">
        <v>99.461200000000005</v>
      </c>
      <c r="J46" s="52">
        <v>99.461500000000001</v>
      </c>
      <c r="K46" s="52">
        <v>99.461200000000005</v>
      </c>
    </row>
    <row r="47" spans="1:11" x14ac:dyDescent="0.25">
      <c r="A47" s="51" t="s">
        <v>116</v>
      </c>
      <c r="B47" s="52"/>
      <c r="C47" s="52"/>
      <c r="D47" s="52">
        <v>0.11057500000000001</v>
      </c>
      <c r="E47" s="52"/>
      <c r="F47" s="52"/>
      <c r="G47" s="52"/>
      <c r="H47" s="52">
        <v>0.110442</v>
      </c>
      <c r="I47" s="52">
        <v>9.6753400000000003E-2</v>
      </c>
      <c r="J47" s="52">
        <v>0.109458</v>
      </c>
      <c r="K47" s="52">
        <v>9.67755E-2</v>
      </c>
    </row>
    <row r="48" spans="1:11" x14ac:dyDescent="0.25">
      <c r="A48" s="51" t="s">
        <v>117</v>
      </c>
      <c r="B48" s="52">
        <v>0.16803999999999999</v>
      </c>
      <c r="C48" s="52">
        <v>0.16755100000000001</v>
      </c>
      <c r="D48" s="52">
        <v>0.16689100000000001</v>
      </c>
      <c r="E48" s="52">
        <v>0.16770499999999999</v>
      </c>
      <c r="F48" s="52">
        <v>0.16755100000000001</v>
      </c>
      <c r="G48" s="52">
        <v>0.16770499999999999</v>
      </c>
      <c r="H48" s="52">
        <v>0.166937</v>
      </c>
      <c r="I48" s="52">
        <v>0.16975199999999999</v>
      </c>
      <c r="J48" s="52">
        <v>0.16717499999999999</v>
      </c>
      <c r="K48" s="52">
        <v>0.170323</v>
      </c>
    </row>
    <row r="49" spans="1:11" x14ac:dyDescent="0.25">
      <c r="A49" s="51" t="s">
        <v>118</v>
      </c>
      <c r="B49" s="52"/>
      <c r="C49" s="52"/>
      <c r="D49" s="52">
        <v>-0.15875400000000001</v>
      </c>
      <c r="E49" s="52"/>
      <c r="F49" s="52"/>
      <c r="G49" s="52"/>
      <c r="H49" s="52">
        <v>-0.15485099999999999</v>
      </c>
      <c r="I49" s="52">
        <v>-0.126892</v>
      </c>
      <c r="J49" s="52">
        <v>-0.14646300000000001</v>
      </c>
      <c r="K49" s="52">
        <v>-0.12356499999999999</v>
      </c>
    </row>
    <row r="50" spans="1:11" x14ac:dyDescent="0.25">
      <c r="A50" s="51" t="s">
        <v>119</v>
      </c>
      <c r="B50" s="52">
        <v>413.54700000000003</v>
      </c>
      <c r="C50" s="52">
        <v>418.85899999999998</v>
      </c>
      <c r="D50" s="52">
        <v>423.30099999999999</v>
      </c>
      <c r="E50" s="52">
        <v>488.08100000000002</v>
      </c>
      <c r="F50" s="52">
        <v>462.08499999999998</v>
      </c>
      <c r="G50" s="52">
        <v>523.01199999999994</v>
      </c>
      <c r="H50" s="52">
        <v>536.12300000000005</v>
      </c>
      <c r="I50" s="52">
        <v>467.23</v>
      </c>
      <c r="J50" s="52">
        <v>464.01900000000001</v>
      </c>
      <c r="K50" s="52">
        <v>430.91699999999997</v>
      </c>
    </row>
    <row r="51" spans="1:11" x14ac:dyDescent="0.25">
      <c r="A51" s="51" t="s">
        <v>120</v>
      </c>
      <c r="B51" s="52">
        <v>0.21549399999999999</v>
      </c>
      <c r="C51" s="52">
        <v>0.28874100000000003</v>
      </c>
      <c r="D51" s="52">
        <v>0.27813900000000003</v>
      </c>
      <c r="E51" s="52">
        <v>0.16180600000000001</v>
      </c>
      <c r="F51" s="52">
        <v>0.25490600000000002</v>
      </c>
      <c r="G51" s="52">
        <v>0.15048400000000001</v>
      </c>
      <c r="H51" s="52">
        <v>0.13911799999999999</v>
      </c>
      <c r="I51" s="52">
        <v>0.170733</v>
      </c>
      <c r="J51" s="52">
        <v>8.0278000000000002E-2</v>
      </c>
      <c r="K51" s="52">
        <v>9.9551000000000001E-2</v>
      </c>
    </row>
    <row r="52" spans="1:11" x14ac:dyDescent="0.25">
      <c r="A52" s="54" t="s">
        <v>121</v>
      </c>
      <c r="B52" s="55">
        <v>0.28642499999999999</v>
      </c>
      <c r="C52" s="55">
        <v>0.16747300000000001</v>
      </c>
      <c r="D52" s="55">
        <v>0.17304700000000001</v>
      </c>
      <c r="E52" s="55">
        <v>0.20138900000000001</v>
      </c>
      <c r="F52" s="55">
        <v>0.168182</v>
      </c>
      <c r="G52" s="55">
        <v>0.20019899999999999</v>
      </c>
      <c r="H52" s="55">
        <v>0.20818500000000001</v>
      </c>
      <c r="I52" s="55">
        <v>0.208922</v>
      </c>
      <c r="J52" s="55">
        <v>0.21656600000000001</v>
      </c>
      <c r="K52" s="55">
        <v>0.21681400000000001</v>
      </c>
    </row>
  </sheetData>
  <conditionalFormatting sqref="B6:H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H6 J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H7 J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:H4 J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:H5 J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H2 J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1"/>
  <sheetViews>
    <sheetView tabSelected="1" topLeftCell="C1" workbookViewId="0">
      <selection activeCell="L13" sqref="L13:L14"/>
    </sheetView>
  </sheetViews>
  <sheetFormatPr defaultRowHeight="15" x14ac:dyDescent="0.25"/>
  <cols>
    <col min="1" max="1" width="21" customWidth="1"/>
    <col min="2" max="2" width="15.85546875" customWidth="1"/>
    <col min="9" max="9" width="9.140625" style="1"/>
    <col min="15" max="15" width="26.85546875" customWidth="1"/>
  </cols>
  <sheetData>
    <row r="1" spans="1:19" ht="15.75" thickBot="1" x14ac:dyDescent="0.3">
      <c r="A1" s="35" t="s">
        <v>98</v>
      </c>
      <c r="B1" s="35" t="s">
        <v>99</v>
      </c>
      <c r="C1" s="35" t="s">
        <v>100</v>
      </c>
      <c r="D1" s="35" t="s">
        <v>101</v>
      </c>
      <c r="E1" s="35" t="s">
        <v>102</v>
      </c>
      <c r="F1" s="35" t="s">
        <v>103</v>
      </c>
      <c r="G1" s="35" t="s">
        <v>104</v>
      </c>
      <c r="H1" s="35" t="s">
        <v>109</v>
      </c>
      <c r="I1" s="42" t="s">
        <v>0</v>
      </c>
    </row>
    <row r="2" spans="1:19" ht="15.75" thickTop="1" x14ac:dyDescent="0.25">
      <c r="A2" t="s">
        <v>108</v>
      </c>
      <c r="B2" s="14">
        <v>1633.74</v>
      </c>
      <c r="C2" s="14">
        <v>302.58100000000002</v>
      </c>
      <c r="D2" s="14">
        <v>362.40899999999999</v>
      </c>
      <c r="E2" s="14">
        <v>288.44900000000001</v>
      </c>
      <c r="F2" s="14">
        <v>680.29899999999998</v>
      </c>
      <c r="I2">
        <v>19.100000000000001</v>
      </c>
      <c r="K2">
        <v>19.100000000000001</v>
      </c>
      <c r="L2" s="14">
        <f t="shared" ref="L2:L5" si="0">C2-MIN(C$2:C$8,C$10)</f>
        <v>0.18100000000004002</v>
      </c>
      <c r="M2" s="14">
        <f t="shared" ref="M2:M5" si="1">D2-MIN(D$2:D$8,D$10)</f>
        <v>4.2969999999999686</v>
      </c>
      <c r="N2" s="14">
        <f t="shared" ref="N2:N5" si="2">E2-MIN(E$2:E$8,E$10)</f>
        <v>2.9519999999999982</v>
      </c>
      <c r="O2" s="14">
        <f t="shared" ref="O2:O5" si="3">F2-MIN(F$2:F$8,F$10)</f>
        <v>4.3650000000000091</v>
      </c>
    </row>
    <row r="3" spans="1:19" x14ac:dyDescent="0.25">
      <c r="A3" s="27" t="s">
        <v>108</v>
      </c>
      <c r="B3" s="23">
        <v>1634.15</v>
      </c>
      <c r="C3" s="23">
        <v>303.56400000000002</v>
      </c>
      <c r="D3" s="23">
        <v>361.95299999999997</v>
      </c>
      <c r="E3" s="23">
        <v>288.31</v>
      </c>
      <c r="F3" s="23">
        <v>680.322</v>
      </c>
      <c r="G3" s="15"/>
      <c r="I3" s="26" t="s">
        <v>159</v>
      </c>
      <c r="K3" s="26" t="s">
        <v>159</v>
      </c>
      <c r="L3" s="14">
        <f t="shared" si="0"/>
        <v>1.1640000000000441</v>
      </c>
      <c r="M3" s="14">
        <f t="shared" si="1"/>
        <v>3.8409999999999513</v>
      </c>
      <c r="N3" s="14">
        <f t="shared" si="2"/>
        <v>2.8129999999999882</v>
      </c>
      <c r="O3" s="14">
        <f t="shared" si="3"/>
        <v>4.3880000000000337</v>
      </c>
      <c r="P3" s="2"/>
      <c r="Q3" s="2"/>
      <c r="R3" s="2"/>
      <c r="S3" s="2"/>
    </row>
    <row r="4" spans="1:19" x14ac:dyDescent="0.25">
      <c r="A4" s="27" t="s">
        <v>108</v>
      </c>
      <c r="B4" s="23">
        <v>1625.46</v>
      </c>
      <c r="C4" s="23">
        <v>302.39999999999998</v>
      </c>
      <c r="D4" s="23">
        <v>358.74400000000003</v>
      </c>
      <c r="E4" s="23">
        <v>285.91399999999999</v>
      </c>
      <c r="F4" s="23">
        <v>678.4</v>
      </c>
      <c r="G4" s="15"/>
      <c r="I4" s="26" t="s">
        <v>160</v>
      </c>
      <c r="K4" s="26" t="s">
        <v>160</v>
      </c>
      <c r="L4" s="14">
        <f t="shared" si="0"/>
        <v>0</v>
      </c>
      <c r="M4" s="14">
        <f t="shared" si="1"/>
        <v>0.632000000000005</v>
      </c>
      <c r="N4" s="14">
        <f t="shared" si="2"/>
        <v>0.41699999999997317</v>
      </c>
      <c r="O4" s="14">
        <f t="shared" si="3"/>
        <v>2.4660000000000082</v>
      </c>
      <c r="P4" s="2"/>
      <c r="Q4" s="2"/>
      <c r="R4" s="2"/>
      <c r="S4" s="2"/>
    </row>
    <row r="5" spans="1:19" x14ac:dyDescent="0.25">
      <c r="A5" t="s">
        <v>108</v>
      </c>
      <c r="B5" s="14">
        <v>1635.35</v>
      </c>
      <c r="C5" s="14">
        <v>304.21499999999997</v>
      </c>
      <c r="D5" s="14">
        <v>362.37799999999999</v>
      </c>
      <c r="E5" s="14">
        <v>288.27499999999998</v>
      </c>
      <c r="F5" s="14">
        <v>680.48099999999999</v>
      </c>
      <c r="I5" s="26" t="s">
        <v>161</v>
      </c>
      <c r="K5" s="26" t="s">
        <v>161</v>
      </c>
      <c r="L5" s="14">
        <f t="shared" si="0"/>
        <v>1.8149999999999977</v>
      </c>
      <c r="M5" s="14">
        <f t="shared" si="1"/>
        <v>4.2659999999999627</v>
      </c>
      <c r="N5" s="14">
        <f t="shared" si="2"/>
        <v>2.7779999999999632</v>
      </c>
      <c r="O5" s="14">
        <f t="shared" si="3"/>
        <v>4.5470000000000255</v>
      </c>
      <c r="P5" s="2"/>
      <c r="Q5" s="2"/>
      <c r="R5" s="2"/>
      <c r="S5" s="2"/>
    </row>
    <row r="6" spans="1:19" x14ac:dyDescent="0.25">
      <c r="A6" t="s">
        <v>108</v>
      </c>
      <c r="B6" s="14">
        <v>1635.6</v>
      </c>
      <c r="C6" s="14">
        <v>304.25</v>
      </c>
      <c r="D6" s="14">
        <v>362.37299999999999</v>
      </c>
      <c r="E6" s="14">
        <v>288.274</v>
      </c>
      <c r="F6" s="14">
        <v>680.702</v>
      </c>
      <c r="I6" s="26" t="s">
        <v>163</v>
      </c>
      <c r="K6" s="26" t="s">
        <v>162</v>
      </c>
      <c r="L6" s="14">
        <f>C7-MIN(C$2:C$8,C$10)</f>
        <v>1.2139999999999986</v>
      </c>
      <c r="M6" s="14">
        <f>D7-MIN(D$2:D$8,D$10)</f>
        <v>3.8719999999999573</v>
      </c>
      <c r="N6" s="14">
        <f>E7-MIN(E$2:E$8,E$10)</f>
        <v>2.8220000000000027</v>
      </c>
      <c r="O6" s="14">
        <f>F7-MIN(F$2:F$8,F$10)</f>
        <v>4.7730000000000246</v>
      </c>
      <c r="P6" s="2"/>
      <c r="Q6" s="2"/>
      <c r="R6" s="2"/>
      <c r="S6" s="2"/>
    </row>
    <row r="7" spans="1:19" x14ac:dyDescent="0.25">
      <c r="A7" t="s">
        <v>108</v>
      </c>
      <c r="B7" s="14">
        <v>1634.62</v>
      </c>
      <c r="C7" s="14">
        <v>303.61399999999998</v>
      </c>
      <c r="D7" s="14">
        <v>361.98399999999998</v>
      </c>
      <c r="E7" s="14">
        <v>288.31900000000002</v>
      </c>
      <c r="F7" s="14">
        <v>680.70699999999999</v>
      </c>
      <c r="I7" s="26" t="s">
        <v>162</v>
      </c>
      <c r="K7" s="1" t="s">
        <v>164</v>
      </c>
      <c r="L7" s="14">
        <f>C8-MIN(C$2:C$8,C$10)</f>
        <v>0.55700000000001637</v>
      </c>
      <c r="M7" s="14">
        <f>D8-MIN(D$2:D$8,D$10)</f>
        <v>0.65399999999999636</v>
      </c>
      <c r="N7" s="14">
        <f>E8-MIN(E$2:E$8,E$10)</f>
        <v>6.2999999999988177E-2</v>
      </c>
      <c r="O7" s="14">
        <f>F8-MIN(F$2:F$8,F$10)</f>
        <v>1.9780000000000655</v>
      </c>
      <c r="P7" s="2"/>
      <c r="Q7" s="2"/>
      <c r="R7" s="2"/>
      <c r="S7" s="2"/>
    </row>
    <row r="8" spans="1:19" x14ac:dyDescent="0.25">
      <c r="A8" t="s">
        <v>108</v>
      </c>
      <c r="B8" s="14">
        <v>1625.2</v>
      </c>
      <c r="C8" s="14">
        <v>302.95699999999999</v>
      </c>
      <c r="D8" s="14">
        <v>358.76600000000002</v>
      </c>
      <c r="E8" s="14">
        <v>285.56</v>
      </c>
      <c r="F8" s="14">
        <v>677.91200000000003</v>
      </c>
      <c r="I8" s="1" t="s">
        <v>164</v>
      </c>
      <c r="K8" s="1" t="s">
        <v>110</v>
      </c>
      <c r="L8" s="14">
        <f>C10-MIN(C$2:C$8,C$10)</f>
        <v>0.42000000000001592</v>
      </c>
      <c r="M8" s="14">
        <f t="shared" ref="M8:O8" si="4">D10-MIN(D$2:D$8,D$10)</f>
        <v>0</v>
      </c>
      <c r="N8" s="14">
        <f t="shared" si="4"/>
        <v>0</v>
      </c>
      <c r="O8" s="14">
        <f t="shared" si="4"/>
        <v>0</v>
      </c>
    </row>
    <row r="9" spans="1:19" x14ac:dyDescent="0.25">
      <c r="A9" t="s">
        <v>108</v>
      </c>
      <c r="B9" s="14">
        <v>1562.15</v>
      </c>
      <c r="C9" s="14">
        <v>295.62900000000002</v>
      </c>
      <c r="D9" s="14">
        <v>342.96100000000001</v>
      </c>
      <c r="E9" s="14">
        <v>276.28899999999999</v>
      </c>
      <c r="F9" s="14">
        <v>647.26700000000005</v>
      </c>
      <c r="I9" s="1" t="s">
        <v>165</v>
      </c>
    </row>
    <row r="10" spans="1:19" x14ac:dyDescent="0.25">
      <c r="A10" t="s">
        <v>108</v>
      </c>
      <c r="B10" s="14">
        <v>1622.36</v>
      </c>
      <c r="C10" s="14">
        <v>302.82</v>
      </c>
      <c r="D10" s="14">
        <v>358.11200000000002</v>
      </c>
      <c r="E10" s="14">
        <v>285.49700000000001</v>
      </c>
      <c r="F10" s="14">
        <v>675.93399999999997</v>
      </c>
      <c r="I10" s="1" t="s">
        <v>110</v>
      </c>
      <c r="K10">
        <v>19.100000000000001</v>
      </c>
      <c r="L10" s="14">
        <f>C12-MIN(C$12:C$18,C$20)</f>
        <v>12.722000000000037</v>
      </c>
      <c r="M10" s="14">
        <f t="shared" ref="M10:O15" si="5">D12-MIN(D$12:D$18,D$20)</f>
        <v>0.44700000000000273</v>
      </c>
      <c r="N10" s="14">
        <f t="shared" si="5"/>
        <v>0</v>
      </c>
      <c r="O10" s="14">
        <f>F12-MIN(F$12:F$18,F$20)</f>
        <v>0</v>
      </c>
    </row>
    <row r="11" spans="1:19" x14ac:dyDescent="0.25">
      <c r="A11" t="s">
        <v>108</v>
      </c>
      <c r="B11" s="14">
        <v>1562.75</v>
      </c>
      <c r="C11" s="14">
        <v>295.88200000000001</v>
      </c>
      <c r="D11" s="14">
        <v>343.20699999999999</v>
      </c>
      <c r="E11" s="14">
        <v>276.64499999999998</v>
      </c>
      <c r="F11" s="14">
        <v>647.01400000000001</v>
      </c>
      <c r="I11" s="1" t="s">
        <v>166</v>
      </c>
      <c r="K11" s="26" t="s">
        <v>159</v>
      </c>
      <c r="L11" s="14">
        <f t="shared" ref="L11:L15" si="6">C13-MIN(C$12:C$18,C$20)</f>
        <v>5.9560000000000173</v>
      </c>
      <c r="M11" s="14">
        <f t="shared" si="5"/>
        <v>3.6100000000000136</v>
      </c>
      <c r="N11" s="14">
        <f t="shared" si="5"/>
        <v>4.95799999999997</v>
      </c>
      <c r="O11" s="14">
        <f t="shared" si="5"/>
        <v>4.2879999999999825</v>
      </c>
      <c r="P11" s="14">
        <f>G12-MIN(G$12:G$18,G$20)</f>
        <v>1.6940000000000168</v>
      </c>
    </row>
    <row r="12" spans="1:19" x14ac:dyDescent="0.25">
      <c r="A12" t="s">
        <v>107</v>
      </c>
      <c r="B12" s="14">
        <v>1568.22</v>
      </c>
      <c r="C12" s="14">
        <v>467.69400000000002</v>
      </c>
      <c r="D12" s="14">
        <v>316.81299999999999</v>
      </c>
      <c r="E12" s="14">
        <v>362.55200000000002</v>
      </c>
      <c r="F12" s="14">
        <v>170.06100000000001</v>
      </c>
      <c r="G12" s="14">
        <v>251.102</v>
      </c>
      <c r="H12" s="14"/>
      <c r="I12">
        <v>19.100000000000001</v>
      </c>
      <c r="K12" s="26" t="s">
        <v>160</v>
      </c>
      <c r="L12" s="14">
        <f t="shared" si="6"/>
        <v>7.7080000000000268</v>
      </c>
      <c r="M12" s="14">
        <f t="shared" si="5"/>
        <v>4.8249999999999886</v>
      </c>
      <c r="N12" s="14">
        <f t="shared" si="5"/>
        <v>1.0600000000000023</v>
      </c>
      <c r="O12" s="14">
        <f t="shared" si="5"/>
        <v>6.4419999999999789</v>
      </c>
      <c r="P12" s="14">
        <f>G13-MIN(G$12:G$18,G$20)</f>
        <v>4.5820000000000221</v>
      </c>
    </row>
    <row r="13" spans="1:19" x14ac:dyDescent="0.25">
      <c r="A13" s="27" t="s">
        <v>107</v>
      </c>
      <c r="B13" s="23">
        <v>1576.75</v>
      </c>
      <c r="C13" s="23">
        <v>460.928</v>
      </c>
      <c r="D13" s="23">
        <v>319.976</v>
      </c>
      <c r="E13" s="23">
        <v>367.51</v>
      </c>
      <c r="F13" s="23">
        <v>174.34899999999999</v>
      </c>
      <c r="G13" s="23">
        <v>253.99</v>
      </c>
      <c r="H13" s="14"/>
      <c r="I13" s="26" t="s">
        <v>159</v>
      </c>
      <c r="K13" s="26" t="s">
        <v>161</v>
      </c>
      <c r="L13" s="14">
        <f t="shared" si="6"/>
        <v>5.2000000000020918E-2</v>
      </c>
      <c r="M13" s="14">
        <f t="shared" si="5"/>
        <v>0.35700000000002774</v>
      </c>
      <c r="N13" s="14">
        <f t="shared" si="5"/>
        <v>7.4710000000000036</v>
      </c>
      <c r="O13" s="14">
        <f t="shared" si="5"/>
        <v>3.75</v>
      </c>
      <c r="P13" s="14">
        <f>G14-MIN(G$12:G$18,G$20)</f>
        <v>0</v>
      </c>
    </row>
    <row r="14" spans="1:19" x14ac:dyDescent="0.25">
      <c r="A14" s="27" t="s">
        <v>107</v>
      </c>
      <c r="B14" s="23">
        <v>1573.39</v>
      </c>
      <c r="C14" s="23">
        <v>462.68</v>
      </c>
      <c r="D14" s="23">
        <v>321.19099999999997</v>
      </c>
      <c r="E14" s="23">
        <v>363.61200000000002</v>
      </c>
      <c r="F14" s="23">
        <v>176.50299999999999</v>
      </c>
      <c r="G14" s="23">
        <v>249.40799999999999</v>
      </c>
      <c r="H14" s="14"/>
      <c r="I14" s="26" t="s">
        <v>160</v>
      </c>
      <c r="K14" s="26" t="s">
        <v>162</v>
      </c>
      <c r="L14" s="14">
        <f t="shared" si="6"/>
        <v>0</v>
      </c>
      <c r="M14" s="14">
        <f t="shared" si="5"/>
        <v>0</v>
      </c>
      <c r="N14" s="14">
        <f t="shared" si="5"/>
        <v>8.0339999999999918</v>
      </c>
      <c r="O14" s="14">
        <f t="shared" si="5"/>
        <v>4.407999999999987</v>
      </c>
      <c r="P14" s="14">
        <f>G15-MIN(G$12:G$18,G$20)</f>
        <v>4.8790000000000191</v>
      </c>
    </row>
    <row r="15" spans="1:19" x14ac:dyDescent="0.25">
      <c r="A15" t="s">
        <v>107</v>
      </c>
      <c r="B15" s="14">
        <v>1569.87</v>
      </c>
      <c r="C15" s="14">
        <v>455.024</v>
      </c>
      <c r="D15" s="14">
        <v>316.72300000000001</v>
      </c>
      <c r="E15" s="14">
        <v>370.02300000000002</v>
      </c>
      <c r="F15" s="14">
        <v>173.81100000000001</v>
      </c>
      <c r="G15" s="14">
        <v>254.28700000000001</v>
      </c>
      <c r="H15" s="14"/>
      <c r="I15" s="26" t="s">
        <v>161</v>
      </c>
      <c r="K15" s="1" t="s">
        <v>164</v>
      </c>
      <c r="L15" s="14">
        <f t="shared" si="6"/>
        <v>5.6640000000000441</v>
      </c>
      <c r="M15" s="14">
        <f t="shared" si="5"/>
        <v>3.1160000000000423</v>
      </c>
      <c r="N15" s="14">
        <f t="shared" si="5"/>
        <v>5.867999999999995</v>
      </c>
      <c r="O15" s="14">
        <f t="shared" si="5"/>
        <v>5.3379999999999939</v>
      </c>
      <c r="P15" s="14">
        <f>G17-MIN(G$12:G$18,G$20)</f>
        <v>4.2050000000000125</v>
      </c>
    </row>
    <row r="16" spans="1:19" x14ac:dyDescent="0.25">
      <c r="A16" t="s">
        <v>107</v>
      </c>
      <c r="B16" s="14">
        <v>1570.42</v>
      </c>
      <c r="C16" s="14">
        <v>454.97199999999998</v>
      </c>
      <c r="D16" s="14">
        <v>316.36599999999999</v>
      </c>
      <c r="E16" s="14">
        <v>370.58600000000001</v>
      </c>
      <c r="F16" s="14">
        <v>174.46899999999999</v>
      </c>
      <c r="G16" s="14">
        <v>254.02600000000001</v>
      </c>
      <c r="H16" s="14"/>
      <c r="I16" s="26" t="s">
        <v>163</v>
      </c>
      <c r="K16" s="1" t="s">
        <v>110</v>
      </c>
      <c r="L16" s="14">
        <f>C20-MIN(C$12:C$18,C$20)</f>
        <v>0.27500000000003411</v>
      </c>
      <c r="M16" s="14">
        <f t="shared" ref="M16:N16" si="7">D20-MIN(D$12:D$18,D$20)</f>
        <v>0.41800000000000637</v>
      </c>
      <c r="N16" s="14">
        <f t="shared" si="7"/>
        <v>0.12899999999996226</v>
      </c>
      <c r="O16" s="14">
        <f>F20-MIN(F$12:F$18,F$20)</f>
        <v>6.0759999999999934</v>
      </c>
      <c r="P16" s="14">
        <f>G18-MIN(G$12:G$18,G$20)</f>
        <v>0.34800000000001319</v>
      </c>
    </row>
    <row r="17" spans="1:17" x14ac:dyDescent="0.25">
      <c r="A17" t="s">
        <v>107</v>
      </c>
      <c r="B17" s="14">
        <v>1577.55</v>
      </c>
      <c r="C17" s="14">
        <v>460.63600000000002</v>
      </c>
      <c r="D17" s="14">
        <v>319.48200000000003</v>
      </c>
      <c r="E17" s="14">
        <v>368.42</v>
      </c>
      <c r="F17" s="14">
        <v>175.399</v>
      </c>
      <c r="G17" s="14">
        <v>253.613</v>
      </c>
      <c r="H17" s="14"/>
      <c r="I17" s="26" t="s">
        <v>162</v>
      </c>
      <c r="P17" s="14">
        <f>G20-MIN(G$12:G$18,G$20)</f>
        <v>1.5120000000000005</v>
      </c>
    </row>
    <row r="18" spans="1:17" x14ac:dyDescent="0.25">
      <c r="A18" t="s">
        <v>107</v>
      </c>
      <c r="B18" s="14">
        <v>1568.46</v>
      </c>
      <c r="C18" s="14">
        <v>456.89299999999997</v>
      </c>
      <c r="D18" s="14">
        <v>318.00200000000001</v>
      </c>
      <c r="E18" s="14">
        <v>366.88900000000001</v>
      </c>
      <c r="F18" s="14">
        <v>176.92599999999999</v>
      </c>
      <c r="G18" s="14">
        <v>249.756</v>
      </c>
      <c r="H18" s="14"/>
      <c r="I18" s="1" t="s">
        <v>164</v>
      </c>
    </row>
    <row r="19" spans="1:17" x14ac:dyDescent="0.25">
      <c r="A19" t="s">
        <v>107</v>
      </c>
      <c r="B19" s="14">
        <v>525.05200000000002</v>
      </c>
      <c r="C19" s="14">
        <v>128.029</v>
      </c>
      <c r="D19" s="14">
        <v>147.81200000000001</v>
      </c>
      <c r="E19" s="14">
        <v>61.2181</v>
      </c>
      <c r="F19" s="14">
        <v>80.4114</v>
      </c>
      <c r="G19" s="14">
        <v>107.58199999999999</v>
      </c>
      <c r="H19" s="14"/>
      <c r="I19" s="1" t="s">
        <v>165</v>
      </c>
    </row>
    <row r="20" spans="1:17" x14ac:dyDescent="0.25">
      <c r="A20" t="s">
        <v>107</v>
      </c>
      <c r="B20" s="14">
        <v>1561.77</v>
      </c>
      <c r="C20" s="14">
        <v>455.24700000000001</v>
      </c>
      <c r="D20" s="14">
        <v>316.78399999999999</v>
      </c>
      <c r="E20" s="14">
        <v>362.68099999999998</v>
      </c>
      <c r="F20" s="14">
        <v>176.137</v>
      </c>
      <c r="G20" s="14">
        <v>250.92</v>
      </c>
      <c r="H20" s="14"/>
      <c r="I20" s="1" t="s">
        <v>110</v>
      </c>
      <c r="K20">
        <v>19.100000000000001</v>
      </c>
      <c r="L20" s="14"/>
      <c r="M20" s="14"/>
      <c r="N20" s="14"/>
      <c r="O20" s="14">
        <f>F22-MIN(F$22:F$28,F$30)</f>
        <v>0</v>
      </c>
    </row>
    <row r="21" spans="1:17" x14ac:dyDescent="0.25">
      <c r="A21" t="s">
        <v>107</v>
      </c>
      <c r="B21" s="14">
        <v>521.178</v>
      </c>
      <c r="C21" s="14">
        <v>126.74299999999999</v>
      </c>
      <c r="D21" s="14">
        <v>144.14099999999999</v>
      </c>
      <c r="E21" s="14">
        <v>62.5503</v>
      </c>
      <c r="F21" s="14">
        <v>82.246899999999997</v>
      </c>
      <c r="G21" s="14">
        <v>105.497</v>
      </c>
      <c r="H21" s="14"/>
      <c r="I21" s="1" t="s">
        <v>166</v>
      </c>
      <c r="K21" s="26" t="s">
        <v>159</v>
      </c>
      <c r="L21" s="14"/>
      <c r="M21" s="14"/>
      <c r="N21" s="14"/>
      <c r="O21" s="14">
        <f>F23-MIN(F$22:F$28,F$30)</f>
        <v>3.6483600000000003</v>
      </c>
      <c r="P21" s="14">
        <f>G22-MIN(G$22:G$28,G$30)</f>
        <v>8.8972800000000003</v>
      </c>
    </row>
    <row r="22" spans="1:17" x14ac:dyDescent="0.25">
      <c r="A22" t="s">
        <v>106</v>
      </c>
      <c r="B22" s="14">
        <v>-16.119499999999999</v>
      </c>
      <c r="C22" s="14"/>
      <c r="D22" s="14"/>
      <c r="E22" s="14"/>
      <c r="F22" s="14">
        <v>-10.6441</v>
      </c>
      <c r="G22" s="14">
        <v>-5.47532</v>
      </c>
      <c r="H22" s="14"/>
      <c r="I22">
        <v>19.100000000000001</v>
      </c>
      <c r="K22" s="26" t="s">
        <v>160</v>
      </c>
      <c r="L22" s="14"/>
      <c r="M22" s="14"/>
      <c r="N22" s="14"/>
      <c r="O22" s="14">
        <f>F24-MIN(F$22:F$28,F$30)</f>
        <v>2.7075899999999997</v>
      </c>
      <c r="P22" s="14">
        <f>G23-MIN(G$22:G$28,G$30)</f>
        <v>14.864246</v>
      </c>
      <c r="Q22" s="14"/>
    </row>
    <row r="23" spans="1:17" x14ac:dyDescent="0.25">
      <c r="A23" s="15" t="s">
        <v>106</v>
      </c>
      <c r="B23" s="23">
        <v>-2.3565499999999999</v>
      </c>
      <c r="C23" s="23"/>
      <c r="D23" s="23"/>
      <c r="E23" s="23"/>
      <c r="F23" s="23">
        <v>-6.9957399999999996</v>
      </c>
      <c r="G23" s="23">
        <v>0.49164600000000003</v>
      </c>
      <c r="H23" s="14">
        <v>4.1475400000000002</v>
      </c>
      <c r="I23" s="26" t="s">
        <v>159</v>
      </c>
      <c r="K23" s="26" t="s">
        <v>161</v>
      </c>
      <c r="L23" s="14"/>
      <c r="M23" s="14"/>
      <c r="N23" s="14"/>
      <c r="O23" s="14">
        <f>F25-MIN(F$22:F$28,F$30)</f>
        <v>7.4451499999999999</v>
      </c>
      <c r="P23" s="14">
        <f>G24-MIN(G$22:G$28,G$30)</f>
        <v>16.913399999999999</v>
      </c>
      <c r="Q23" s="14">
        <f t="shared" ref="Q23:Q25" si="8">H23-MIN(H$22:H$28,H$30)</f>
        <v>3.7511230000000002</v>
      </c>
    </row>
    <row r="24" spans="1:17" x14ac:dyDescent="0.25">
      <c r="A24" t="s">
        <v>106</v>
      </c>
      <c r="B24" s="14">
        <v>-0.80638200000000004</v>
      </c>
      <c r="C24" s="14"/>
      <c r="D24" s="14"/>
      <c r="E24" s="14"/>
      <c r="F24" s="14">
        <v>-7.9365100000000002</v>
      </c>
      <c r="G24" s="14">
        <v>2.5407999999999999</v>
      </c>
      <c r="H24" s="14">
        <v>4.5893300000000004</v>
      </c>
      <c r="I24" s="26" t="s">
        <v>160</v>
      </c>
      <c r="K24" s="26" t="s">
        <v>162</v>
      </c>
      <c r="L24" s="14"/>
      <c r="M24" s="14"/>
      <c r="N24" s="14"/>
      <c r="O24" s="14">
        <f>F27-MIN(F$22:F$28,F$30)</f>
        <v>3.2754700000000003</v>
      </c>
      <c r="P24" s="14">
        <f>G25-MIN(G$22:G$28,G$30)</f>
        <v>8.3304200000000002</v>
      </c>
      <c r="Q24" s="14">
        <f t="shared" si="8"/>
        <v>4.1929130000000008</v>
      </c>
    </row>
    <row r="25" spans="1:17" x14ac:dyDescent="0.25">
      <c r="A25" t="s">
        <v>106</v>
      </c>
      <c r="B25" s="14">
        <v>-6.2237900000000002</v>
      </c>
      <c r="C25" s="14"/>
      <c r="D25" s="14"/>
      <c r="E25" s="14"/>
      <c r="F25" s="14">
        <v>-3.19895</v>
      </c>
      <c r="G25" s="14">
        <v>-6.0421800000000001</v>
      </c>
      <c r="H25" s="14">
        <v>3.01735</v>
      </c>
      <c r="I25" s="26" t="s">
        <v>161</v>
      </c>
      <c r="K25" s="1" t="s">
        <v>164</v>
      </c>
      <c r="L25" s="14"/>
      <c r="M25" s="14"/>
      <c r="N25" s="14"/>
      <c r="O25" s="14">
        <f>F28-MIN(F$22:F$28,F$30)</f>
        <v>6.6254299999999997</v>
      </c>
      <c r="P25" s="14">
        <f>G27-MIN(G$22:G$28,G$30)</f>
        <v>13.453924000000001</v>
      </c>
      <c r="Q25" s="14">
        <f t="shared" si="8"/>
        <v>2.620933</v>
      </c>
    </row>
    <row r="26" spans="1:17" x14ac:dyDescent="0.25">
      <c r="A26" t="s">
        <v>106</v>
      </c>
      <c r="B26" s="14">
        <v>-7.2344999999999997</v>
      </c>
      <c r="C26" s="14"/>
      <c r="D26" s="14"/>
      <c r="E26" s="14"/>
      <c r="F26" s="14">
        <v>-3.2953199999999998</v>
      </c>
      <c r="G26" s="14">
        <v>-6.3912599999999999</v>
      </c>
      <c r="H26" s="14">
        <v>2.45208</v>
      </c>
      <c r="I26" s="26" t="s">
        <v>163</v>
      </c>
      <c r="K26" s="1" t="s">
        <v>110</v>
      </c>
      <c r="L26" s="14"/>
      <c r="M26" s="14"/>
      <c r="N26" s="14"/>
      <c r="O26" s="14">
        <f>F30-MIN(F$22:F$28,F$30)</f>
        <v>13.53487</v>
      </c>
      <c r="P26" s="14">
        <f>G28-MIN(G$22:G$28,G$30)</f>
        <v>9.4134700000000002</v>
      </c>
      <c r="Q26" s="14">
        <f>H27-MIN(H$22:H$28,H$30)</f>
        <v>3.804783</v>
      </c>
    </row>
    <row r="27" spans="1:17" x14ac:dyDescent="0.25">
      <c r="A27" t="s">
        <v>106</v>
      </c>
      <c r="B27" s="14">
        <v>-4.0861099999999997</v>
      </c>
      <c r="C27" s="14"/>
      <c r="D27" s="14"/>
      <c r="E27" s="14"/>
      <c r="F27" s="14">
        <v>-7.3686299999999996</v>
      </c>
      <c r="G27" s="14">
        <v>-0.91867600000000005</v>
      </c>
      <c r="H27" s="14">
        <v>4.2012</v>
      </c>
      <c r="I27" s="26" t="s">
        <v>162</v>
      </c>
      <c r="P27" s="14">
        <f>G30-MIN(G$22:G$28,G$30)</f>
        <v>0</v>
      </c>
      <c r="Q27" s="14">
        <f>H28-MIN(H$22:H$28,H$30)</f>
        <v>2.9459230000000001</v>
      </c>
    </row>
    <row r="28" spans="1:17" x14ac:dyDescent="0.25">
      <c r="A28" t="s">
        <v>106</v>
      </c>
      <c r="B28" s="14">
        <v>-5.6354499999999996</v>
      </c>
      <c r="C28" s="14"/>
      <c r="D28" s="14"/>
      <c r="E28" s="14"/>
      <c r="F28" s="14">
        <v>-4.0186700000000002</v>
      </c>
      <c r="G28" s="14">
        <v>-4.95913</v>
      </c>
      <c r="H28" s="14">
        <v>3.3423400000000001</v>
      </c>
      <c r="I28" s="1" t="s">
        <v>164</v>
      </c>
      <c r="Q28" s="14">
        <f>H30-MIN(H$22:H$28,H$30)</f>
        <v>0</v>
      </c>
    </row>
    <row r="29" spans="1:17" x14ac:dyDescent="0.25">
      <c r="A29" t="s">
        <v>106</v>
      </c>
      <c r="B29" s="14">
        <v>-32.738799999999998</v>
      </c>
      <c r="C29" s="14"/>
      <c r="D29" s="14"/>
      <c r="E29" s="14"/>
      <c r="F29" s="14">
        <v>-9.2287199999999991</v>
      </c>
      <c r="G29" s="14">
        <v>-21.991099999999999</v>
      </c>
      <c r="H29" s="14">
        <v>-1.51905</v>
      </c>
      <c r="I29" s="1" t="s">
        <v>165</v>
      </c>
    </row>
    <row r="30" spans="1:17" x14ac:dyDescent="0.25">
      <c r="A30" t="s">
        <v>106</v>
      </c>
      <c r="B30" s="14">
        <v>-11.0854</v>
      </c>
      <c r="C30" s="14"/>
      <c r="D30" s="14"/>
      <c r="E30" s="14"/>
      <c r="F30" s="14">
        <v>2.8907699999999998</v>
      </c>
      <c r="G30" s="14">
        <v>-14.3726</v>
      </c>
      <c r="H30" s="14">
        <v>0.39641700000000002</v>
      </c>
      <c r="I30" s="1" t="s">
        <v>110</v>
      </c>
      <c r="N30">
        <v>19.100000000000001</v>
      </c>
      <c r="O30">
        <v>-5.4985799999999996</v>
      </c>
      <c r="P30">
        <f>O30-MIN($O$30:$O$37)</f>
        <v>11.96292</v>
      </c>
    </row>
    <row r="31" spans="1:17" x14ac:dyDescent="0.25">
      <c r="A31" s="29" t="s">
        <v>106</v>
      </c>
      <c r="B31" s="30">
        <v>-34.89</v>
      </c>
      <c r="C31" s="30"/>
      <c r="D31" s="30"/>
      <c r="E31" s="30"/>
      <c r="F31" s="30">
        <v>-8.1344799999999999</v>
      </c>
      <c r="G31" s="30">
        <v>-25.0748</v>
      </c>
      <c r="H31" s="30">
        <v>-1.68075</v>
      </c>
      <c r="I31" s="45" t="s">
        <v>166</v>
      </c>
      <c r="N31" s="1" t="s">
        <v>159</v>
      </c>
      <c r="O31">
        <v>-8.3657299999999992</v>
      </c>
      <c r="P31">
        <f>O31-MIN($O$30:$O$37)</f>
        <v>9.0957700000000017</v>
      </c>
    </row>
    <row r="32" spans="1:17" x14ac:dyDescent="0.25">
      <c r="A32" t="s">
        <v>212</v>
      </c>
      <c r="C32" s="12">
        <v>788.61199999999997</v>
      </c>
      <c r="D32" s="12">
        <v>1312.28</v>
      </c>
      <c r="E32" s="12">
        <v>638.91399999999999</v>
      </c>
      <c r="F32" s="12">
        <v>470.62700000000001</v>
      </c>
      <c r="G32" s="12">
        <v>429.85300000000001</v>
      </c>
      <c r="I32">
        <v>19.100000000000001</v>
      </c>
      <c r="N32" s="1" t="s">
        <v>160</v>
      </c>
      <c r="O32">
        <v>-5.59762</v>
      </c>
      <c r="P32">
        <f>O32-MIN($O$30:$O$37)</f>
        <v>11.863880000000002</v>
      </c>
    </row>
    <row r="33" spans="1:16" x14ac:dyDescent="0.25">
      <c r="A33" t="s">
        <v>212</v>
      </c>
      <c r="C33" s="12">
        <v>788.98099999999999</v>
      </c>
      <c r="D33" s="12">
        <v>1314.35</v>
      </c>
      <c r="E33" s="12">
        <v>630.20399999999995</v>
      </c>
      <c r="F33" s="12">
        <v>467.95699999999999</v>
      </c>
      <c r="G33" s="12">
        <v>419.96499999999997</v>
      </c>
      <c r="I33" s="1" t="s">
        <v>159</v>
      </c>
      <c r="N33" s="1" t="s">
        <v>161</v>
      </c>
      <c r="O33">
        <v>-15.4764</v>
      </c>
      <c r="P33">
        <f>O33-MIN($O$30:$O$37)</f>
        <v>1.985100000000001</v>
      </c>
    </row>
    <row r="34" spans="1:16" x14ac:dyDescent="0.25">
      <c r="A34" t="s">
        <v>212</v>
      </c>
      <c r="C34" s="12">
        <v>799.86199999999997</v>
      </c>
      <c r="D34" s="12">
        <v>1393.71</v>
      </c>
      <c r="E34" s="12">
        <v>641.83500000000004</v>
      </c>
      <c r="F34" s="12">
        <v>450.11599999999999</v>
      </c>
      <c r="G34" s="12">
        <v>431.62799999999999</v>
      </c>
      <c r="I34" s="1" t="s">
        <v>160</v>
      </c>
      <c r="N34" s="1" t="s">
        <v>162</v>
      </c>
      <c r="O34">
        <v>-17.461500000000001</v>
      </c>
      <c r="P34">
        <f>O34-MIN($O$30:$O$37)</f>
        <v>0</v>
      </c>
    </row>
    <row r="35" spans="1:16" x14ac:dyDescent="0.25">
      <c r="A35" t="s">
        <v>212</v>
      </c>
      <c r="C35" s="12">
        <v>786.50099999999998</v>
      </c>
      <c r="D35" s="12">
        <v>1313.61</v>
      </c>
      <c r="E35" s="12">
        <v>633.85199999999998</v>
      </c>
      <c r="F35" s="12">
        <v>467.495</v>
      </c>
      <c r="G35" s="12">
        <v>416.26600000000002</v>
      </c>
      <c r="I35" s="1" t="s">
        <v>161</v>
      </c>
      <c r="N35" s="1" t="s">
        <v>164</v>
      </c>
      <c r="O35">
        <v>-15.696199999999999</v>
      </c>
      <c r="P35">
        <f>O35-MIN($O$30:$O$37)</f>
        <v>1.7653000000000016</v>
      </c>
    </row>
    <row r="36" spans="1:16" x14ac:dyDescent="0.25">
      <c r="A36" t="s">
        <v>212</v>
      </c>
      <c r="C36" s="12">
        <v>787.69600000000003</v>
      </c>
      <c r="D36" s="12">
        <v>1316.53</v>
      </c>
      <c r="E36" s="12">
        <v>631.51199999999994</v>
      </c>
      <c r="F36" s="12">
        <v>467.72</v>
      </c>
      <c r="G36" s="12">
        <v>417.988</v>
      </c>
      <c r="I36" s="1" t="s">
        <v>163</v>
      </c>
      <c r="N36" s="1" t="s">
        <v>110</v>
      </c>
      <c r="O36">
        <v>-13.6708</v>
      </c>
      <c r="P36">
        <f>O36-MIN($O$30:$O$37)</f>
        <v>3.7907000000000011</v>
      </c>
    </row>
    <row r="37" spans="1:16" x14ac:dyDescent="0.25">
      <c r="A37" t="s">
        <v>212</v>
      </c>
      <c r="C37" s="12">
        <v>790.36099999999999</v>
      </c>
      <c r="D37" s="12">
        <v>1318.11</v>
      </c>
      <c r="E37" s="12">
        <v>627.26700000000005</v>
      </c>
      <c r="F37" s="12">
        <v>468.178</v>
      </c>
      <c r="G37" s="12">
        <v>422.41899999999998</v>
      </c>
      <c r="I37" s="1" t="s">
        <v>162</v>
      </c>
      <c r="N37" s="45"/>
    </row>
    <row r="38" spans="1:16" x14ac:dyDescent="0.25">
      <c r="A38" t="s">
        <v>212</v>
      </c>
      <c r="C38" s="12">
        <v>798.57899999999995</v>
      </c>
      <c r="D38" s="12">
        <v>1402.73</v>
      </c>
      <c r="E38" s="12">
        <v>642.59400000000005</v>
      </c>
      <c r="F38" s="12">
        <v>449.31799999999998</v>
      </c>
      <c r="G38" s="12">
        <v>429.36799999999999</v>
      </c>
      <c r="I38" s="1" t="s">
        <v>164</v>
      </c>
    </row>
    <row r="39" spans="1:16" x14ac:dyDescent="0.25">
      <c r="A39" t="s">
        <v>212</v>
      </c>
      <c r="C39" s="12">
        <v>727.39300000000003</v>
      </c>
      <c r="D39" s="12">
        <v>1136.6500000000001</v>
      </c>
      <c r="E39" s="12">
        <v>621.99199999999996</v>
      </c>
      <c r="F39" s="12">
        <v>445.524</v>
      </c>
      <c r="G39" s="12">
        <v>439.74299999999999</v>
      </c>
      <c r="I39" s="1" t="s">
        <v>165</v>
      </c>
    </row>
    <row r="40" spans="1:16" x14ac:dyDescent="0.25">
      <c r="A40" t="s">
        <v>212</v>
      </c>
      <c r="C40" s="12">
        <v>797.74199999999996</v>
      </c>
      <c r="D40" s="12">
        <v>1440.53</v>
      </c>
      <c r="E40" s="12">
        <v>646.63900000000001</v>
      </c>
      <c r="F40" s="12">
        <v>449.12299999999999</v>
      </c>
      <c r="G40" s="12">
        <v>431.93</v>
      </c>
      <c r="I40" s="1" t="s">
        <v>110</v>
      </c>
    </row>
    <row r="41" spans="1:16" x14ac:dyDescent="0.25">
      <c r="A41" s="29" t="s">
        <v>212</v>
      </c>
      <c r="B41" s="29"/>
      <c r="C41" s="49">
        <v>728.74900000000002</v>
      </c>
      <c r="D41" s="49">
        <v>1165.1500000000001</v>
      </c>
      <c r="E41" s="49">
        <v>626.33500000000004</v>
      </c>
      <c r="F41" s="49">
        <v>446.68799999999999</v>
      </c>
      <c r="G41" s="49">
        <v>440.99700000000001</v>
      </c>
      <c r="H41" s="29"/>
      <c r="I41" s="45" t="s">
        <v>166</v>
      </c>
    </row>
    <row r="42" spans="1:16" x14ac:dyDescent="0.25">
      <c r="A42" s="81" t="s">
        <v>213</v>
      </c>
      <c r="C42" s="12">
        <v>4.7002100000000002</v>
      </c>
      <c r="D42" s="12">
        <v>8.7464899999999997</v>
      </c>
      <c r="E42" s="12">
        <v>7.3276599999999998</v>
      </c>
      <c r="F42" s="12">
        <v>13.701599999999999</v>
      </c>
      <c r="I42">
        <v>19.100000000000001</v>
      </c>
    </row>
    <row r="43" spans="1:16" x14ac:dyDescent="0.25">
      <c r="A43" s="81" t="s">
        <v>213</v>
      </c>
      <c r="C43" s="12">
        <v>4.7583900000000003</v>
      </c>
      <c r="D43" s="12">
        <v>8.6371599999999997</v>
      </c>
      <c r="E43" s="12">
        <v>7.4268999999999998</v>
      </c>
      <c r="F43" s="12">
        <v>13.1745</v>
      </c>
      <c r="I43" s="1" t="s">
        <v>159</v>
      </c>
    </row>
    <row r="44" spans="1:16" x14ac:dyDescent="0.25">
      <c r="A44" s="81" t="s">
        <v>213</v>
      </c>
      <c r="C44" s="12">
        <v>4.7990500000000003</v>
      </c>
      <c r="D44" s="12">
        <v>8.8662700000000001</v>
      </c>
      <c r="E44" s="12">
        <v>7.7533300000000001</v>
      </c>
      <c r="F44" s="12">
        <v>12.194699999999999</v>
      </c>
      <c r="I44" s="1" t="s">
        <v>160</v>
      </c>
    </row>
    <row r="45" spans="1:16" x14ac:dyDescent="0.25">
      <c r="A45" s="81" t="s">
        <v>213</v>
      </c>
      <c r="C45" s="12">
        <v>4.7437300000000002</v>
      </c>
      <c r="D45" s="12">
        <v>8.6413899999999995</v>
      </c>
      <c r="E45" s="12">
        <v>7.4567199999999998</v>
      </c>
      <c r="F45" s="12">
        <v>13.5901</v>
      </c>
      <c r="I45" s="1" t="s">
        <v>161</v>
      </c>
    </row>
    <row r="46" spans="1:16" x14ac:dyDescent="0.25">
      <c r="A46" s="81" t="s">
        <v>213</v>
      </c>
      <c r="C46" s="12">
        <v>4.7588800000000004</v>
      </c>
      <c r="D46" s="12">
        <v>8.6294500000000003</v>
      </c>
      <c r="E46" s="12">
        <v>7.4182300000000003</v>
      </c>
      <c r="F46" s="12">
        <v>13.0678</v>
      </c>
      <c r="I46" s="1" t="s">
        <v>163</v>
      </c>
    </row>
    <row r="47" spans="1:16" x14ac:dyDescent="0.25">
      <c r="A47" s="81" t="s">
        <v>213</v>
      </c>
      <c r="C47" s="12">
        <v>4.7450099999999997</v>
      </c>
      <c r="D47" s="12">
        <v>8.6346500000000006</v>
      </c>
      <c r="E47" s="12">
        <v>7.4484300000000001</v>
      </c>
      <c r="F47" s="12">
        <v>13.5525</v>
      </c>
      <c r="I47" s="1" t="s">
        <v>162</v>
      </c>
    </row>
    <row r="48" spans="1:16" x14ac:dyDescent="0.25">
      <c r="A48" s="81" t="s">
        <v>213</v>
      </c>
      <c r="C48" s="12">
        <v>4.7946200000000001</v>
      </c>
      <c r="D48" s="12">
        <v>8.8331599999999995</v>
      </c>
      <c r="E48" s="12">
        <v>7.7894699999999997</v>
      </c>
      <c r="F48" s="12">
        <v>12.313000000000001</v>
      </c>
      <c r="I48" s="1" t="s">
        <v>164</v>
      </c>
    </row>
    <row r="49" spans="1:9" x14ac:dyDescent="0.25">
      <c r="A49" s="81" t="s">
        <v>213</v>
      </c>
      <c r="C49" s="12">
        <v>5.24343</v>
      </c>
      <c r="D49" s="12">
        <v>9.4044399999999992</v>
      </c>
      <c r="E49" s="12">
        <v>8.8505400000000005</v>
      </c>
      <c r="F49" s="12">
        <v>12.8432</v>
      </c>
      <c r="I49" s="1" t="s">
        <v>165</v>
      </c>
    </row>
    <row r="50" spans="1:9" x14ac:dyDescent="0.25">
      <c r="A50" s="81" t="s">
        <v>213</v>
      </c>
      <c r="C50" s="12">
        <v>4.8196899999999996</v>
      </c>
      <c r="D50" s="12">
        <v>8.7151899999999998</v>
      </c>
      <c r="E50" s="12">
        <v>7.7317600000000004</v>
      </c>
      <c r="F50" s="12">
        <v>12.4847</v>
      </c>
      <c r="I50" s="1" t="s">
        <v>110</v>
      </c>
    </row>
    <row r="51" spans="1:9" x14ac:dyDescent="0.25">
      <c r="A51" s="82" t="s">
        <v>213</v>
      </c>
      <c r="B51" s="29"/>
      <c r="C51" s="49">
        <v>5.24031</v>
      </c>
      <c r="D51" s="49">
        <v>9.3193999999999999</v>
      </c>
      <c r="E51" s="49">
        <v>8.8824500000000004</v>
      </c>
      <c r="F51" s="49">
        <v>12.719799999999999</v>
      </c>
      <c r="G51" s="29"/>
      <c r="H51" s="29"/>
      <c r="I51" s="45" t="s">
        <v>166</v>
      </c>
    </row>
  </sheetData>
  <sortState ref="A2:I51">
    <sortCondition ref="A2:A51"/>
    <sortCondition ref="I2:I51"/>
  </sortState>
  <conditionalFormatting sqref="B2:B8 B10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8 C10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8 D10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8 E10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8 F10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:B18 B20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2:C18 C20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2:D18 D20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2:E18 E20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2:F18 F20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2:G18 G20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3:B28 B30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2:F28 F30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2:G28 G30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3:H28 H30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2:C41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2:D41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2:E4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2:F4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2:G4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2:C5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:D5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2:E5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2:F5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11"/>
  <sheetViews>
    <sheetView workbookViewId="0">
      <selection activeCell="D20" sqref="D20"/>
    </sheetView>
  </sheetViews>
  <sheetFormatPr defaultRowHeight="15" x14ac:dyDescent="0.25"/>
  <cols>
    <col min="1" max="1" width="12.42578125" customWidth="1"/>
    <col min="2" max="2" width="15.28515625" style="3" bestFit="1" customWidth="1"/>
    <col min="3" max="3" width="13.7109375" style="3" bestFit="1" customWidth="1"/>
    <col min="5" max="5" width="13.28515625" style="3" bestFit="1" customWidth="1"/>
    <col min="6" max="6" width="11.5703125" style="3" bestFit="1" customWidth="1"/>
    <col min="16" max="16" width="10.5703125" bestFit="1" customWidth="1"/>
  </cols>
  <sheetData>
    <row r="1" spans="1:32" x14ac:dyDescent="0.25">
      <c r="B1" s="3" t="s">
        <v>83</v>
      </c>
      <c r="E1" s="3" t="s">
        <v>148</v>
      </c>
      <c r="H1" t="s">
        <v>124</v>
      </c>
      <c r="K1" t="s">
        <v>125</v>
      </c>
      <c r="N1" t="s">
        <v>126</v>
      </c>
      <c r="Q1" t="s">
        <v>153</v>
      </c>
      <c r="T1" t="s">
        <v>94</v>
      </c>
      <c r="W1" t="s">
        <v>158</v>
      </c>
      <c r="Z1" t="s">
        <v>97</v>
      </c>
      <c r="AC1" t="s">
        <v>168</v>
      </c>
    </row>
    <row r="2" spans="1:32" x14ac:dyDescent="0.25">
      <c r="A2" t="s">
        <v>98</v>
      </c>
      <c r="B2" s="3" t="s">
        <v>209</v>
      </c>
      <c r="C2" s="3" t="s">
        <v>210</v>
      </c>
      <c r="D2" t="s">
        <v>198</v>
      </c>
      <c r="E2" s="3" t="s">
        <v>209</v>
      </c>
      <c r="F2" s="3" t="s">
        <v>210</v>
      </c>
      <c r="G2" t="s">
        <v>198</v>
      </c>
      <c r="H2" s="3" t="s">
        <v>209</v>
      </c>
      <c r="I2" s="3" t="s">
        <v>210</v>
      </c>
      <c r="J2" t="s">
        <v>198</v>
      </c>
      <c r="K2" s="3" t="s">
        <v>209</v>
      </c>
      <c r="L2" s="3" t="s">
        <v>210</v>
      </c>
      <c r="M2" t="s">
        <v>198</v>
      </c>
      <c r="N2" s="3" t="s">
        <v>209</v>
      </c>
      <c r="O2" s="3" t="s">
        <v>210</v>
      </c>
      <c r="P2" t="s">
        <v>198</v>
      </c>
      <c r="Q2" s="3" t="s">
        <v>209</v>
      </c>
      <c r="R2" s="3" t="s">
        <v>210</v>
      </c>
      <c r="S2" t="s">
        <v>198</v>
      </c>
      <c r="T2" s="3" t="s">
        <v>209</v>
      </c>
      <c r="U2" s="3" t="s">
        <v>210</v>
      </c>
      <c r="V2" t="s">
        <v>198</v>
      </c>
      <c r="W2" s="3" t="s">
        <v>209</v>
      </c>
      <c r="X2" s="3" t="s">
        <v>210</v>
      </c>
      <c r="Y2" t="s">
        <v>198</v>
      </c>
      <c r="Z2" s="3" t="s">
        <v>209</v>
      </c>
      <c r="AA2" s="3" t="s">
        <v>210</v>
      </c>
      <c r="AB2" t="s">
        <v>198</v>
      </c>
      <c r="AC2" s="3" t="s">
        <v>209</v>
      </c>
      <c r="AD2" s="3" t="s">
        <v>210</v>
      </c>
      <c r="AE2" t="s">
        <v>198</v>
      </c>
    </row>
    <row r="3" spans="1:32" x14ac:dyDescent="0.25">
      <c r="A3">
        <v>1978</v>
      </c>
      <c r="B3" s="3">
        <v>377556</v>
      </c>
      <c r="C3" s="3">
        <v>131597</v>
      </c>
      <c r="D3" s="14">
        <v>0.34854961912934768</v>
      </c>
      <c r="E3" s="3">
        <v>379158</v>
      </c>
      <c r="F3" s="3">
        <v>130731</v>
      </c>
      <c r="G3" s="14">
        <v>0.34479293592644755</v>
      </c>
      <c r="H3">
        <v>377992</v>
      </c>
      <c r="I3">
        <v>131072</v>
      </c>
      <c r="J3" s="14">
        <v>0.34675866155897478</v>
      </c>
      <c r="K3">
        <v>361736</v>
      </c>
      <c r="L3">
        <v>122242</v>
      </c>
      <c r="M3" s="14">
        <v>0.33793153017670347</v>
      </c>
      <c r="N3">
        <v>417244</v>
      </c>
      <c r="O3">
        <v>142571</v>
      </c>
      <c r="P3" s="14">
        <v>0.34169694471340512</v>
      </c>
      <c r="Q3">
        <v>388182</v>
      </c>
      <c r="R3">
        <v>129930</v>
      </c>
      <c r="S3" s="14">
        <v>0.33471412893951807</v>
      </c>
      <c r="T3">
        <v>395269</v>
      </c>
      <c r="U3">
        <v>135521</v>
      </c>
      <c r="V3" s="14">
        <v>0.34285764884167491</v>
      </c>
      <c r="W3">
        <v>405973</v>
      </c>
      <c r="X3">
        <v>161111</v>
      </c>
      <c r="Y3" s="14">
        <v>0.39685151475590741</v>
      </c>
      <c r="Z3">
        <v>250342</v>
      </c>
      <c r="AA3">
        <v>87754.3</v>
      </c>
      <c r="AB3" s="14">
        <v>0.35053766447499823</v>
      </c>
      <c r="AC3">
        <v>273273</v>
      </c>
      <c r="AD3">
        <v>110394</v>
      </c>
      <c r="AE3" s="14">
        <v>0.40396965671690949</v>
      </c>
      <c r="AF3" s="7"/>
    </row>
    <row r="4" spans="1:32" x14ac:dyDescent="0.25">
      <c r="A4">
        <v>1979</v>
      </c>
      <c r="B4" s="3">
        <v>369733</v>
      </c>
      <c r="C4" s="3">
        <v>118085</v>
      </c>
      <c r="D4" s="14">
        <v>0.31937911952679365</v>
      </c>
      <c r="E4" s="3">
        <v>376339</v>
      </c>
      <c r="F4" s="3">
        <v>118066</v>
      </c>
      <c r="G4" s="14">
        <v>0.31372246830650025</v>
      </c>
      <c r="H4">
        <v>373381</v>
      </c>
      <c r="I4">
        <v>118405</v>
      </c>
      <c r="J4" s="14">
        <v>0.31711576111264367</v>
      </c>
      <c r="K4">
        <v>359789</v>
      </c>
      <c r="L4">
        <v>110993</v>
      </c>
      <c r="M4" s="14">
        <v>0.3084947010608996</v>
      </c>
      <c r="N4">
        <v>410868</v>
      </c>
      <c r="O4">
        <v>127832</v>
      </c>
      <c r="P4" s="14">
        <v>0.31112668789002795</v>
      </c>
      <c r="Q4">
        <v>383916</v>
      </c>
      <c r="R4">
        <v>117211</v>
      </c>
      <c r="S4" s="14">
        <v>0.30530376436512152</v>
      </c>
      <c r="T4">
        <v>385344</v>
      </c>
      <c r="U4">
        <v>121825</v>
      </c>
      <c r="V4" s="14">
        <v>0.31614609284172063</v>
      </c>
      <c r="W4">
        <v>366576</v>
      </c>
      <c r="X4">
        <v>136741</v>
      </c>
      <c r="Y4" s="14">
        <v>0.37302223822617958</v>
      </c>
      <c r="Z4">
        <v>237661</v>
      </c>
      <c r="AA4">
        <v>78641</v>
      </c>
      <c r="AB4" s="14">
        <v>0.33089568755496274</v>
      </c>
      <c r="AC4">
        <v>244589</v>
      </c>
      <c r="AD4">
        <v>93825.1</v>
      </c>
      <c r="AE4" s="14">
        <v>0.38360310561799593</v>
      </c>
      <c r="AF4" s="7"/>
    </row>
    <row r="5" spans="1:32" x14ac:dyDescent="0.25">
      <c r="A5">
        <v>1980</v>
      </c>
      <c r="B5" s="3">
        <v>624014</v>
      </c>
      <c r="C5" s="3">
        <v>179889</v>
      </c>
      <c r="D5" s="14">
        <v>0.28827718608877367</v>
      </c>
      <c r="E5" s="3">
        <v>638465</v>
      </c>
      <c r="F5" s="3">
        <v>179543</v>
      </c>
      <c r="G5" s="14">
        <v>0.28121040307612788</v>
      </c>
      <c r="H5">
        <v>504666</v>
      </c>
      <c r="I5">
        <v>152654</v>
      </c>
      <c r="J5" s="14">
        <v>0.30248520803858392</v>
      </c>
      <c r="K5">
        <v>607456</v>
      </c>
      <c r="L5">
        <v>168228</v>
      </c>
      <c r="M5" s="14">
        <v>0.27693857662118737</v>
      </c>
      <c r="N5">
        <v>693037</v>
      </c>
      <c r="O5">
        <v>193455</v>
      </c>
      <c r="P5" s="14">
        <v>0.27914094052698485</v>
      </c>
      <c r="Q5">
        <v>645336</v>
      </c>
      <c r="R5">
        <v>176776</v>
      </c>
      <c r="S5" s="14">
        <v>0.2739286201296689</v>
      </c>
      <c r="T5">
        <v>515580</v>
      </c>
      <c r="U5">
        <v>155793</v>
      </c>
      <c r="V5" s="14">
        <v>0.30217037123239848</v>
      </c>
      <c r="W5">
        <v>401744</v>
      </c>
      <c r="X5">
        <v>150992</v>
      </c>
      <c r="Y5" s="14">
        <v>0.37584133179338086</v>
      </c>
      <c r="Z5">
        <v>320765</v>
      </c>
      <c r="AA5">
        <v>101847</v>
      </c>
      <c r="AB5" s="14">
        <v>0.31751282091250604</v>
      </c>
      <c r="AC5">
        <v>270439</v>
      </c>
      <c r="AD5">
        <v>103475</v>
      </c>
      <c r="AE5" s="14">
        <v>0.382618631188549</v>
      </c>
      <c r="AF5" s="7"/>
    </row>
    <row r="6" spans="1:32" x14ac:dyDescent="0.25">
      <c r="A6">
        <v>1981</v>
      </c>
      <c r="B6" s="3">
        <v>689951</v>
      </c>
      <c r="C6" s="3">
        <v>184902</v>
      </c>
      <c r="D6" s="14">
        <v>0.26799294442648824</v>
      </c>
      <c r="E6" s="3">
        <v>698292</v>
      </c>
      <c r="F6" s="3">
        <v>182781</v>
      </c>
      <c r="G6" s="14">
        <v>0.26175439500953757</v>
      </c>
      <c r="H6">
        <v>659821</v>
      </c>
      <c r="I6">
        <v>167184</v>
      </c>
      <c r="J6" s="14">
        <v>0.2533778100424206</v>
      </c>
      <c r="K6">
        <v>667217</v>
      </c>
      <c r="L6">
        <v>172022</v>
      </c>
      <c r="M6" s="14">
        <v>0.25782016945011893</v>
      </c>
      <c r="N6">
        <v>752084</v>
      </c>
      <c r="O6">
        <v>194673</v>
      </c>
      <c r="P6" s="14">
        <v>0.25884475670270873</v>
      </c>
      <c r="Q6">
        <v>704922</v>
      </c>
      <c r="R6">
        <v>178978</v>
      </c>
      <c r="S6" s="14">
        <v>0.25389759434377135</v>
      </c>
      <c r="T6">
        <v>683986</v>
      </c>
      <c r="U6">
        <v>174478</v>
      </c>
      <c r="V6" s="14">
        <v>0.25509001646232526</v>
      </c>
      <c r="W6">
        <v>518978</v>
      </c>
      <c r="X6">
        <v>175643</v>
      </c>
      <c r="Y6" s="14">
        <v>0.33844016509370339</v>
      </c>
      <c r="Z6">
        <v>433580</v>
      </c>
      <c r="AA6">
        <v>119132</v>
      </c>
      <c r="AB6" s="14">
        <v>0.27476359610683149</v>
      </c>
      <c r="AC6">
        <v>353499</v>
      </c>
      <c r="AD6">
        <v>122534</v>
      </c>
      <c r="AE6" s="14">
        <v>0.34663181508292812</v>
      </c>
      <c r="AF6" s="7"/>
    </row>
    <row r="7" spans="1:32" x14ac:dyDescent="0.25">
      <c r="A7">
        <v>1982</v>
      </c>
      <c r="B7" s="3">
        <v>756252</v>
      </c>
      <c r="C7" s="3">
        <v>205217</v>
      </c>
      <c r="D7" s="14">
        <v>0.27136060466616946</v>
      </c>
      <c r="E7" s="3">
        <v>769099</v>
      </c>
      <c r="F7" s="3">
        <v>203670</v>
      </c>
      <c r="G7" s="14">
        <v>0.26481636304298928</v>
      </c>
      <c r="H7">
        <v>729879</v>
      </c>
      <c r="I7">
        <v>195522</v>
      </c>
      <c r="J7" s="14">
        <v>0.26788275864903632</v>
      </c>
      <c r="K7">
        <v>734718</v>
      </c>
      <c r="L7">
        <v>190876</v>
      </c>
      <c r="M7" s="14">
        <v>0.25979491451141801</v>
      </c>
      <c r="N7">
        <v>834698</v>
      </c>
      <c r="O7">
        <v>217860</v>
      </c>
      <c r="P7" s="14">
        <v>0.26100457890159073</v>
      </c>
      <c r="Q7">
        <v>780304</v>
      </c>
      <c r="R7">
        <v>199332</v>
      </c>
      <c r="S7" s="14">
        <v>0.25545428448399599</v>
      </c>
      <c r="T7">
        <v>759232</v>
      </c>
      <c r="U7">
        <v>202992</v>
      </c>
      <c r="V7" s="14">
        <v>0.26736491612576918</v>
      </c>
      <c r="W7">
        <v>628058</v>
      </c>
      <c r="X7">
        <v>228846</v>
      </c>
      <c r="Y7" s="14">
        <v>0.36437080651786935</v>
      </c>
      <c r="Z7">
        <v>481087</v>
      </c>
      <c r="AA7">
        <v>137425</v>
      </c>
      <c r="AB7" s="14">
        <v>0.28565519334340772</v>
      </c>
      <c r="AC7">
        <v>425742</v>
      </c>
      <c r="AD7">
        <v>157196</v>
      </c>
      <c r="AE7" s="14">
        <v>0.36922831198237432</v>
      </c>
      <c r="AF7" s="7"/>
    </row>
    <row r="8" spans="1:32" x14ac:dyDescent="0.25">
      <c r="A8">
        <v>1983</v>
      </c>
      <c r="B8" s="3">
        <v>538912</v>
      </c>
      <c r="C8" s="3">
        <v>167302</v>
      </c>
      <c r="D8" s="14">
        <v>0.31044400570037406</v>
      </c>
      <c r="E8" s="3">
        <v>540797</v>
      </c>
      <c r="F8" s="3">
        <v>165764</v>
      </c>
      <c r="G8" s="14">
        <v>0.30651797254792462</v>
      </c>
      <c r="H8">
        <v>407980</v>
      </c>
      <c r="I8">
        <v>132565</v>
      </c>
      <c r="J8" s="14">
        <v>0.32493014363449191</v>
      </c>
      <c r="K8">
        <v>520729</v>
      </c>
      <c r="L8">
        <v>155845</v>
      </c>
      <c r="M8" s="14">
        <v>0.29928235224080085</v>
      </c>
      <c r="N8">
        <v>536447</v>
      </c>
      <c r="O8">
        <v>167203</v>
      </c>
      <c r="P8" s="14">
        <v>0.31168596338501287</v>
      </c>
      <c r="Q8">
        <v>518973</v>
      </c>
      <c r="R8">
        <v>156324</v>
      </c>
      <c r="S8" s="14">
        <v>0.30121798243839276</v>
      </c>
      <c r="T8">
        <v>394972</v>
      </c>
      <c r="U8">
        <v>129739</v>
      </c>
      <c r="V8" s="14">
        <v>0.32847644896347084</v>
      </c>
      <c r="W8">
        <v>350884</v>
      </c>
      <c r="X8">
        <v>145929</v>
      </c>
      <c r="Y8" s="14">
        <v>0.41588958174211421</v>
      </c>
      <c r="Z8">
        <v>259739</v>
      </c>
      <c r="AA8">
        <v>87920.5</v>
      </c>
      <c r="AB8" s="14">
        <v>0.33849556670349851</v>
      </c>
      <c r="AC8">
        <v>242584</v>
      </c>
      <c r="AD8">
        <v>100156</v>
      </c>
      <c r="AE8" s="14">
        <v>0.41287141773571218</v>
      </c>
      <c r="AF8" s="7"/>
    </row>
    <row r="9" spans="1:32" x14ac:dyDescent="0.25">
      <c r="A9">
        <v>1984</v>
      </c>
      <c r="B9" s="3">
        <v>709138</v>
      </c>
      <c r="C9" s="3">
        <v>195564</v>
      </c>
      <c r="D9" s="14">
        <v>0.27577707018944125</v>
      </c>
      <c r="E9" s="3">
        <v>722969</v>
      </c>
      <c r="F9" s="3">
        <v>195157</v>
      </c>
      <c r="G9" s="14">
        <v>0.26993826844581165</v>
      </c>
      <c r="H9">
        <v>657489</v>
      </c>
      <c r="I9">
        <v>174524</v>
      </c>
      <c r="J9" s="14">
        <v>0.26544018226920907</v>
      </c>
      <c r="K9">
        <v>689984</v>
      </c>
      <c r="L9">
        <v>182307</v>
      </c>
      <c r="M9" s="14">
        <v>0.26421917029960112</v>
      </c>
      <c r="N9">
        <v>809158</v>
      </c>
      <c r="O9">
        <v>213868</v>
      </c>
      <c r="P9" s="14">
        <v>0.26430931906994676</v>
      </c>
      <c r="Q9">
        <v>748967</v>
      </c>
      <c r="R9">
        <v>194136</v>
      </c>
      <c r="S9" s="14">
        <v>0.25920501170278532</v>
      </c>
      <c r="T9">
        <v>696500</v>
      </c>
      <c r="U9">
        <v>182913</v>
      </c>
      <c r="V9" s="14">
        <v>0.26261737257717155</v>
      </c>
      <c r="W9">
        <v>618507</v>
      </c>
      <c r="X9">
        <v>218979</v>
      </c>
      <c r="Y9" s="14">
        <v>0.35404449747537214</v>
      </c>
      <c r="Z9">
        <v>460863</v>
      </c>
      <c r="AA9">
        <v>128503</v>
      </c>
      <c r="AB9" s="14">
        <v>0.27883123618081729</v>
      </c>
      <c r="AC9">
        <v>434964</v>
      </c>
      <c r="AD9">
        <v>155040</v>
      </c>
      <c r="AE9" s="14">
        <v>0.3564432918586366</v>
      </c>
      <c r="AF9" s="7"/>
    </row>
    <row r="10" spans="1:32" x14ac:dyDescent="0.25">
      <c r="A10">
        <v>1985</v>
      </c>
      <c r="B10" s="3">
        <v>886695</v>
      </c>
      <c r="C10" s="3">
        <v>211464</v>
      </c>
      <c r="D10" s="14">
        <v>0.23848561230186252</v>
      </c>
      <c r="E10" s="3">
        <v>892515</v>
      </c>
      <c r="F10" s="3">
        <v>208752</v>
      </c>
      <c r="G10" s="14">
        <v>0.23389186736357373</v>
      </c>
      <c r="H10">
        <v>799968</v>
      </c>
      <c r="I10">
        <v>184915</v>
      </c>
      <c r="J10" s="14">
        <v>0.2311529961198448</v>
      </c>
      <c r="K10">
        <v>833058</v>
      </c>
      <c r="L10">
        <v>191307</v>
      </c>
      <c r="M10" s="14">
        <v>0.22964427446828431</v>
      </c>
      <c r="N10">
        <v>889248</v>
      </c>
      <c r="O10">
        <v>210990</v>
      </c>
      <c r="P10" s="14">
        <v>0.23726789377091656</v>
      </c>
      <c r="Q10">
        <v>833587</v>
      </c>
      <c r="R10">
        <v>191900</v>
      </c>
      <c r="S10" s="14">
        <v>0.23020992409910424</v>
      </c>
      <c r="T10">
        <v>759515</v>
      </c>
      <c r="U10">
        <v>178553</v>
      </c>
      <c r="V10" s="14">
        <v>0.23508818127357589</v>
      </c>
      <c r="W10">
        <v>571253</v>
      </c>
      <c r="X10">
        <v>195372</v>
      </c>
      <c r="Y10" s="14">
        <v>0.34200608136850047</v>
      </c>
      <c r="Z10">
        <v>534252</v>
      </c>
      <c r="AA10">
        <v>133173</v>
      </c>
      <c r="AB10" s="14">
        <v>0.24927000741223243</v>
      </c>
      <c r="AC10">
        <v>417468</v>
      </c>
      <c r="AD10">
        <v>142683</v>
      </c>
      <c r="AE10" s="14">
        <v>0.34178188507861679</v>
      </c>
      <c r="AF10" s="7"/>
    </row>
    <row r="11" spans="1:32" x14ac:dyDescent="0.25">
      <c r="A11">
        <v>1986</v>
      </c>
      <c r="B11" s="3">
        <v>499375</v>
      </c>
      <c r="C11" s="3">
        <v>135404</v>
      </c>
      <c r="D11" s="14">
        <v>0.27114693366708387</v>
      </c>
      <c r="E11" s="3">
        <v>503011</v>
      </c>
      <c r="F11" s="3">
        <v>134400</v>
      </c>
      <c r="G11" s="14">
        <v>0.267190975942872</v>
      </c>
      <c r="H11">
        <v>375480</v>
      </c>
      <c r="I11">
        <v>110357</v>
      </c>
      <c r="J11" s="14">
        <v>0.29390912964738469</v>
      </c>
      <c r="K11">
        <v>478455</v>
      </c>
      <c r="L11">
        <v>124359</v>
      </c>
      <c r="M11" s="14">
        <v>0.25991786061385086</v>
      </c>
      <c r="N11">
        <v>551995</v>
      </c>
      <c r="O11">
        <v>144096</v>
      </c>
      <c r="P11" s="14">
        <v>0.26104584280654713</v>
      </c>
      <c r="Q11">
        <v>512046</v>
      </c>
      <c r="R11">
        <v>130441</v>
      </c>
      <c r="S11" s="14">
        <v>0.25474469090667634</v>
      </c>
      <c r="T11">
        <v>392411</v>
      </c>
      <c r="U11">
        <v>112058</v>
      </c>
      <c r="V11" s="14">
        <v>0.28556284100088936</v>
      </c>
      <c r="W11">
        <v>384481</v>
      </c>
      <c r="X11">
        <v>136327</v>
      </c>
      <c r="Y11" s="14">
        <v>0.35457408818641234</v>
      </c>
      <c r="Z11">
        <v>273842</v>
      </c>
      <c r="AA11">
        <v>82034.100000000006</v>
      </c>
      <c r="AB11" s="14">
        <v>0.2995672687169974</v>
      </c>
      <c r="AC11">
        <v>280494</v>
      </c>
      <c r="AD11">
        <v>99601.4</v>
      </c>
      <c r="AE11" s="14">
        <v>0.35509280055901371</v>
      </c>
      <c r="AF11" s="7"/>
    </row>
    <row r="12" spans="1:32" x14ac:dyDescent="0.25">
      <c r="A12">
        <v>1987</v>
      </c>
      <c r="B12" s="3">
        <v>588083</v>
      </c>
      <c r="C12" s="3">
        <v>133441</v>
      </c>
      <c r="D12" s="14">
        <v>0.22690844659682391</v>
      </c>
      <c r="E12" s="3">
        <v>595309</v>
      </c>
      <c r="F12" s="3">
        <v>132054</v>
      </c>
      <c r="G12" s="14">
        <v>0.22182429628982595</v>
      </c>
      <c r="H12">
        <v>491730</v>
      </c>
      <c r="I12">
        <v>109504</v>
      </c>
      <c r="J12" s="14">
        <v>0.22269131433916986</v>
      </c>
      <c r="K12">
        <v>562530</v>
      </c>
      <c r="L12">
        <v>122976</v>
      </c>
      <c r="M12" s="14">
        <v>0.218612340675164</v>
      </c>
      <c r="N12">
        <v>618762</v>
      </c>
      <c r="O12">
        <v>135711</v>
      </c>
      <c r="P12" s="14">
        <v>0.21932665548304517</v>
      </c>
      <c r="Q12">
        <v>579754</v>
      </c>
      <c r="R12">
        <v>124813</v>
      </c>
      <c r="S12" s="14">
        <v>0.21528613860361465</v>
      </c>
      <c r="T12">
        <v>487543</v>
      </c>
      <c r="U12">
        <v>108920</v>
      </c>
      <c r="V12" s="14">
        <v>0.22340593547646054</v>
      </c>
      <c r="W12">
        <v>463544</v>
      </c>
      <c r="X12">
        <v>140095</v>
      </c>
      <c r="Y12" s="14">
        <v>0.3022258944134753</v>
      </c>
      <c r="Z12">
        <v>347065</v>
      </c>
      <c r="AA12">
        <v>81905.8</v>
      </c>
      <c r="AB12" s="14">
        <v>0.2359955627908317</v>
      </c>
      <c r="AC12">
        <v>343380</v>
      </c>
      <c r="AD12">
        <v>103714</v>
      </c>
      <c r="AE12" s="14">
        <v>0.30203855786592115</v>
      </c>
      <c r="AF12" s="7"/>
    </row>
    <row r="13" spans="1:32" x14ac:dyDescent="0.25">
      <c r="A13">
        <v>1988</v>
      </c>
      <c r="B13" s="3">
        <v>597962</v>
      </c>
      <c r="C13" s="3">
        <v>132205</v>
      </c>
      <c r="D13" s="14">
        <v>0.22109264468310696</v>
      </c>
      <c r="E13" s="3">
        <v>603810</v>
      </c>
      <c r="F13" s="3">
        <v>130405</v>
      </c>
      <c r="G13" s="14">
        <v>0.21597025554396251</v>
      </c>
      <c r="H13">
        <v>538538</v>
      </c>
      <c r="I13">
        <v>113177</v>
      </c>
      <c r="J13" s="14">
        <v>0.21015601498872874</v>
      </c>
      <c r="K13">
        <v>579513</v>
      </c>
      <c r="L13">
        <v>123609</v>
      </c>
      <c r="M13" s="14">
        <v>0.21329806233854978</v>
      </c>
      <c r="N13">
        <v>635484</v>
      </c>
      <c r="O13">
        <v>135086</v>
      </c>
      <c r="P13" s="14">
        <v>0.21257183501079494</v>
      </c>
      <c r="Q13">
        <v>602308</v>
      </c>
      <c r="R13">
        <v>126093</v>
      </c>
      <c r="S13" s="14">
        <v>0.20934970148163398</v>
      </c>
      <c r="T13">
        <v>550431</v>
      </c>
      <c r="U13">
        <v>116346</v>
      </c>
      <c r="V13" s="14">
        <v>0.21137254260752028</v>
      </c>
      <c r="W13">
        <v>441318</v>
      </c>
      <c r="X13">
        <v>135240</v>
      </c>
      <c r="Y13" s="14">
        <v>0.30644569222193518</v>
      </c>
      <c r="Z13">
        <v>385336</v>
      </c>
      <c r="AA13">
        <v>86642.3</v>
      </c>
      <c r="AB13" s="14">
        <v>0.22484870346918015</v>
      </c>
      <c r="AC13">
        <v>322706</v>
      </c>
      <c r="AD13">
        <v>98743.8</v>
      </c>
      <c r="AE13" s="14">
        <v>0.30598687350095755</v>
      </c>
      <c r="AF13" s="7"/>
    </row>
    <row r="14" spans="1:32" x14ac:dyDescent="0.25">
      <c r="A14">
        <v>1989</v>
      </c>
      <c r="B14" s="3">
        <v>632229</v>
      </c>
      <c r="C14" s="3">
        <v>137136</v>
      </c>
      <c r="D14" s="14">
        <v>0.21690874667248733</v>
      </c>
      <c r="E14" s="3">
        <v>639776</v>
      </c>
      <c r="F14" s="3">
        <v>135394</v>
      </c>
      <c r="G14" s="14">
        <v>0.21162719451808132</v>
      </c>
      <c r="H14">
        <v>596082</v>
      </c>
      <c r="I14">
        <v>123348</v>
      </c>
      <c r="J14" s="14">
        <v>0.20693126113521293</v>
      </c>
      <c r="K14">
        <v>621659</v>
      </c>
      <c r="L14">
        <v>129708</v>
      </c>
      <c r="M14" s="14">
        <v>0.208648149548225</v>
      </c>
      <c r="N14">
        <v>671344</v>
      </c>
      <c r="O14">
        <v>139887</v>
      </c>
      <c r="P14" s="14">
        <v>0.20836858600061967</v>
      </c>
      <c r="Q14">
        <v>644527</v>
      </c>
      <c r="R14">
        <v>131991</v>
      </c>
      <c r="S14" s="14">
        <v>0.20478738671925303</v>
      </c>
      <c r="T14">
        <v>615420</v>
      </c>
      <c r="U14">
        <v>128209</v>
      </c>
      <c r="V14" s="14">
        <v>0.20832764616034577</v>
      </c>
      <c r="W14">
        <v>575463</v>
      </c>
      <c r="X14">
        <v>168792</v>
      </c>
      <c r="Y14" s="14">
        <v>0.29331512191053116</v>
      </c>
      <c r="Z14">
        <v>423790</v>
      </c>
      <c r="AA14">
        <v>94787.6</v>
      </c>
      <c r="AB14" s="14">
        <v>0.22366643856627105</v>
      </c>
      <c r="AC14">
        <v>415443</v>
      </c>
      <c r="AD14">
        <v>121271</v>
      </c>
      <c r="AE14" s="14">
        <v>0.29190767445834925</v>
      </c>
      <c r="AF14" s="7"/>
    </row>
    <row r="15" spans="1:32" x14ac:dyDescent="0.25">
      <c r="A15">
        <v>1990</v>
      </c>
      <c r="B15" s="3">
        <v>749185</v>
      </c>
      <c r="C15" s="3">
        <v>152395</v>
      </c>
      <c r="D15" s="14">
        <v>0.2034143769562925</v>
      </c>
      <c r="E15" s="3">
        <v>754939</v>
      </c>
      <c r="F15" s="3">
        <v>149656</v>
      </c>
      <c r="G15" s="14">
        <v>0.1982358839588364</v>
      </c>
      <c r="H15">
        <v>643233</v>
      </c>
      <c r="I15">
        <v>128267</v>
      </c>
      <c r="J15" s="14">
        <v>0.19940985614854959</v>
      </c>
      <c r="K15">
        <v>740039</v>
      </c>
      <c r="L15">
        <v>145334</v>
      </c>
      <c r="M15" s="14">
        <v>0.19638694717440566</v>
      </c>
      <c r="N15">
        <v>791292</v>
      </c>
      <c r="O15">
        <v>154276</v>
      </c>
      <c r="P15" s="14">
        <v>0.19496721816977802</v>
      </c>
      <c r="Q15">
        <v>766440</v>
      </c>
      <c r="R15">
        <v>147489</v>
      </c>
      <c r="S15" s="14">
        <v>0.19243385000782839</v>
      </c>
      <c r="T15">
        <v>663983</v>
      </c>
      <c r="U15">
        <v>134057</v>
      </c>
      <c r="V15" s="14">
        <v>0.2018982413706375</v>
      </c>
      <c r="W15">
        <v>538987</v>
      </c>
      <c r="X15">
        <v>160049</v>
      </c>
      <c r="Y15" s="14">
        <v>0.29694408213927237</v>
      </c>
      <c r="Z15">
        <v>452010</v>
      </c>
      <c r="AA15">
        <v>98515.9</v>
      </c>
      <c r="AB15" s="14">
        <v>0.21795070905510938</v>
      </c>
      <c r="AC15">
        <v>384469</v>
      </c>
      <c r="AD15">
        <v>113300</v>
      </c>
      <c r="AE15" s="14">
        <v>0.29469215983603358</v>
      </c>
      <c r="AF15" s="7"/>
    </row>
    <row r="16" spans="1:32" x14ac:dyDescent="0.25">
      <c r="A16">
        <v>1991</v>
      </c>
      <c r="B16" s="3">
        <v>444758</v>
      </c>
      <c r="C16" s="3">
        <v>99660.5</v>
      </c>
      <c r="D16" s="14">
        <v>0.22407803794423034</v>
      </c>
      <c r="E16" s="3">
        <v>446710</v>
      </c>
      <c r="F16" s="3">
        <v>98215.2</v>
      </c>
      <c r="G16" s="14">
        <v>0.2198634460835889</v>
      </c>
      <c r="H16">
        <v>346336</v>
      </c>
      <c r="I16">
        <v>79498.899999999994</v>
      </c>
      <c r="J16" s="14">
        <v>0.22954269842003139</v>
      </c>
      <c r="K16">
        <v>449242</v>
      </c>
      <c r="L16">
        <v>98077.1</v>
      </c>
      <c r="M16" s="14">
        <v>0.21831685372249257</v>
      </c>
      <c r="N16">
        <v>469281</v>
      </c>
      <c r="O16">
        <v>101641</v>
      </c>
      <c r="P16" s="14">
        <v>0.21658878156158037</v>
      </c>
      <c r="Q16">
        <v>465841</v>
      </c>
      <c r="R16">
        <v>99960.3</v>
      </c>
      <c r="S16" s="14">
        <v>0.21458029671068027</v>
      </c>
      <c r="T16">
        <v>368196</v>
      </c>
      <c r="U16">
        <v>85032.6</v>
      </c>
      <c r="V16" s="14">
        <v>0.23094384512596552</v>
      </c>
      <c r="W16">
        <v>338298</v>
      </c>
      <c r="X16">
        <v>107139</v>
      </c>
      <c r="Y16" s="14">
        <v>0.31670006916978521</v>
      </c>
      <c r="Z16">
        <v>247678</v>
      </c>
      <c r="AA16">
        <v>60218.1</v>
      </c>
      <c r="AB16" s="14">
        <v>0.24313059698479478</v>
      </c>
      <c r="AC16">
        <v>239031</v>
      </c>
      <c r="AD16">
        <v>74708.800000000003</v>
      </c>
      <c r="AE16" s="14">
        <v>0.31254858156473431</v>
      </c>
      <c r="AF16" s="7"/>
    </row>
    <row r="17" spans="1:32" x14ac:dyDescent="0.25">
      <c r="A17">
        <v>1992</v>
      </c>
      <c r="B17" s="3">
        <v>385255</v>
      </c>
      <c r="C17" s="3">
        <v>83198.3</v>
      </c>
      <c r="D17" s="14">
        <v>0.21595644443290807</v>
      </c>
      <c r="E17" s="3">
        <v>387645</v>
      </c>
      <c r="F17" s="3">
        <v>82038.2</v>
      </c>
      <c r="G17" s="14">
        <v>0.21163229243250911</v>
      </c>
      <c r="H17">
        <v>311307</v>
      </c>
      <c r="I17">
        <v>66033.8</v>
      </c>
      <c r="J17" s="14">
        <v>0.2121179414532921</v>
      </c>
      <c r="K17">
        <v>402972</v>
      </c>
      <c r="L17">
        <v>84962.4</v>
      </c>
      <c r="M17" s="14">
        <v>0.21083946279145943</v>
      </c>
      <c r="N17">
        <v>405677</v>
      </c>
      <c r="O17">
        <v>84670.1</v>
      </c>
      <c r="P17" s="14">
        <v>0.20871308947758932</v>
      </c>
      <c r="Q17">
        <v>416420</v>
      </c>
      <c r="R17">
        <v>86354.7</v>
      </c>
      <c r="S17" s="14">
        <v>0.20737404543489746</v>
      </c>
      <c r="T17">
        <v>341316</v>
      </c>
      <c r="U17">
        <v>73293.899999999994</v>
      </c>
      <c r="V17" s="14">
        <v>0.21473912737756212</v>
      </c>
      <c r="W17">
        <v>322690</v>
      </c>
      <c r="X17">
        <v>95301.4</v>
      </c>
      <c r="Y17" s="14">
        <v>0.29533422169884405</v>
      </c>
      <c r="Z17">
        <v>225506</v>
      </c>
      <c r="AA17">
        <v>50825.2</v>
      </c>
      <c r="AB17" s="14">
        <v>0.2253829166407989</v>
      </c>
      <c r="AC17">
        <v>225246</v>
      </c>
      <c r="AD17">
        <v>65488</v>
      </c>
      <c r="AE17" s="14">
        <v>0.29073990215142553</v>
      </c>
      <c r="AF17" s="7"/>
    </row>
    <row r="18" spans="1:32" x14ac:dyDescent="0.25">
      <c r="A18">
        <v>1993</v>
      </c>
      <c r="B18" s="3">
        <v>309854</v>
      </c>
      <c r="C18" s="3">
        <v>67943.199999999997</v>
      </c>
      <c r="D18" s="14">
        <v>0.21927488430034789</v>
      </c>
      <c r="E18" s="3">
        <v>313010</v>
      </c>
      <c r="F18" s="3">
        <v>67228.399999999994</v>
      </c>
      <c r="G18" s="14">
        <v>0.21478035845500143</v>
      </c>
      <c r="H18">
        <v>256693</v>
      </c>
      <c r="I18">
        <v>54980.1</v>
      </c>
      <c r="J18" s="14">
        <v>0.21418620686968479</v>
      </c>
      <c r="K18">
        <v>337543</v>
      </c>
      <c r="L18">
        <v>72461.5</v>
      </c>
      <c r="M18" s="14">
        <v>0.21467338976071196</v>
      </c>
      <c r="N18">
        <v>327972</v>
      </c>
      <c r="O18">
        <v>69497.899999999994</v>
      </c>
      <c r="P18" s="14">
        <v>0.21190193065261667</v>
      </c>
      <c r="Q18">
        <v>348836</v>
      </c>
      <c r="R18">
        <v>73698.3</v>
      </c>
      <c r="S18" s="14">
        <v>0.211269192399867</v>
      </c>
      <c r="T18">
        <v>293828</v>
      </c>
      <c r="U18">
        <v>63809.7</v>
      </c>
      <c r="V18" s="14">
        <v>0.21716684590985202</v>
      </c>
      <c r="W18">
        <v>305766</v>
      </c>
      <c r="X18">
        <v>88359.5</v>
      </c>
      <c r="Y18" s="14">
        <v>0.288977518756173</v>
      </c>
      <c r="Z18">
        <v>187902</v>
      </c>
      <c r="AA18">
        <v>42490.5</v>
      </c>
      <c r="AB18" s="14">
        <v>0.22613117476131175</v>
      </c>
      <c r="AC18">
        <v>208267</v>
      </c>
      <c r="AD18">
        <v>59273.7</v>
      </c>
      <c r="AE18" s="14">
        <v>0.28460437803396599</v>
      </c>
      <c r="AF18" s="7"/>
    </row>
    <row r="19" spans="1:32" x14ac:dyDescent="0.25">
      <c r="A19">
        <v>1994</v>
      </c>
      <c r="B19" s="3">
        <v>347856</v>
      </c>
      <c r="C19" s="3">
        <v>71698.899999999994</v>
      </c>
      <c r="D19" s="14">
        <v>0.20611661147141344</v>
      </c>
      <c r="E19" s="3">
        <v>352879</v>
      </c>
      <c r="F19" s="3">
        <v>71026.399999999994</v>
      </c>
      <c r="G19" s="14">
        <v>0.20127692495161228</v>
      </c>
      <c r="H19">
        <v>312422</v>
      </c>
      <c r="I19">
        <v>60587.1</v>
      </c>
      <c r="J19" s="14">
        <v>0.19392712421020286</v>
      </c>
      <c r="K19">
        <v>391114</v>
      </c>
      <c r="L19">
        <v>78818</v>
      </c>
      <c r="M19" s="14">
        <v>0.20152180694119873</v>
      </c>
      <c r="N19">
        <v>368422</v>
      </c>
      <c r="O19">
        <v>73197.2</v>
      </c>
      <c r="P19" s="14">
        <v>0.19867760340044838</v>
      </c>
      <c r="Q19">
        <v>402860</v>
      </c>
      <c r="R19">
        <v>79845.8</v>
      </c>
      <c r="S19" s="14">
        <v>0.19819738867100234</v>
      </c>
      <c r="T19">
        <v>366345</v>
      </c>
      <c r="U19">
        <v>72617.7</v>
      </c>
      <c r="V19" s="14">
        <v>0.1982221676288744</v>
      </c>
      <c r="W19">
        <v>341370</v>
      </c>
      <c r="X19">
        <v>95099.8</v>
      </c>
      <c r="Y19" s="14">
        <v>0.27858276942906524</v>
      </c>
      <c r="Z19">
        <v>230233</v>
      </c>
      <c r="AA19">
        <v>47574.7</v>
      </c>
      <c r="AB19" s="14">
        <v>0.20663718928216196</v>
      </c>
      <c r="AC19">
        <v>228376</v>
      </c>
      <c r="AD19">
        <v>62297</v>
      </c>
      <c r="AE19" s="14">
        <v>0.27278260412652816</v>
      </c>
      <c r="AF19" s="7"/>
    </row>
    <row r="20" spans="1:32" x14ac:dyDescent="0.25">
      <c r="A20">
        <v>1995</v>
      </c>
      <c r="B20" s="3">
        <v>438067</v>
      </c>
      <c r="C20" s="3">
        <v>81851</v>
      </c>
      <c r="D20" s="14">
        <v>0.18684584778127547</v>
      </c>
      <c r="E20" s="3">
        <v>440732</v>
      </c>
      <c r="F20" s="3">
        <v>80347.899999999994</v>
      </c>
      <c r="G20" s="14">
        <v>0.18230557345507017</v>
      </c>
      <c r="H20">
        <v>380762</v>
      </c>
      <c r="I20">
        <v>68494.3</v>
      </c>
      <c r="J20" s="14">
        <v>0.17988743624626408</v>
      </c>
      <c r="K20">
        <v>503708</v>
      </c>
      <c r="L20">
        <v>92497.600000000006</v>
      </c>
      <c r="M20" s="14">
        <v>0.1836333748918024</v>
      </c>
      <c r="N20">
        <v>461184</v>
      </c>
      <c r="O20">
        <v>82728.800000000003</v>
      </c>
      <c r="P20" s="14">
        <v>0.17938349986122676</v>
      </c>
      <c r="Q20">
        <v>519303</v>
      </c>
      <c r="R20">
        <v>93462.3</v>
      </c>
      <c r="S20" s="14">
        <v>0.17997642994552315</v>
      </c>
      <c r="T20">
        <v>461980</v>
      </c>
      <c r="U20">
        <v>85860.800000000003</v>
      </c>
      <c r="V20" s="14">
        <v>0.1858539330706957</v>
      </c>
      <c r="W20">
        <v>399468</v>
      </c>
      <c r="X20">
        <v>108394</v>
      </c>
      <c r="Y20" s="14">
        <v>0.27134589003374487</v>
      </c>
      <c r="Z20">
        <v>277983</v>
      </c>
      <c r="AA20">
        <v>54066.5</v>
      </c>
      <c r="AB20" s="14">
        <v>0.19449570657198462</v>
      </c>
      <c r="AC20">
        <v>259289</v>
      </c>
      <c r="AD20">
        <v>67939.899999999994</v>
      </c>
      <c r="AE20" s="14">
        <v>0.26202384212211083</v>
      </c>
      <c r="AF20" s="7"/>
    </row>
    <row r="21" spans="1:32" x14ac:dyDescent="0.25">
      <c r="A21">
        <v>1996</v>
      </c>
      <c r="B21" s="3">
        <v>309470</v>
      </c>
      <c r="C21" s="3">
        <v>61328.3</v>
      </c>
      <c r="D21" s="14">
        <v>0.19817203606165382</v>
      </c>
      <c r="E21" s="3">
        <v>312439</v>
      </c>
      <c r="F21" s="3">
        <v>60571.5</v>
      </c>
      <c r="G21" s="14">
        <v>0.19386664276866844</v>
      </c>
      <c r="H21">
        <v>268489</v>
      </c>
      <c r="I21">
        <v>51597.7</v>
      </c>
      <c r="J21" s="14">
        <v>0.19217807805906387</v>
      </c>
      <c r="K21">
        <v>369782</v>
      </c>
      <c r="L21">
        <v>72521.3</v>
      </c>
      <c r="M21" s="14">
        <v>0.1961190647462559</v>
      </c>
      <c r="N21">
        <v>323913</v>
      </c>
      <c r="O21">
        <v>62088.5</v>
      </c>
      <c r="P21" s="14">
        <v>0.19168264317887829</v>
      </c>
      <c r="Q21">
        <v>378308</v>
      </c>
      <c r="R21">
        <v>72999.600000000006</v>
      </c>
      <c r="S21" s="14">
        <v>0.19296340547913343</v>
      </c>
      <c r="T21">
        <v>332732</v>
      </c>
      <c r="U21">
        <v>66199.100000000006</v>
      </c>
      <c r="V21" s="14">
        <v>0.19895621701549598</v>
      </c>
      <c r="W21">
        <v>316787</v>
      </c>
      <c r="X21">
        <v>88784.8</v>
      </c>
      <c r="Y21" s="14">
        <v>0.28026655134206896</v>
      </c>
      <c r="Z21">
        <v>194141</v>
      </c>
      <c r="AA21">
        <v>39861.599999999999</v>
      </c>
      <c r="AB21" s="14">
        <v>0.20532293539231794</v>
      </c>
      <c r="AC21">
        <v>199809</v>
      </c>
      <c r="AD21">
        <v>53766.1</v>
      </c>
      <c r="AE21" s="14">
        <v>0.2690874785420076</v>
      </c>
      <c r="AF21" s="7"/>
    </row>
    <row r="22" spans="1:32" x14ac:dyDescent="0.25">
      <c r="A22">
        <v>1997</v>
      </c>
      <c r="B22" s="3">
        <v>293505</v>
      </c>
      <c r="C22" s="3">
        <v>57414.3</v>
      </c>
      <c r="D22" s="14">
        <v>0.19561608831195382</v>
      </c>
      <c r="E22" s="3">
        <v>294918</v>
      </c>
      <c r="F22" s="3">
        <v>56471.3</v>
      </c>
      <c r="G22" s="14">
        <v>0.1914813609206627</v>
      </c>
      <c r="H22">
        <v>231693</v>
      </c>
      <c r="I22">
        <v>46230.5</v>
      </c>
      <c r="J22" s="14">
        <v>0.19953343432904749</v>
      </c>
      <c r="K22">
        <v>363125</v>
      </c>
      <c r="L22">
        <v>70689.399999999994</v>
      </c>
      <c r="M22" s="14">
        <v>0.19466960413080894</v>
      </c>
      <c r="N22">
        <v>314388</v>
      </c>
      <c r="O22">
        <v>59301.3</v>
      </c>
      <c r="P22" s="14">
        <v>0.18862456582312304</v>
      </c>
      <c r="Q22">
        <v>378977</v>
      </c>
      <c r="R22">
        <v>72416.7</v>
      </c>
      <c r="S22" s="14">
        <v>0.19108468323935224</v>
      </c>
      <c r="T22">
        <v>308514</v>
      </c>
      <c r="U22">
        <v>63672.3</v>
      </c>
      <c r="V22" s="14">
        <v>0.20638382699002314</v>
      </c>
      <c r="W22">
        <v>271199</v>
      </c>
      <c r="X22">
        <v>80179.600000000006</v>
      </c>
      <c r="Y22" s="14">
        <v>0.29564858277501027</v>
      </c>
      <c r="Z22">
        <v>173363</v>
      </c>
      <c r="AA22">
        <v>36517.4</v>
      </c>
      <c r="AB22" s="14">
        <v>0.21064125563124775</v>
      </c>
      <c r="AC22">
        <v>165041</v>
      </c>
      <c r="AD22">
        <v>46446</v>
      </c>
      <c r="AE22" s="14">
        <v>0.28142098024127338</v>
      </c>
      <c r="AF22" s="7"/>
    </row>
    <row r="23" spans="1:32" x14ac:dyDescent="0.25">
      <c r="A23">
        <v>1998</v>
      </c>
      <c r="B23" s="3">
        <v>272155</v>
      </c>
      <c r="C23" s="3">
        <v>52148.2</v>
      </c>
      <c r="D23" s="14">
        <v>0.19161213279197514</v>
      </c>
      <c r="E23" s="3">
        <v>274925</v>
      </c>
      <c r="F23" s="3">
        <v>51497.9</v>
      </c>
      <c r="G23" s="14">
        <v>0.1873161771392198</v>
      </c>
      <c r="H23">
        <v>212963</v>
      </c>
      <c r="I23">
        <v>39437.699999999997</v>
      </c>
      <c r="J23" s="14">
        <v>0.18518568953292355</v>
      </c>
      <c r="K23">
        <v>329572</v>
      </c>
      <c r="L23">
        <v>62478.400000000001</v>
      </c>
      <c r="M23" s="14">
        <v>0.18957435704489459</v>
      </c>
      <c r="N23">
        <v>276357</v>
      </c>
      <c r="O23">
        <v>51739.199999999997</v>
      </c>
      <c r="P23" s="14">
        <v>0.18721870623866954</v>
      </c>
      <c r="Q23">
        <v>329424</v>
      </c>
      <c r="R23">
        <v>61969.4</v>
      </c>
      <c r="S23" s="14">
        <v>0.18811440575064356</v>
      </c>
      <c r="T23">
        <v>259454</v>
      </c>
      <c r="U23">
        <v>50205.4</v>
      </c>
      <c r="V23" s="14">
        <v>0.19350405081440256</v>
      </c>
      <c r="W23">
        <v>256860</v>
      </c>
      <c r="X23">
        <v>70400.899999999994</v>
      </c>
      <c r="Y23" s="14">
        <v>0.27408276882348359</v>
      </c>
      <c r="Z23">
        <v>154449</v>
      </c>
      <c r="AA23">
        <v>30461.200000000001</v>
      </c>
      <c r="AB23" s="14">
        <v>0.1972249739396176</v>
      </c>
      <c r="AC23">
        <v>162637</v>
      </c>
      <c r="AD23">
        <v>42176.800000000003</v>
      </c>
      <c r="AE23" s="14">
        <v>0.25933090256214764</v>
      </c>
      <c r="AF23" s="7"/>
    </row>
    <row r="24" spans="1:32" x14ac:dyDescent="0.25">
      <c r="A24">
        <v>1999</v>
      </c>
      <c r="B24" s="3">
        <v>366527</v>
      </c>
      <c r="C24" s="3">
        <v>66384.7</v>
      </c>
      <c r="D24" s="14">
        <v>0.18111817137618783</v>
      </c>
      <c r="E24" s="3">
        <v>370574</v>
      </c>
      <c r="F24" s="3">
        <v>65421.3</v>
      </c>
      <c r="G24" s="14">
        <v>0.1765404480616557</v>
      </c>
      <c r="H24">
        <v>351062</v>
      </c>
      <c r="I24">
        <v>59334.3</v>
      </c>
      <c r="J24" s="14">
        <v>0.16901373546553031</v>
      </c>
      <c r="K24">
        <v>436357</v>
      </c>
      <c r="L24">
        <v>77650.399999999994</v>
      </c>
      <c r="M24" s="14">
        <v>0.17795153967966595</v>
      </c>
      <c r="N24">
        <v>391163</v>
      </c>
      <c r="O24">
        <v>68140.5</v>
      </c>
      <c r="P24" s="14">
        <v>0.17419975815708541</v>
      </c>
      <c r="Q24">
        <v>452376</v>
      </c>
      <c r="R24">
        <v>79088.399999999994</v>
      </c>
      <c r="S24" s="14">
        <v>0.17482890339010027</v>
      </c>
      <c r="T24">
        <v>444120</v>
      </c>
      <c r="U24">
        <v>77842.100000000006</v>
      </c>
      <c r="V24" s="14">
        <v>0.17527267405205801</v>
      </c>
      <c r="W24">
        <v>378239</v>
      </c>
      <c r="X24">
        <v>100758</v>
      </c>
      <c r="Y24" s="14">
        <v>0.26638712560048011</v>
      </c>
      <c r="Z24">
        <v>263873</v>
      </c>
      <c r="AA24">
        <v>47969.2</v>
      </c>
      <c r="AB24" s="14">
        <v>0.18178896666199268</v>
      </c>
      <c r="AC24">
        <v>238206</v>
      </c>
      <c r="AD24">
        <v>59835.9</v>
      </c>
      <c r="AE24" s="14">
        <v>0.25119392458628248</v>
      </c>
      <c r="AF24" s="7"/>
    </row>
    <row r="25" spans="1:32" x14ac:dyDescent="0.25">
      <c r="A25">
        <v>2000</v>
      </c>
      <c r="B25" s="3">
        <v>439377</v>
      </c>
      <c r="C25" s="3">
        <v>75990.899999999994</v>
      </c>
      <c r="D25" s="14">
        <v>0.17295147447408488</v>
      </c>
      <c r="E25" s="3">
        <v>442541</v>
      </c>
      <c r="F25" s="3">
        <v>74568.800000000003</v>
      </c>
      <c r="G25" s="14">
        <v>0.16850144958320246</v>
      </c>
      <c r="H25">
        <v>359828</v>
      </c>
      <c r="I25">
        <v>60957.4</v>
      </c>
      <c r="J25" s="14">
        <v>0.16940705003501674</v>
      </c>
      <c r="K25">
        <v>552223</v>
      </c>
      <c r="L25">
        <v>94097.8</v>
      </c>
      <c r="M25" s="14">
        <v>0.17039819058604949</v>
      </c>
      <c r="N25">
        <v>462909</v>
      </c>
      <c r="O25">
        <v>76872.800000000003</v>
      </c>
      <c r="P25" s="14">
        <v>0.16606460449029939</v>
      </c>
      <c r="Q25">
        <v>567835</v>
      </c>
      <c r="R25">
        <v>94958.399999999994</v>
      </c>
      <c r="S25" s="14">
        <v>0.16722886049644703</v>
      </c>
      <c r="T25">
        <v>475600</v>
      </c>
      <c r="U25">
        <v>83528.5</v>
      </c>
      <c r="V25" s="14">
        <v>0.17562762825904121</v>
      </c>
      <c r="W25">
        <v>422947</v>
      </c>
      <c r="X25">
        <v>109451</v>
      </c>
      <c r="Y25" s="14">
        <v>0.25878183318477255</v>
      </c>
      <c r="Z25">
        <v>266965</v>
      </c>
      <c r="AA25">
        <v>48577.3</v>
      </c>
      <c r="AB25" s="14">
        <v>0.1819613057891484</v>
      </c>
      <c r="AC25">
        <v>252129</v>
      </c>
      <c r="AD25">
        <v>61485.8</v>
      </c>
      <c r="AE25" s="14">
        <v>0.24386643345271666</v>
      </c>
      <c r="AF25" s="7"/>
    </row>
    <row r="26" spans="1:32" x14ac:dyDescent="0.25">
      <c r="A26">
        <v>2001</v>
      </c>
      <c r="B26" s="3">
        <v>250745</v>
      </c>
      <c r="C26" s="3">
        <v>48040.4</v>
      </c>
      <c r="D26" s="14">
        <v>0.19159065983369558</v>
      </c>
      <c r="E26" s="3">
        <v>250536</v>
      </c>
      <c r="F26" s="3">
        <v>47236.1</v>
      </c>
      <c r="G26" s="14">
        <v>0.18854016987578631</v>
      </c>
      <c r="H26">
        <v>236532</v>
      </c>
      <c r="I26">
        <v>42438.5</v>
      </c>
      <c r="J26" s="14">
        <v>0.17941969796898516</v>
      </c>
      <c r="K26">
        <v>335654</v>
      </c>
      <c r="L26">
        <v>63746.1</v>
      </c>
      <c r="M26" s="14">
        <v>0.18991610408337156</v>
      </c>
      <c r="N26">
        <v>254341</v>
      </c>
      <c r="O26">
        <v>47824.4</v>
      </c>
      <c r="P26" s="14">
        <v>0.18803260190059803</v>
      </c>
      <c r="Q26">
        <v>337111</v>
      </c>
      <c r="R26">
        <v>63436.3</v>
      </c>
      <c r="S26" s="14">
        <v>0.18817629801460053</v>
      </c>
      <c r="T26">
        <v>332943</v>
      </c>
      <c r="U26">
        <v>62083</v>
      </c>
      <c r="V26" s="14">
        <v>0.18646735327067995</v>
      </c>
      <c r="W26">
        <v>265022</v>
      </c>
      <c r="X26">
        <v>71783.5</v>
      </c>
      <c r="Y26" s="14">
        <v>0.27085864569733831</v>
      </c>
      <c r="Z26">
        <v>175222</v>
      </c>
      <c r="AA26">
        <v>33592.9</v>
      </c>
      <c r="AB26" s="14">
        <v>0.19171622284872905</v>
      </c>
      <c r="AC26">
        <v>152467</v>
      </c>
      <c r="AD26">
        <v>38980.9</v>
      </c>
      <c r="AE26" s="14">
        <v>0.25566778384830818</v>
      </c>
      <c r="AF26" s="84"/>
    </row>
    <row r="27" spans="1:32" x14ac:dyDescent="0.25">
      <c r="A27">
        <v>2002</v>
      </c>
      <c r="B27" s="3">
        <v>193147</v>
      </c>
      <c r="C27" s="3">
        <v>37122.9</v>
      </c>
      <c r="D27" s="14">
        <v>0.19220024126701424</v>
      </c>
      <c r="E27" s="3">
        <v>194844</v>
      </c>
      <c r="F27" s="3">
        <v>36737.300000000003</v>
      </c>
      <c r="G27" s="14">
        <v>0.18854724805485415</v>
      </c>
      <c r="H27">
        <v>167993</v>
      </c>
      <c r="I27">
        <v>32270.400000000001</v>
      </c>
      <c r="J27" s="14">
        <v>0.19209371819063892</v>
      </c>
      <c r="K27">
        <v>259680</v>
      </c>
      <c r="L27">
        <v>49565.7</v>
      </c>
      <c r="M27" s="14">
        <v>0.19087222735674675</v>
      </c>
      <c r="N27">
        <v>209745</v>
      </c>
      <c r="O27">
        <v>38895.599999999999</v>
      </c>
      <c r="P27" s="14">
        <v>0.18544232282056783</v>
      </c>
      <c r="Q27">
        <v>272395</v>
      </c>
      <c r="R27">
        <v>51074.400000000001</v>
      </c>
      <c r="S27" s="14">
        <v>0.18750123900952662</v>
      </c>
      <c r="T27">
        <v>244538</v>
      </c>
      <c r="U27">
        <v>48410.3</v>
      </c>
      <c r="V27" s="14">
        <v>0.19796636923504732</v>
      </c>
      <c r="W27">
        <v>233581</v>
      </c>
      <c r="X27">
        <v>62588.800000000003</v>
      </c>
      <c r="Y27" s="14">
        <v>0.26795330099622833</v>
      </c>
      <c r="Z27">
        <v>129464</v>
      </c>
      <c r="AA27">
        <v>26154.9</v>
      </c>
      <c r="AB27" s="14">
        <v>0.20202450101958846</v>
      </c>
      <c r="AC27">
        <v>134300</v>
      </c>
      <c r="AD27">
        <v>34106.699999999997</v>
      </c>
      <c r="AE27" s="14">
        <v>0.25395904690990317</v>
      </c>
      <c r="AF27" s="84"/>
    </row>
    <row r="28" spans="1:32" x14ac:dyDescent="0.25">
      <c r="A28">
        <v>2003</v>
      </c>
      <c r="B28" s="3">
        <v>244348</v>
      </c>
      <c r="C28" s="3">
        <v>43084.2</v>
      </c>
      <c r="D28" s="14">
        <v>0.17632311293728614</v>
      </c>
      <c r="E28" s="3">
        <v>245085</v>
      </c>
      <c r="F28" s="3">
        <v>42192.9</v>
      </c>
      <c r="G28" s="14">
        <v>0.17215619070934574</v>
      </c>
      <c r="H28">
        <v>212052</v>
      </c>
      <c r="I28">
        <v>35881.199999999997</v>
      </c>
      <c r="J28" s="14">
        <v>0.1692094391941599</v>
      </c>
      <c r="K28">
        <v>321670</v>
      </c>
      <c r="L28">
        <v>55961.2</v>
      </c>
      <c r="M28" s="14">
        <v>0.17397083968041782</v>
      </c>
      <c r="N28">
        <v>245080</v>
      </c>
      <c r="O28">
        <v>42143.5</v>
      </c>
      <c r="P28" s="14">
        <v>0.17195813611881836</v>
      </c>
      <c r="Q28">
        <v>319494</v>
      </c>
      <c r="R28">
        <v>55138.2</v>
      </c>
      <c r="S28" s="14">
        <v>0.17257976675618319</v>
      </c>
      <c r="T28">
        <v>286522</v>
      </c>
      <c r="U28">
        <v>50691.1</v>
      </c>
      <c r="V28" s="14">
        <v>0.17691870083274583</v>
      </c>
      <c r="W28">
        <v>244064</v>
      </c>
      <c r="X28">
        <v>61433.3</v>
      </c>
      <c r="Y28" s="14">
        <v>0.25170979743018224</v>
      </c>
      <c r="Z28">
        <v>155503</v>
      </c>
      <c r="AA28">
        <v>28079.4</v>
      </c>
      <c r="AB28" s="14">
        <v>0.1805714359208504</v>
      </c>
      <c r="AC28">
        <v>144368</v>
      </c>
      <c r="AD28">
        <v>34177.199999999997</v>
      </c>
      <c r="AE28" s="14">
        <v>0.23673667294691342</v>
      </c>
      <c r="AF28" s="84"/>
    </row>
    <row r="29" spans="1:32" x14ac:dyDescent="0.25">
      <c r="A29">
        <v>2004</v>
      </c>
      <c r="B29" s="3">
        <v>307845</v>
      </c>
      <c r="C29" s="3">
        <v>52594.2</v>
      </c>
      <c r="D29" s="14">
        <v>0.17084636749013302</v>
      </c>
      <c r="E29" s="3">
        <v>311232</v>
      </c>
      <c r="F29" s="3">
        <v>51439.9</v>
      </c>
      <c r="G29" s="14">
        <v>0.1652783132839811</v>
      </c>
      <c r="H29">
        <v>289611</v>
      </c>
      <c r="I29">
        <v>46625.4</v>
      </c>
      <c r="J29" s="14">
        <v>0.16099319431927656</v>
      </c>
      <c r="K29">
        <v>366652</v>
      </c>
      <c r="L29">
        <v>60459.199999999997</v>
      </c>
      <c r="M29" s="14">
        <v>0.16489532308565069</v>
      </c>
      <c r="N29">
        <v>327856</v>
      </c>
      <c r="O29">
        <v>53395</v>
      </c>
      <c r="P29" s="14">
        <v>0.16286113415645892</v>
      </c>
      <c r="Q29">
        <v>379254</v>
      </c>
      <c r="R29">
        <v>61435.7</v>
      </c>
      <c r="S29" s="14">
        <v>0.161990908467676</v>
      </c>
      <c r="T29">
        <v>364921</v>
      </c>
      <c r="U29">
        <v>60057.1</v>
      </c>
      <c r="V29" s="14">
        <v>0.16457562047676072</v>
      </c>
      <c r="W29">
        <v>341839</v>
      </c>
      <c r="X29">
        <v>81217.3</v>
      </c>
      <c r="Y29" s="14">
        <v>0.23758933299009183</v>
      </c>
      <c r="Z29">
        <v>222424</v>
      </c>
      <c r="AA29">
        <v>37806.800000000003</v>
      </c>
      <c r="AB29" s="14">
        <v>0.16997626155450851</v>
      </c>
      <c r="AC29">
        <v>220369</v>
      </c>
      <c r="AD29">
        <v>49694.3</v>
      </c>
      <c r="AE29" s="14">
        <v>0.22550494851816727</v>
      </c>
      <c r="AF29" s="84"/>
    </row>
    <row r="30" spans="1:32" x14ac:dyDescent="0.25">
      <c r="A30">
        <v>2005</v>
      </c>
      <c r="B30" s="3">
        <v>420358</v>
      </c>
      <c r="C30" s="3">
        <v>70283</v>
      </c>
      <c r="D30" s="14">
        <v>0.16719795983423652</v>
      </c>
      <c r="E30" s="3">
        <v>410764</v>
      </c>
      <c r="F30" s="3">
        <v>65964.3</v>
      </c>
      <c r="G30" s="14">
        <v>0.16058929214828954</v>
      </c>
      <c r="H30">
        <v>346196</v>
      </c>
      <c r="I30">
        <v>55419.3</v>
      </c>
      <c r="J30" s="14">
        <v>0.16008070572739141</v>
      </c>
      <c r="K30">
        <v>454397</v>
      </c>
      <c r="L30">
        <v>72194.3</v>
      </c>
      <c r="M30" s="14">
        <v>0.1588793499957086</v>
      </c>
      <c r="N30">
        <v>424567</v>
      </c>
      <c r="O30">
        <v>67277.399999999994</v>
      </c>
      <c r="P30" s="14">
        <v>0.158461208713819</v>
      </c>
      <c r="Q30">
        <v>464368</v>
      </c>
      <c r="R30">
        <v>72462.100000000006</v>
      </c>
      <c r="S30" s="14">
        <v>0.1560445594873032</v>
      </c>
      <c r="T30">
        <v>401823</v>
      </c>
      <c r="U30">
        <v>65207.9</v>
      </c>
      <c r="V30" s="14">
        <v>0.16228015817909877</v>
      </c>
      <c r="W30">
        <v>358779</v>
      </c>
      <c r="X30">
        <v>84448.4</v>
      </c>
      <c r="Y30" s="14">
        <v>0.23537720992588751</v>
      </c>
      <c r="Z30">
        <v>262307</v>
      </c>
      <c r="AA30">
        <v>44218.2</v>
      </c>
      <c r="AB30" s="14">
        <v>0.16857422790851939</v>
      </c>
      <c r="AC30">
        <v>246100</v>
      </c>
      <c r="AD30">
        <v>55565.4</v>
      </c>
      <c r="AE30" s="14">
        <v>0.22578382771231206</v>
      </c>
      <c r="AF30" s="84"/>
    </row>
    <row r="31" spans="1:32" x14ac:dyDescent="0.25">
      <c r="A31">
        <v>2006</v>
      </c>
      <c r="B31" s="3">
        <v>686755</v>
      </c>
      <c r="C31" s="3">
        <v>111839</v>
      </c>
      <c r="D31" s="14">
        <v>0.16285138076897876</v>
      </c>
      <c r="E31" s="3">
        <v>706285</v>
      </c>
      <c r="F31" s="3">
        <v>107439</v>
      </c>
      <c r="G31" s="14">
        <v>0.15211847908422238</v>
      </c>
      <c r="H31">
        <v>631775</v>
      </c>
      <c r="I31">
        <v>93393.1</v>
      </c>
      <c r="J31" s="14">
        <v>0.14782652051758935</v>
      </c>
      <c r="K31">
        <v>658602</v>
      </c>
      <c r="L31">
        <v>97260.4</v>
      </c>
      <c r="M31" s="14">
        <v>0.1476770492649582</v>
      </c>
      <c r="N31">
        <v>733076</v>
      </c>
      <c r="O31">
        <v>109902</v>
      </c>
      <c r="P31" s="14">
        <v>0.14991897156638603</v>
      </c>
      <c r="Q31">
        <v>676487</v>
      </c>
      <c r="R31">
        <v>97847.2</v>
      </c>
      <c r="S31" s="14">
        <v>0.14464017786003278</v>
      </c>
      <c r="T31">
        <v>614612</v>
      </c>
      <c r="U31">
        <v>90399.8</v>
      </c>
      <c r="V31" s="14">
        <v>0.14708433938810175</v>
      </c>
      <c r="W31">
        <v>586454</v>
      </c>
      <c r="X31">
        <v>126157</v>
      </c>
      <c r="Y31" s="14">
        <v>0.21511832130056235</v>
      </c>
      <c r="Z31">
        <v>464906</v>
      </c>
      <c r="AA31">
        <v>72382.7</v>
      </c>
      <c r="AB31" s="14">
        <v>0.15569319389295899</v>
      </c>
      <c r="AC31">
        <v>457584</v>
      </c>
      <c r="AD31">
        <v>94363.7</v>
      </c>
      <c r="AE31" s="14">
        <v>0.20622158991573131</v>
      </c>
      <c r="AF31" s="84"/>
    </row>
    <row r="32" spans="1:32" x14ac:dyDescent="0.25">
      <c r="A32">
        <v>2007</v>
      </c>
      <c r="B32" s="3">
        <v>443195</v>
      </c>
      <c r="C32" s="3">
        <v>78695.899999999994</v>
      </c>
      <c r="D32" s="14">
        <v>0.17756495447827705</v>
      </c>
      <c r="E32" s="3">
        <v>404280</v>
      </c>
      <c r="F32" s="3">
        <v>66906</v>
      </c>
      <c r="G32" s="14">
        <v>0.16549421193232414</v>
      </c>
      <c r="H32">
        <v>356507</v>
      </c>
      <c r="I32">
        <v>58375.5</v>
      </c>
      <c r="J32" s="14">
        <v>0.16374292790884892</v>
      </c>
      <c r="K32">
        <v>379898</v>
      </c>
      <c r="L32">
        <v>60377.2</v>
      </c>
      <c r="M32" s="14">
        <v>0.15893002858662061</v>
      </c>
      <c r="N32">
        <v>417934</v>
      </c>
      <c r="O32">
        <v>68402.7</v>
      </c>
      <c r="P32" s="14">
        <v>0.1636686653873578</v>
      </c>
      <c r="Q32">
        <v>388916</v>
      </c>
      <c r="R32">
        <v>60752.2</v>
      </c>
      <c r="S32" s="14">
        <v>0.15620905285460099</v>
      </c>
      <c r="T32">
        <v>347100</v>
      </c>
      <c r="U32">
        <v>55765</v>
      </c>
      <c r="V32" s="14">
        <v>0.16065975223278595</v>
      </c>
      <c r="W32">
        <v>349904</v>
      </c>
      <c r="X32">
        <v>79818</v>
      </c>
      <c r="Y32" s="14">
        <v>0.22811399698202936</v>
      </c>
      <c r="Z32">
        <v>266598</v>
      </c>
      <c r="AA32">
        <v>44576.9</v>
      </c>
      <c r="AB32" s="14">
        <v>0.16720643065589391</v>
      </c>
      <c r="AC32">
        <v>272617</v>
      </c>
      <c r="AD32">
        <v>59523</v>
      </c>
      <c r="AE32" s="14">
        <v>0.21833928184962786</v>
      </c>
      <c r="AF32" s="84"/>
    </row>
    <row r="33" spans="1:32" x14ac:dyDescent="0.25">
      <c r="A33">
        <v>2008</v>
      </c>
      <c r="B33" s="3">
        <v>651882</v>
      </c>
      <c r="C33" s="3">
        <v>112494</v>
      </c>
      <c r="D33" s="14">
        <v>0.17256804145535543</v>
      </c>
      <c r="E33" s="3">
        <v>601931</v>
      </c>
      <c r="F33" s="3">
        <v>94908.6</v>
      </c>
      <c r="G33" s="14">
        <v>0.15767355394555191</v>
      </c>
      <c r="H33">
        <v>543933</v>
      </c>
      <c r="I33">
        <v>83555.199999999997</v>
      </c>
      <c r="J33" s="14">
        <v>0.15361303689976522</v>
      </c>
      <c r="K33">
        <v>548979</v>
      </c>
      <c r="L33">
        <v>83758.899999999994</v>
      </c>
      <c r="M33" s="14">
        <v>0.15257213846066969</v>
      </c>
      <c r="N33">
        <v>624993</v>
      </c>
      <c r="O33">
        <v>97267.6</v>
      </c>
      <c r="P33" s="14">
        <v>0.15562990305491423</v>
      </c>
      <c r="Q33">
        <v>563278</v>
      </c>
      <c r="R33">
        <v>84151.7</v>
      </c>
      <c r="S33" s="14">
        <v>0.14939639041467978</v>
      </c>
      <c r="T33">
        <v>514246</v>
      </c>
      <c r="U33">
        <v>78244.2</v>
      </c>
      <c r="V33" s="14">
        <v>0.15215324961205337</v>
      </c>
      <c r="W33">
        <v>470056</v>
      </c>
      <c r="X33">
        <v>103960</v>
      </c>
      <c r="Y33" s="14">
        <v>0.22116513777081881</v>
      </c>
      <c r="Z33">
        <v>378419</v>
      </c>
      <c r="AA33">
        <v>59999.199999999997</v>
      </c>
      <c r="AB33" s="14">
        <v>0.15855229256459111</v>
      </c>
      <c r="AC33">
        <v>359218</v>
      </c>
      <c r="AD33">
        <v>75544.600000000006</v>
      </c>
      <c r="AE33" s="14">
        <v>0.21030293582170159</v>
      </c>
      <c r="AF33" s="84"/>
    </row>
    <row r="34" spans="1:32" x14ac:dyDescent="0.25">
      <c r="A34">
        <v>2009</v>
      </c>
      <c r="B34" s="3">
        <v>391813</v>
      </c>
      <c r="C34" s="3">
        <v>76337.100000000006</v>
      </c>
      <c r="D34" s="14">
        <v>0.19483044207313185</v>
      </c>
      <c r="E34" s="3">
        <v>397704</v>
      </c>
      <c r="F34" s="3">
        <v>68422.899999999994</v>
      </c>
      <c r="G34" s="14">
        <v>0.17204478707782672</v>
      </c>
      <c r="H34">
        <v>334628</v>
      </c>
      <c r="I34">
        <v>58793.599999999999</v>
      </c>
      <c r="J34" s="14">
        <v>0.17569838746309335</v>
      </c>
      <c r="K34">
        <v>373756</v>
      </c>
      <c r="L34">
        <v>61425</v>
      </c>
      <c r="M34" s="14">
        <v>0.16434518776956089</v>
      </c>
      <c r="N34">
        <v>409121</v>
      </c>
      <c r="O34">
        <v>69698.3</v>
      </c>
      <c r="P34" s="14">
        <v>0.17036109121751267</v>
      </c>
      <c r="Q34">
        <v>381087</v>
      </c>
      <c r="R34">
        <v>61551.4</v>
      </c>
      <c r="S34" s="14">
        <v>0.16151534951336571</v>
      </c>
      <c r="T34">
        <v>320417</v>
      </c>
      <c r="U34">
        <v>54792.1</v>
      </c>
      <c r="V34" s="14">
        <v>0.17100247489989606</v>
      </c>
      <c r="W34">
        <v>290948</v>
      </c>
      <c r="X34">
        <v>69572.7</v>
      </c>
      <c r="Y34" s="14">
        <v>0.23912417339180883</v>
      </c>
      <c r="Z34">
        <v>230732</v>
      </c>
      <c r="AA34">
        <v>40312.400000000001</v>
      </c>
      <c r="AB34" s="14">
        <v>0.17471525406098851</v>
      </c>
      <c r="AC34">
        <v>217718</v>
      </c>
      <c r="AD34">
        <v>49311.8</v>
      </c>
      <c r="AE34" s="14">
        <v>0.22649390495962668</v>
      </c>
      <c r="AF34" s="84"/>
    </row>
    <row r="35" spans="1:32" x14ac:dyDescent="0.25">
      <c r="A35">
        <v>2010</v>
      </c>
      <c r="B35" s="3">
        <v>506839</v>
      </c>
      <c r="C35" s="3">
        <v>97164.2</v>
      </c>
      <c r="D35" s="14">
        <v>0.19170624202162817</v>
      </c>
      <c r="E35" s="3">
        <v>434530</v>
      </c>
      <c r="F35" s="3">
        <v>74312.100000000006</v>
      </c>
      <c r="G35" s="14">
        <v>0.17101719098796403</v>
      </c>
      <c r="H35">
        <v>339557</v>
      </c>
      <c r="I35">
        <v>57842.400000000001</v>
      </c>
      <c r="J35" s="14">
        <v>0.17034665755675779</v>
      </c>
      <c r="K35">
        <v>401095</v>
      </c>
      <c r="L35">
        <v>65541.2</v>
      </c>
      <c r="M35" s="14">
        <v>0.16340567695932384</v>
      </c>
      <c r="N35">
        <v>448951</v>
      </c>
      <c r="O35">
        <v>76190.600000000006</v>
      </c>
      <c r="P35" s="14">
        <v>0.16970805277190606</v>
      </c>
      <c r="Q35">
        <v>409046</v>
      </c>
      <c r="R35">
        <v>65710.399999999994</v>
      </c>
      <c r="S35" s="14">
        <v>0.16064305726006364</v>
      </c>
      <c r="T35">
        <v>321967</v>
      </c>
      <c r="U35">
        <v>53373</v>
      </c>
      <c r="V35" s="14">
        <v>0.16577164740485825</v>
      </c>
      <c r="W35">
        <v>305709</v>
      </c>
      <c r="X35">
        <v>70407.7</v>
      </c>
      <c r="Y35" s="14">
        <v>0.23030954273508467</v>
      </c>
      <c r="Z35">
        <v>227382</v>
      </c>
      <c r="AA35">
        <v>37674.5</v>
      </c>
      <c r="AB35" s="14">
        <v>0.16568813714366132</v>
      </c>
      <c r="AC35">
        <v>224491</v>
      </c>
      <c r="AD35">
        <v>48292.5</v>
      </c>
      <c r="AE35" s="14">
        <v>0.21511998253827547</v>
      </c>
      <c r="AF35" s="84"/>
    </row>
    <row r="36" spans="1:32" x14ac:dyDescent="0.25">
      <c r="A36">
        <v>2011</v>
      </c>
      <c r="B36" s="3">
        <v>655108</v>
      </c>
      <c r="C36" s="3">
        <v>132113</v>
      </c>
      <c r="D36" s="14">
        <v>0.20166598484524689</v>
      </c>
      <c r="E36" s="3">
        <v>567604</v>
      </c>
      <c r="F36" s="3">
        <v>99156.2</v>
      </c>
      <c r="G36" s="14">
        <v>0.17469256735329561</v>
      </c>
      <c r="H36">
        <v>513133</v>
      </c>
      <c r="I36">
        <v>88196.7</v>
      </c>
      <c r="J36" s="14">
        <v>0.17187883063455284</v>
      </c>
      <c r="K36">
        <v>536803</v>
      </c>
      <c r="L36">
        <v>88750.6</v>
      </c>
      <c r="M36" s="14">
        <v>0.1653317883841931</v>
      </c>
      <c r="N36">
        <v>583773</v>
      </c>
      <c r="O36">
        <v>101390</v>
      </c>
      <c r="P36" s="14">
        <v>0.17368052308003282</v>
      </c>
      <c r="Q36">
        <v>544997</v>
      </c>
      <c r="R36">
        <v>88647.5</v>
      </c>
      <c r="S36" s="14">
        <v>0.16265685866160731</v>
      </c>
      <c r="T36">
        <v>494854</v>
      </c>
      <c r="U36">
        <v>82541.600000000006</v>
      </c>
      <c r="V36" s="14">
        <v>0.16679990461833188</v>
      </c>
      <c r="W36">
        <v>478024</v>
      </c>
      <c r="X36">
        <v>110814</v>
      </c>
      <c r="Y36" s="14">
        <v>0.23181681254497682</v>
      </c>
      <c r="Z36">
        <v>336251</v>
      </c>
      <c r="AA36">
        <v>54999.199999999997</v>
      </c>
      <c r="AB36" s="14">
        <v>0.16356590761068368</v>
      </c>
      <c r="AC36">
        <v>343155</v>
      </c>
      <c r="AD36">
        <v>73250.8</v>
      </c>
      <c r="AE36" s="14">
        <v>0.21346272092786059</v>
      </c>
      <c r="AF36" s="84"/>
    </row>
    <row r="37" spans="1:32" x14ac:dyDescent="0.25">
      <c r="A37">
        <v>2012</v>
      </c>
      <c r="B37" s="3">
        <v>1215110</v>
      </c>
      <c r="C37" s="3">
        <v>261203</v>
      </c>
      <c r="D37" s="14">
        <v>0.21496243138481289</v>
      </c>
      <c r="E37" s="3">
        <v>1039390</v>
      </c>
      <c r="F37" s="3">
        <v>191148</v>
      </c>
      <c r="G37" s="14">
        <v>0.18390402062748343</v>
      </c>
      <c r="H37">
        <v>949610</v>
      </c>
      <c r="I37">
        <v>174848</v>
      </c>
      <c r="J37" s="14">
        <v>0.18412611493139289</v>
      </c>
      <c r="K37">
        <v>1024320</v>
      </c>
      <c r="L37">
        <v>176808</v>
      </c>
      <c r="M37" s="14">
        <v>0.17261012183692595</v>
      </c>
      <c r="N37">
        <v>1069210</v>
      </c>
      <c r="O37">
        <v>195509</v>
      </c>
      <c r="P37" s="14">
        <v>0.18285369571926938</v>
      </c>
      <c r="Q37">
        <v>1037140</v>
      </c>
      <c r="R37">
        <v>175807</v>
      </c>
      <c r="S37" s="14">
        <v>0.1695113485161116</v>
      </c>
      <c r="T37">
        <v>958239</v>
      </c>
      <c r="U37">
        <v>169720</v>
      </c>
      <c r="V37" s="14">
        <v>0.17711656486534152</v>
      </c>
      <c r="W37">
        <v>806918</v>
      </c>
      <c r="X37">
        <v>196955</v>
      </c>
      <c r="Y37" s="14">
        <v>0.24408304189521116</v>
      </c>
      <c r="Z37">
        <v>626495</v>
      </c>
      <c r="AA37">
        <v>105265</v>
      </c>
      <c r="AB37" s="14">
        <v>0.16802209115795019</v>
      </c>
      <c r="AC37">
        <v>573267</v>
      </c>
      <c r="AD37">
        <v>125740</v>
      </c>
      <c r="AE37" s="14">
        <v>0.21933933053882396</v>
      </c>
      <c r="AF37" s="84"/>
    </row>
    <row r="38" spans="1:32" x14ac:dyDescent="0.25">
      <c r="A38">
        <v>2013</v>
      </c>
      <c r="B38" s="3">
        <v>638080</v>
      </c>
      <c r="C38" s="3">
        <v>158497</v>
      </c>
      <c r="D38" s="14">
        <v>0.24839675275827483</v>
      </c>
      <c r="E38" s="3">
        <v>468547</v>
      </c>
      <c r="F38" s="3">
        <v>97480.4</v>
      </c>
      <c r="G38" s="14">
        <v>0.20804828544414966</v>
      </c>
      <c r="H38">
        <v>433984</v>
      </c>
      <c r="I38">
        <v>90735.5</v>
      </c>
      <c r="J38" s="14">
        <v>0.20907568020940864</v>
      </c>
      <c r="K38">
        <v>495858</v>
      </c>
      <c r="L38">
        <v>97064.7</v>
      </c>
      <c r="M38" s="14">
        <v>0.1957510012947255</v>
      </c>
      <c r="N38">
        <v>479472</v>
      </c>
      <c r="O38">
        <v>99258</v>
      </c>
      <c r="P38" s="14">
        <v>0.20701521673841225</v>
      </c>
      <c r="Q38">
        <v>499350</v>
      </c>
      <c r="R38">
        <v>96155</v>
      </c>
      <c r="S38" s="14">
        <v>0.19256032842695503</v>
      </c>
      <c r="T38">
        <v>468120</v>
      </c>
      <c r="U38">
        <v>94567.4</v>
      </c>
      <c r="V38" s="14">
        <v>0.20201529522344697</v>
      </c>
      <c r="W38">
        <v>373191</v>
      </c>
      <c r="X38">
        <v>99203.1</v>
      </c>
      <c r="Y38" s="14">
        <v>0.26582393466080373</v>
      </c>
      <c r="Z38">
        <v>319211</v>
      </c>
      <c r="AA38">
        <v>59685.9</v>
      </c>
      <c r="AB38" s="14">
        <v>0.18697945872792604</v>
      </c>
      <c r="AC38">
        <v>273128</v>
      </c>
      <c r="AD38">
        <v>65788.2</v>
      </c>
      <c r="AE38" s="14">
        <v>0.24086948244046746</v>
      </c>
      <c r="AF38" s="84"/>
    </row>
    <row r="39" spans="1:32" x14ac:dyDescent="0.25">
      <c r="A39">
        <v>2014</v>
      </c>
      <c r="B39" s="3">
        <v>211074</v>
      </c>
      <c r="C39" s="3">
        <v>60298.400000000001</v>
      </c>
      <c r="D39" s="14">
        <v>0.28567421852051889</v>
      </c>
      <c r="E39" s="3">
        <v>241005</v>
      </c>
      <c r="F39" s="3">
        <v>54714.6</v>
      </c>
      <c r="G39" s="14">
        <v>0.22702682516960229</v>
      </c>
      <c r="H39">
        <v>209402</v>
      </c>
      <c r="I39">
        <v>47523</v>
      </c>
      <c r="J39" s="14">
        <v>0.22694625648274611</v>
      </c>
      <c r="K39">
        <v>272007</v>
      </c>
      <c r="L39">
        <v>57372.1</v>
      </c>
      <c r="M39" s="14">
        <v>0.2109214101107692</v>
      </c>
      <c r="N39">
        <v>244487</v>
      </c>
      <c r="O39">
        <v>55442.8</v>
      </c>
      <c r="P39" s="14">
        <v>0.22677197560606496</v>
      </c>
      <c r="Q39">
        <v>273192</v>
      </c>
      <c r="R39">
        <v>57192.6</v>
      </c>
      <c r="S39" s="14">
        <v>0.20934946850566635</v>
      </c>
      <c r="T39">
        <v>241961</v>
      </c>
      <c r="U39">
        <v>52521.1</v>
      </c>
      <c r="V39" s="14">
        <v>0.21706432028302081</v>
      </c>
      <c r="W39">
        <v>228882</v>
      </c>
      <c r="X39">
        <v>65318.8</v>
      </c>
      <c r="Y39" s="14">
        <v>0.28538198722485825</v>
      </c>
      <c r="Z39">
        <v>178291</v>
      </c>
      <c r="AA39">
        <v>36782.5</v>
      </c>
      <c r="AB39" s="14">
        <v>0.20630598291557062</v>
      </c>
      <c r="AC39">
        <v>171794</v>
      </c>
      <c r="AD39">
        <v>45147.7</v>
      </c>
      <c r="AE39" s="14">
        <v>0.26280137839505452</v>
      </c>
      <c r="AF39" s="84"/>
    </row>
    <row r="40" spans="1:32" x14ac:dyDescent="0.25">
      <c r="A40">
        <v>2015</v>
      </c>
      <c r="B40" s="3">
        <v>260163</v>
      </c>
      <c r="C40" s="3">
        <v>64285</v>
      </c>
      <c r="D40" s="14">
        <v>0.24709509038564284</v>
      </c>
      <c r="E40" s="3">
        <v>240750</v>
      </c>
      <c r="F40" s="3">
        <v>52957.4</v>
      </c>
      <c r="G40" s="14">
        <v>0.21996843198338525</v>
      </c>
      <c r="H40">
        <v>165092</v>
      </c>
      <c r="I40">
        <v>38709.9</v>
      </c>
      <c r="J40" s="14">
        <v>0.23447471712741988</v>
      </c>
      <c r="K40">
        <v>306902</v>
      </c>
      <c r="L40">
        <v>67255.399999999994</v>
      </c>
      <c r="M40" s="14">
        <v>0.21914291858638912</v>
      </c>
      <c r="N40">
        <v>237647</v>
      </c>
      <c r="O40">
        <v>52299.7</v>
      </c>
      <c r="P40" s="14">
        <v>0.22007304952303205</v>
      </c>
      <c r="Q40">
        <v>300970</v>
      </c>
      <c r="R40">
        <v>65462.2</v>
      </c>
      <c r="S40" s="14">
        <v>0.21750407017310694</v>
      </c>
      <c r="T40">
        <v>205189</v>
      </c>
      <c r="U40">
        <v>49340.4</v>
      </c>
      <c r="V40" s="14">
        <v>0.24046318272422013</v>
      </c>
      <c r="W40">
        <v>178631</v>
      </c>
      <c r="X40">
        <v>54944.1</v>
      </c>
      <c r="Y40" s="14">
        <v>0.3075843498608864</v>
      </c>
      <c r="Z40">
        <v>165812</v>
      </c>
      <c r="AA40">
        <v>38496.9</v>
      </c>
      <c r="AB40" s="14">
        <v>0.23217197790268498</v>
      </c>
      <c r="AC40">
        <v>144272</v>
      </c>
      <c r="AD40">
        <v>41893.4</v>
      </c>
      <c r="AE40" s="14">
        <v>0.29037789730509039</v>
      </c>
      <c r="AF40" s="84"/>
    </row>
    <row r="41" spans="1:32" x14ac:dyDescent="0.25">
      <c r="A41">
        <v>2016</v>
      </c>
      <c r="B41" s="3">
        <v>168038</v>
      </c>
      <c r="C41" s="3">
        <v>41642.9</v>
      </c>
      <c r="D41" s="14">
        <v>0.2478183506111713</v>
      </c>
      <c r="E41" s="3">
        <v>190432</v>
      </c>
      <c r="F41" s="3">
        <v>40752.1</v>
      </c>
      <c r="G41" s="14">
        <v>0.21399817257603762</v>
      </c>
      <c r="H41">
        <v>180225</v>
      </c>
      <c r="I41">
        <v>36373.1</v>
      </c>
      <c r="J41" s="14">
        <v>0.20182050215009015</v>
      </c>
      <c r="K41">
        <v>231348</v>
      </c>
      <c r="L41">
        <v>47312.2</v>
      </c>
      <c r="M41" s="14">
        <v>0.20450663070352887</v>
      </c>
      <c r="N41">
        <v>183224</v>
      </c>
      <c r="O41">
        <v>39768</v>
      </c>
      <c r="P41" s="14">
        <v>0.21704580186001834</v>
      </c>
      <c r="Q41">
        <v>225205</v>
      </c>
      <c r="R41">
        <v>46236.800000000003</v>
      </c>
      <c r="S41" s="14">
        <v>0.2053098288226283</v>
      </c>
      <c r="T41">
        <v>225846</v>
      </c>
      <c r="U41">
        <v>45966.5</v>
      </c>
      <c r="V41" s="14">
        <v>0.20353028169637719</v>
      </c>
      <c r="W41">
        <v>220776</v>
      </c>
      <c r="X41">
        <v>60284.9</v>
      </c>
      <c r="Y41" s="14">
        <v>0.27305911874479111</v>
      </c>
      <c r="Z41">
        <v>182407</v>
      </c>
      <c r="AA41">
        <v>36391.800000000003</v>
      </c>
      <c r="AB41" s="14">
        <v>0.19950879078105557</v>
      </c>
      <c r="AC41">
        <v>175980</v>
      </c>
      <c r="AD41">
        <v>45161.5</v>
      </c>
      <c r="AE41" s="14">
        <v>0.25662859415842709</v>
      </c>
      <c r="AF41" s="84"/>
    </row>
    <row r="42" spans="1:32" x14ac:dyDescent="0.25">
      <c r="A42">
        <v>2017</v>
      </c>
      <c r="B42" s="3">
        <v>246044</v>
      </c>
      <c r="C42" s="3">
        <v>57826.3</v>
      </c>
      <c r="D42" s="14">
        <v>0.23502422330965195</v>
      </c>
      <c r="E42" s="3">
        <v>438126</v>
      </c>
      <c r="F42" s="3">
        <v>84786.3</v>
      </c>
      <c r="G42" s="14">
        <v>0.19352035715753002</v>
      </c>
      <c r="H42">
        <v>377592</v>
      </c>
      <c r="I42">
        <v>74023.199999999997</v>
      </c>
      <c r="J42" s="14">
        <v>0.196040170342592</v>
      </c>
      <c r="K42">
        <v>475888</v>
      </c>
      <c r="L42">
        <v>86541.2</v>
      </c>
      <c r="M42" s="14">
        <v>0.18185203241098746</v>
      </c>
      <c r="N42">
        <v>439743</v>
      </c>
      <c r="O42">
        <v>85125.3</v>
      </c>
      <c r="P42" s="14">
        <v>0.19357965902811416</v>
      </c>
      <c r="Q42">
        <v>479189</v>
      </c>
      <c r="R42">
        <v>86388.9</v>
      </c>
      <c r="S42" s="14">
        <v>0.1802814755764427</v>
      </c>
      <c r="T42">
        <v>418118</v>
      </c>
      <c r="U42">
        <v>78529.399999999994</v>
      </c>
      <c r="V42" s="14">
        <v>0.18781635806159983</v>
      </c>
      <c r="W42">
        <v>461615</v>
      </c>
      <c r="X42">
        <v>117872</v>
      </c>
      <c r="Y42" s="14">
        <v>0.25534698829110841</v>
      </c>
      <c r="Z42">
        <v>347844</v>
      </c>
      <c r="AA42">
        <v>65224.1</v>
      </c>
      <c r="AB42" s="14">
        <v>0.18750963075401617</v>
      </c>
      <c r="AC42">
        <v>366859</v>
      </c>
      <c r="AD42">
        <v>89005</v>
      </c>
      <c r="AE42" s="14">
        <v>0.24261364720505699</v>
      </c>
      <c r="AF42" s="84"/>
    </row>
    <row r="43" spans="1:32" x14ac:dyDescent="0.25">
      <c r="A43">
        <v>2018</v>
      </c>
      <c r="B43" s="3">
        <v>389895</v>
      </c>
      <c r="C43" s="3">
        <v>108368</v>
      </c>
      <c r="D43" s="14">
        <v>0.27794149706972388</v>
      </c>
      <c r="E43" s="3">
        <v>698218</v>
      </c>
      <c r="F43" s="3">
        <v>132091</v>
      </c>
      <c r="G43" s="14">
        <v>0.18918303452503374</v>
      </c>
      <c r="H43">
        <v>616627</v>
      </c>
      <c r="I43">
        <v>116089</v>
      </c>
      <c r="J43" s="14">
        <v>0.18826454242191795</v>
      </c>
      <c r="K43">
        <v>696969</v>
      </c>
      <c r="L43">
        <v>125642</v>
      </c>
      <c r="M43" s="14">
        <v>0.18026913679087592</v>
      </c>
      <c r="N43">
        <v>713420</v>
      </c>
      <c r="O43">
        <v>135128</v>
      </c>
      <c r="P43" s="14">
        <v>0.18940876342126658</v>
      </c>
      <c r="Q43">
        <v>707726</v>
      </c>
      <c r="R43">
        <v>125981</v>
      </c>
      <c r="S43" s="14">
        <v>0.17800815569867434</v>
      </c>
      <c r="T43">
        <v>639029</v>
      </c>
      <c r="U43">
        <v>117807</v>
      </c>
      <c r="V43" s="14">
        <v>0.18435313577318088</v>
      </c>
      <c r="W43">
        <v>589737</v>
      </c>
      <c r="X43">
        <v>148268</v>
      </c>
      <c r="Y43" s="14">
        <v>0.25141376579729607</v>
      </c>
      <c r="Z43">
        <v>457327</v>
      </c>
      <c r="AA43">
        <v>82749.899999999994</v>
      </c>
      <c r="AB43" s="14">
        <v>0.18094252034102512</v>
      </c>
      <c r="AC43">
        <v>435326</v>
      </c>
      <c r="AD43">
        <v>102857</v>
      </c>
      <c r="AE43" s="14">
        <v>0.23627580250203295</v>
      </c>
      <c r="AF43" s="84"/>
    </row>
    <row r="44" spans="1:32" x14ac:dyDescent="0.25">
      <c r="A44">
        <v>2019</v>
      </c>
      <c r="B44" s="3">
        <v>399011</v>
      </c>
      <c r="C44" s="3">
        <v>160052</v>
      </c>
      <c r="D44" s="14">
        <v>0.40112177358518936</v>
      </c>
      <c r="E44" s="3">
        <v>253131</v>
      </c>
      <c r="F44" s="3">
        <v>65588.600000000006</v>
      </c>
      <c r="G44" s="14">
        <v>0.2591093149396953</v>
      </c>
      <c r="H44">
        <v>213060</v>
      </c>
      <c r="I44">
        <v>55423.6</v>
      </c>
      <c r="J44" s="14">
        <v>0.26013141837979908</v>
      </c>
      <c r="K44">
        <v>268197</v>
      </c>
      <c r="L44">
        <v>63993.3</v>
      </c>
      <c r="M44" s="14">
        <v>0.23860557724359335</v>
      </c>
      <c r="N44">
        <v>226550</v>
      </c>
      <c r="O44">
        <v>61839.4</v>
      </c>
      <c r="P44" s="14">
        <v>0.27296137717943059</v>
      </c>
      <c r="Q44">
        <v>251631</v>
      </c>
      <c r="R44">
        <v>61657.8</v>
      </c>
      <c r="S44" s="14">
        <v>0.24503260727016943</v>
      </c>
      <c r="T44">
        <v>212764</v>
      </c>
      <c r="U44">
        <v>53506.2</v>
      </c>
      <c r="V44" s="14">
        <v>0.25148145362937335</v>
      </c>
      <c r="W44">
        <v>208246</v>
      </c>
      <c r="X44">
        <v>64988.2</v>
      </c>
      <c r="Y44" s="14">
        <v>0.31207418149688348</v>
      </c>
      <c r="Z44">
        <v>160661</v>
      </c>
      <c r="AA44">
        <v>38795.599999999999</v>
      </c>
      <c r="AB44" s="14">
        <v>0.24147490679131836</v>
      </c>
      <c r="AC44">
        <v>157075</v>
      </c>
      <c r="AD44">
        <v>46616.9</v>
      </c>
      <c r="AE44" s="14">
        <v>0.2967811554989655</v>
      </c>
      <c r="AF44" s="84"/>
    </row>
    <row r="45" spans="1:32" x14ac:dyDescent="0.25">
      <c r="A45">
        <v>2020</v>
      </c>
      <c r="B45" s="3">
        <v>463705</v>
      </c>
      <c r="C45" s="3">
        <v>223391</v>
      </c>
      <c r="D45" s="14">
        <v>0.48175240724167306</v>
      </c>
      <c r="E45" s="3">
        <v>852381</v>
      </c>
      <c r="F45" s="3">
        <v>176358</v>
      </c>
      <c r="G45" s="14">
        <v>0.20690043536869077</v>
      </c>
      <c r="H45">
        <v>762533</v>
      </c>
      <c r="I45">
        <v>158759</v>
      </c>
      <c r="J45" s="14">
        <v>0.20819951398824707</v>
      </c>
      <c r="K45">
        <v>812021</v>
      </c>
      <c r="L45">
        <v>159267</v>
      </c>
      <c r="M45" s="14">
        <v>0.19613655311870012</v>
      </c>
      <c r="N45">
        <v>894707</v>
      </c>
      <c r="O45">
        <v>187550</v>
      </c>
      <c r="P45" s="14">
        <v>0.20962169738249506</v>
      </c>
      <c r="Q45">
        <v>834260</v>
      </c>
      <c r="R45">
        <v>162730</v>
      </c>
      <c r="S45" s="14">
        <v>0.19505909428715268</v>
      </c>
      <c r="T45">
        <v>760536</v>
      </c>
      <c r="U45">
        <v>154367</v>
      </c>
      <c r="V45" s="14">
        <v>0.20297132548623603</v>
      </c>
      <c r="W45">
        <v>674723</v>
      </c>
      <c r="X45">
        <v>177583</v>
      </c>
      <c r="Y45" s="14">
        <v>0.26319393291765658</v>
      </c>
      <c r="Z45">
        <v>529127</v>
      </c>
      <c r="AA45">
        <v>103085</v>
      </c>
      <c r="AB45" s="14">
        <v>0.19482090311021741</v>
      </c>
      <c r="AC45">
        <v>498365</v>
      </c>
      <c r="AD45">
        <v>123558</v>
      </c>
      <c r="AE45" s="14">
        <v>0.2479267203756283</v>
      </c>
      <c r="AF45" s="84"/>
    </row>
    <row r="46" spans="1:32" x14ac:dyDescent="0.25">
      <c r="D46" s="6">
        <v>0.24939825270061847</v>
      </c>
      <c r="E46" s="6"/>
      <c r="F46" s="6"/>
      <c r="G46" s="6">
        <v>0.19297997787818624</v>
      </c>
      <c r="H46" s="6"/>
      <c r="I46" s="6"/>
      <c r="J46" s="6">
        <v>0.19281235180094808</v>
      </c>
      <c r="K46" s="6"/>
      <c r="L46" s="6"/>
      <c r="M46" s="6">
        <v>0.18347048343478814</v>
      </c>
      <c r="N46" s="6"/>
      <c r="O46" s="6"/>
      <c r="P46" s="6">
        <v>0.1934865629024142</v>
      </c>
      <c r="Q46" s="6"/>
      <c r="R46" s="6"/>
      <c r="S46" s="6">
        <v>0.18184515092275053</v>
      </c>
      <c r="T46" s="6"/>
      <c r="U46" s="6"/>
      <c r="V46" s="6">
        <v>0.18868555239325488</v>
      </c>
      <c r="W46" s="6"/>
      <c r="X46" s="6"/>
      <c r="Y46" s="6">
        <v>0.25490728570765175</v>
      </c>
      <c r="Z46" s="6"/>
      <c r="AA46" s="6"/>
      <c r="AB46" s="6">
        <v>0.18554383189403614</v>
      </c>
      <c r="AC46" s="6"/>
      <c r="AD46" s="6"/>
      <c r="AE46" s="6">
        <v>0.23890362829549136</v>
      </c>
    </row>
    <row r="49" spans="2:36" x14ac:dyDescent="0.25">
      <c r="B49" s="56">
        <f>LN(B3)</f>
        <v>12.841474181040139</v>
      </c>
      <c r="C49" s="56">
        <f>LN(C3)</f>
        <v>11.78749950126093</v>
      </c>
      <c r="D49" s="56"/>
      <c r="E49" s="56">
        <f t="shared" ref="E49:E88" si="0">LN(E3)</f>
        <v>12.845708283735048</v>
      </c>
      <c r="F49" s="56">
        <f t="shared" ref="F49:AD57" si="1">LN(F3)</f>
        <v>11.780897055880279</v>
      </c>
      <c r="G49" s="56"/>
      <c r="H49" s="56">
        <f t="shared" ref="H49:H87" si="2">LN(H3)</f>
        <v>12.8426283103566</v>
      </c>
      <c r="I49" s="56">
        <f t="shared" si="1"/>
        <v>11.78350206951907</v>
      </c>
      <c r="J49" s="56"/>
      <c r="K49" s="56">
        <f t="shared" ref="K49:K87" si="3">LN(K3)</f>
        <v>12.798669942984644</v>
      </c>
      <c r="L49" s="56">
        <f t="shared" si="1"/>
        <v>11.713757965523047</v>
      </c>
      <c r="M49" s="56"/>
      <c r="N49" s="56">
        <f t="shared" ref="N49:N87" si="4">LN(N3)</f>
        <v>12.941426461552506</v>
      </c>
      <c r="O49" s="56">
        <f t="shared" si="1"/>
        <v>11.867595400221745</v>
      </c>
      <c r="P49" s="56"/>
      <c r="Q49" s="56">
        <f t="shared" ref="Q49:Q87" si="5">LN(Q3)</f>
        <v>12.869229580790401</v>
      </c>
      <c r="R49" s="56">
        <f t="shared" si="1"/>
        <v>11.774751122876783</v>
      </c>
      <c r="S49" s="56"/>
      <c r="T49" s="56">
        <f t="shared" ref="T49:T87" si="6">LN(T3)</f>
        <v>12.887321824757592</v>
      </c>
      <c r="U49" s="56">
        <f t="shared" si="1"/>
        <v>11.816881888843309</v>
      </c>
      <c r="V49" s="56"/>
      <c r="W49" s="56">
        <f t="shared" ref="W49:W87" si="7">LN(W3)</f>
        <v>12.914041933909429</v>
      </c>
      <c r="X49" s="56">
        <f t="shared" si="1"/>
        <v>11.989848847405128</v>
      </c>
      <c r="Y49" s="56"/>
      <c r="Z49" s="56">
        <f t="shared" ref="Z49:Z87" si="8">LN(Z3)</f>
        <v>12.430583261984879</v>
      </c>
      <c r="AA49" s="56">
        <f t="shared" si="1"/>
        <v>11.382296142976514</v>
      </c>
      <c r="AB49" s="56"/>
      <c r="AC49" s="56">
        <f t="shared" ref="AC49:AC87" si="9">LN(AC3)</f>
        <v>12.518226574500181</v>
      </c>
      <c r="AD49" s="56">
        <f t="shared" si="1"/>
        <v>11.611811063522149</v>
      </c>
      <c r="AE49" s="56"/>
      <c r="AF49" s="56"/>
      <c r="AG49" s="56"/>
      <c r="AH49" s="56"/>
      <c r="AI49" s="56"/>
      <c r="AJ49" s="56"/>
    </row>
    <row r="50" spans="2:36" x14ac:dyDescent="0.25">
      <c r="B50" s="56">
        <f t="shared" ref="B50" si="10">LN(B4)</f>
        <v>12.820536402504576</v>
      </c>
      <c r="C50" s="56">
        <f t="shared" ref="C50:R90" si="11">LN(C4)</f>
        <v>11.679159983111251</v>
      </c>
      <c r="D50" s="56"/>
      <c r="E50" s="56">
        <f t="shared" ref="E50" si="12">LN(E4)</f>
        <v>12.8382456119234</v>
      </c>
      <c r="F50" s="56">
        <f t="shared" si="11"/>
        <v>11.678999069119433</v>
      </c>
      <c r="G50" s="56"/>
      <c r="H50" s="56">
        <f t="shared" ref="H50" si="13">LN(H4)</f>
        <v>12.830354625024381</v>
      </c>
      <c r="I50" s="56">
        <f t="shared" si="11"/>
        <v>11.681866230270122</v>
      </c>
      <c r="J50" s="56"/>
      <c r="K50" s="56">
        <f t="shared" ref="K50" si="14">LN(K4)</f>
        <v>12.793273027490921</v>
      </c>
      <c r="L50" s="56">
        <f t="shared" si="11"/>
        <v>11.61722241524285</v>
      </c>
      <c r="M50" s="56"/>
      <c r="N50" s="56">
        <f t="shared" ref="N50" si="15">LN(N4)</f>
        <v>12.92602727400971</v>
      </c>
      <c r="O50" s="56">
        <f t="shared" si="11"/>
        <v>11.758472180819224</v>
      </c>
      <c r="P50" s="56"/>
      <c r="Q50" s="56">
        <f t="shared" ref="Q50" si="16">LN(Q4)</f>
        <v>12.858179057640593</v>
      </c>
      <c r="R50" s="56">
        <f t="shared" si="11"/>
        <v>11.67173100837608</v>
      </c>
      <c r="S50" s="56"/>
      <c r="T50" s="56">
        <f t="shared" si="6"/>
        <v>12.86189172082412</v>
      </c>
      <c r="U50" s="56">
        <f t="shared" si="1"/>
        <v>11.710340867711707</v>
      </c>
      <c r="V50" s="56"/>
      <c r="W50" s="56">
        <f t="shared" si="7"/>
        <v>12.811961145796275</v>
      </c>
      <c r="X50" s="56">
        <f t="shared" si="1"/>
        <v>11.825843904590085</v>
      </c>
      <c r="Y50" s="56"/>
      <c r="Z50" s="56">
        <f t="shared" si="8"/>
        <v>12.378600567526826</v>
      </c>
      <c r="AA50" s="56">
        <f t="shared" si="1"/>
        <v>11.272648470915174</v>
      </c>
      <c r="AB50" s="56"/>
      <c r="AC50" s="56">
        <f t="shared" si="9"/>
        <v>12.407334529842117</v>
      </c>
      <c r="AD50" s="56">
        <f t="shared" si="1"/>
        <v>11.44918768981667</v>
      </c>
      <c r="AE50" s="56"/>
      <c r="AF50" s="56"/>
      <c r="AG50" s="56"/>
      <c r="AH50" s="56"/>
      <c r="AI50" s="56"/>
      <c r="AJ50" s="56"/>
    </row>
    <row r="51" spans="2:36" x14ac:dyDescent="0.25">
      <c r="B51" s="56">
        <f t="shared" ref="B51" si="17">LN(B5)</f>
        <v>13.343928082997319</v>
      </c>
      <c r="C51" s="56">
        <f t="shared" si="11"/>
        <v>12.100095272988588</v>
      </c>
      <c r="D51" s="56"/>
      <c r="E51" s="56">
        <f t="shared" si="0"/>
        <v>13.366822136977339</v>
      </c>
      <c r="F51" s="56">
        <f t="shared" si="1"/>
        <v>12.098170012539466</v>
      </c>
      <c r="G51" s="56"/>
      <c r="H51" s="56">
        <f t="shared" si="2"/>
        <v>13.131652103306585</v>
      </c>
      <c r="I51" s="56">
        <f t="shared" si="1"/>
        <v>11.935929201553744</v>
      </c>
      <c r="J51" s="56"/>
      <c r="K51" s="56">
        <f t="shared" si="3"/>
        <v>13.317035023590268</v>
      </c>
      <c r="L51" s="56">
        <f t="shared" si="1"/>
        <v>12.033075481156537</v>
      </c>
      <c r="M51" s="56"/>
      <c r="N51" s="56">
        <f t="shared" si="4"/>
        <v>13.44883866780018</v>
      </c>
      <c r="O51" s="56">
        <f t="shared" si="1"/>
        <v>12.172800206266601</v>
      </c>
      <c r="P51" s="56"/>
      <c r="Q51" s="56">
        <f t="shared" si="5"/>
        <v>13.377526390373417</v>
      </c>
      <c r="R51" s="56">
        <f t="shared" si="1"/>
        <v>12.08263867336494</v>
      </c>
      <c r="S51" s="56"/>
      <c r="T51" s="56">
        <f t="shared" si="6"/>
        <v>13.153047759535324</v>
      </c>
      <c r="U51" s="56">
        <f t="shared" si="1"/>
        <v>11.956283482012767</v>
      </c>
      <c r="V51" s="56"/>
      <c r="W51" s="56">
        <f t="shared" si="7"/>
        <v>12.903570348827378</v>
      </c>
      <c r="X51" s="56">
        <f t="shared" si="1"/>
        <v>11.924982134261114</v>
      </c>
      <c r="Y51" s="56"/>
      <c r="Z51" s="56">
        <f t="shared" si="8"/>
        <v>12.678464046778025</v>
      </c>
      <c r="AA51" s="56">
        <f t="shared" si="1"/>
        <v>11.531226966140141</v>
      </c>
      <c r="AB51" s="56"/>
      <c r="AC51" s="56">
        <f t="shared" si="9"/>
        <v>12.507801843519919</v>
      </c>
      <c r="AD51" s="56">
        <f t="shared" si="1"/>
        <v>11.547085316616933</v>
      </c>
      <c r="AE51" s="56"/>
      <c r="AF51" s="56"/>
      <c r="AG51" s="56"/>
      <c r="AH51" s="56"/>
      <c r="AI51" s="56"/>
      <c r="AJ51" s="56"/>
    </row>
    <row r="52" spans="2:36" x14ac:dyDescent="0.25">
      <c r="B52" s="56">
        <f t="shared" ref="B52" si="18">LN(B6)</f>
        <v>13.44437585955904</v>
      </c>
      <c r="C52" s="56">
        <f t="shared" si="11"/>
        <v>12.12758123397437</v>
      </c>
      <c r="D52" s="56"/>
      <c r="E52" s="56">
        <f t="shared" si="0"/>
        <v>13.456392632374401</v>
      </c>
      <c r="F52" s="56">
        <f t="shared" si="1"/>
        <v>12.116043993869329</v>
      </c>
      <c r="G52" s="56"/>
      <c r="H52" s="56">
        <f t="shared" si="2"/>
        <v>13.399723865096737</v>
      </c>
      <c r="I52" s="56">
        <f t="shared" si="1"/>
        <v>12.026850281273893</v>
      </c>
      <c r="J52" s="56"/>
      <c r="K52" s="56">
        <f t="shared" si="3"/>
        <v>13.410870609318382</v>
      </c>
      <c r="L52" s="56">
        <f t="shared" si="1"/>
        <v>12.055377654592935</v>
      </c>
      <c r="M52" s="56"/>
      <c r="N52" s="56">
        <f t="shared" si="4"/>
        <v>13.530603298821418</v>
      </c>
      <c r="O52" s="56">
        <f t="shared" si="1"/>
        <v>12.179076506859603</v>
      </c>
      <c r="P52" s="56"/>
      <c r="Q52" s="56">
        <f t="shared" si="5"/>
        <v>13.465842437375665</v>
      </c>
      <c r="R52" s="56">
        <f t="shared" si="1"/>
        <v>12.095018172241517</v>
      </c>
      <c r="S52" s="56"/>
      <c r="T52" s="56">
        <f t="shared" si="6"/>
        <v>13.435692728558962</v>
      </c>
      <c r="U52" s="56">
        <f t="shared" si="1"/>
        <v>12.069553938177995</v>
      </c>
      <c r="V52" s="56"/>
      <c r="W52" s="56">
        <f t="shared" si="7"/>
        <v>13.159616772039559</v>
      </c>
      <c r="X52" s="56">
        <f t="shared" si="1"/>
        <v>12.076208804921496</v>
      </c>
      <c r="Y52" s="56"/>
      <c r="Z52" s="56">
        <f t="shared" si="8"/>
        <v>12.979831602582507</v>
      </c>
      <c r="AA52" s="56">
        <f t="shared" si="1"/>
        <v>11.687987401034922</v>
      </c>
      <c r="AB52" s="56"/>
      <c r="AC52" s="56">
        <f t="shared" si="9"/>
        <v>12.77563593546045</v>
      </c>
      <c r="AD52" s="56">
        <f t="shared" si="1"/>
        <v>11.716143821477168</v>
      </c>
      <c r="AE52" s="56"/>
      <c r="AF52" s="56"/>
      <c r="AG52" s="56"/>
      <c r="AH52" s="56"/>
      <c r="AI52" s="56"/>
      <c r="AJ52" s="56"/>
    </row>
    <row r="53" spans="2:36" x14ac:dyDescent="0.25">
      <c r="B53" s="56">
        <f t="shared" ref="B53" si="19">LN(B7)</f>
        <v>13.536129932951791</v>
      </c>
      <c r="C53" s="56">
        <f t="shared" si="11"/>
        <v>12.23182323485111</v>
      </c>
      <c r="D53" s="56"/>
      <c r="E53" s="56">
        <f t="shared" si="0"/>
        <v>13.552974978823263</v>
      </c>
      <c r="F53" s="56">
        <f t="shared" si="1"/>
        <v>12.224256315963803</v>
      </c>
      <c r="G53" s="56"/>
      <c r="H53" s="56">
        <f t="shared" si="2"/>
        <v>13.500634045961299</v>
      </c>
      <c r="I53" s="56">
        <f t="shared" si="1"/>
        <v>12.183428184045621</v>
      </c>
      <c r="J53" s="56"/>
      <c r="K53" s="56">
        <f t="shared" si="3"/>
        <v>13.507242031104088</v>
      </c>
      <c r="L53" s="56">
        <f t="shared" si="1"/>
        <v>12.159379281537989</v>
      </c>
      <c r="M53" s="56"/>
      <c r="N53" s="56">
        <f t="shared" si="4"/>
        <v>13.634825261765513</v>
      </c>
      <c r="O53" s="56">
        <f t="shared" si="1"/>
        <v>12.291607933636437</v>
      </c>
      <c r="P53" s="56"/>
      <c r="Q53" s="56">
        <f t="shared" si="5"/>
        <v>13.567438866325213</v>
      </c>
      <c r="R53" s="56">
        <f t="shared" si="1"/>
        <v>12.202727055279077</v>
      </c>
      <c r="S53" s="56"/>
      <c r="T53" s="56">
        <f t="shared" si="6"/>
        <v>13.540062675020776</v>
      </c>
      <c r="U53" s="56">
        <f t="shared" si="1"/>
        <v>12.22092184838038</v>
      </c>
      <c r="V53" s="56"/>
      <c r="W53" s="56">
        <f t="shared" si="7"/>
        <v>13.350387797873617</v>
      </c>
      <c r="X53" s="56">
        <f t="shared" si="1"/>
        <v>12.340804567231197</v>
      </c>
      <c r="Y53" s="56"/>
      <c r="Z53" s="56">
        <f t="shared" si="8"/>
        <v>13.083803405913189</v>
      </c>
      <c r="AA53" s="56">
        <f t="shared" si="1"/>
        <v>11.830833592728862</v>
      </c>
      <c r="AB53" s="56"/>
      <c r="AC53" s="56">
        <f t="shared" si="9"/>
        <v>12.961588807978458</v>
      </c>
      <c r="AD53" s="56">
        <f t="shared" si="1"/>
        <v>11.965248713360886</v>
      </c>
      <c r="AE53" s="56"/>
      <c r="AF53" s="56"/>
      <c r="AG53" s="56"/>
      <c r="AH53" s="56"/>
      <c r="AI53" s="56"/>
      <c r="AJ53" s="56"/>
    </row>
    <row r="54" spans="2:36" x14ac:dyDescent="0.25">
      <c r="B54" s="56">
        <f t="shared" ref="B54" si="20">LN(B8)</f>
        <v>13.197307571255781</v>
      </c>
      <c r="C54" s="56">
        <f t="shared" si="11"/>
        <v>12.027555841476085</v>
      </c>
      <c r="D54" s="56"/>
      <c r="E54" s="56">
        <f t="shared" si="0"/>
        <v>13.200799256358227</v>
      </c>
      <c r="F54" s="56">
        <f t="shared" si="1"/>
        <v>12.018320369036232</v>
      </c>
      <c r="G54" s="56"/>
      <c r="H54" s="56">
        <f t="shared" si="2"/>
        <v>12.918973432576955</v>
      </c>
      <c r="I54" s="56">
        <f t="shared" si="1"/>
        <v>11.794828370157969</v>
      </c>
      <c r="J54" s="56"/>
      <c r="K54" s="56">
        <f t="shared" si="3"/>
        <v>13.162985031857852</v>
      </c>
      <c r="L54" s="56">
        <f t="shared" si="1"/>
        <v>11.956617202550587</v>
      </c>
      <c r="M54" s="56"/>
      <c r="N54" s="56">
        <f t="shared" si="4"/>
        <v>13.192723047729375</v>
      </c>
      <c r="O54" s="56">
        <f t="shared" si="1"/>
        <v>12.026963922055504</v>
      </c>
      <c r="P54" s="56"/>
      <c r="Q54" s="56">
        <f t="shared" si="5"/>
        <v>13.159607137673389</v>
      </c>
      <c r="R54" s="56">
        <f t="shared" si="1"/>
        <v>11.959686055485564</v>
      </c>
      <c r="S54" s="56"/>
      <c r="T54" s="56">
        <f t="shared" si="6"/>
        <v>12.886570155294773</v>
      </c>
      <c r="U54" s="56">
        <f t="shared" si="1"/>
        <v>11.773280019014203</v>
      </c>
      <c r="V54" s="56"/>
      <c r="W54" s="56">
        <f t="shared" si="7"/>
        <v>12.768210963495537</v>
      </c>
      <c r="X54" s="56">
        <f t="shared" si="1"/>
        <v>11.890875481037749</v>
      </c>
      <c r="Y54" s="56"/>
      <c r="Z54" s="56">
        <f t="shared" si="8"/>
        <v>12.467432559652821</v>
      </c>
      <c r="AA54" s="56">
        <f t="shared" si="1"/>
        <v>11.384188276049503</v>
      </c>
      <c r="AB54" s="56"/>
      <c r="AC54" s="56">
        <f t="shared" si="9"/>
        <v>12.399103321132479</v>
      </c>
      <c r="AD54" s="56">
        <f t="shared" si="1"/>
        <v>11.514484249434222</v>
      </c>
      <c r="AE54" s="56"/>
      <c r="AF54" s="56"/>
      <c r="AG54" s="56"/>
      <c r="AH54" s="56"/>
      <c r="AI54" s="56"/>
      <c r="AJ54" s="56"/>
    </row>
    <row r="55" spans="2:36" x14ac:dyDescent="0.25">
      <c r="B55" s="56">
        <f t="shared" ref="B55" si="21">LN(B9)</f>
        <v>13.471805426912796</v>
      </c>
      <c r="C55" s="56">
        <f t="shared" si="11"/>
        <v>12.183642970563989</v>
      </c>
      <c r="D55" s="56"/>
      <c r="E55" s="56">
        <f t="shared" si="0"/>
        <v>13.491121623319863</v>
      </c>
      <c r="F55" s="56">
        <f t="shared" si="1"/>
        <v>12.181559641809164</v>
      </c>
      <c r="G55" s="56"/>
      <c r="H55" s="56">
        <f t="shared" si="2"/>
        <v>13.396183312856085</v>
      </c>
      <c r="I55" s="56">
        <f t="shared" si="1"/>
        <v>12.069817546984055</v>
      </c>
      <c r="J55" s="56"/>
      <c r="K55" s="56">
        <f t="shared" si="3"/>
        <v>13.444423687898789</v>
      </c>
      <c r="L55" s="56">
        <f t="shared" si="1"/>
        <v>12.113447358174213</v>
      </c>
      <c r="M55" s="56"/>
      <c r="N55" s="56">
        <f t="shared" si="4"/>
        <v>13.603749479814528</v>
      </c>
      <c r="O55" s="56">
        <f t="shared" si="1"/>
        <v>12.273114281260863</v>
      </c>
      <c r="P55" s="56"/>
      <c r="Q55" s="56">
        <f t="shared" si="5"/>
        <v>13.526450202783748</v>
      </c>
      <c r="R55" s="56">
        <f t="shared" si="1"/>
        <v>12.176314223365898</v>
      </c>
      <c r="S55" s="56"/>
      <c r="T55" s="56">
        <f t="shared" si="6"/>
        <v>13.453823072201997</v>
      </c>
      <c r="U55" s="56">
        <f t="shared" si="1"/>
        <v>12.116765908944407</v>
      </c>
      <c r="V55" s="56"/>
      <c r="W55" s="56">
        <f t="shared" si="7"/>
        <v>13.335063788454757</v>
      </c>
      <c r="X55" s="56">
        <f t="shared" si="1"/>
        <v>12.2967311137899</v>
      </c>
      <c r="Y55" s="56"/>
      <c r="Z55" s="56">
        <f t="shared" si="8"/>
        <v>13.040856097768662</v>
      </c>
      <c r="AA55" s="56">
        <f t="shared" si="1"/>
        <v>11.763707529348393</v>
      </c>
      <c r="AB55" s="56"/>
      <c r="AC55" s="56">
        <f t="shared" si="9"/>
        <v>12.983018548025449</v>
      </c>
      <c r="AD55" s="56">
        <f t="shared" si="1"/>
        <v>11.951438427124593</v>
      </c>
      <c r="AE55" s="56"/>
      <c r="AF55" s="56"/>
      <c r="AG55" s="56"/>
      <c r="AH55" s="56"/>
      <c r="AI55" s="56"/>
      <c r="AJ55" s="56"/>
    </row>
    <row r="56" spans="2:36" x14ac:dyDescent="0.25">
      <c r="B56" s="56">
        <f t="shared" ref="B56" si="22">LN(B10)</f>
        <v>13.695256346466444</v>
      </c>
      <c r="C56" s="56">
        <f t="shared" si="11"/>
        <v>12.261810050214676</v>
      </c>
      <c r="D56" s="56"/>
      <c r="E56" s="56">
        <f t="shared" si="0"/>
        <v>13.701798599217389</v>
      </c>
      <c r="F56" s="56">
        <f t="shared" si="1"/>
        <v>12.24890222350553</v>
      </c>
      <c r="G56" s="56"/>
      <c r="H56" s="56">
        <f t="shared" si="2"/>
        <v>13.592327005850043</v>
      </c>
      <c r="I56" s="56">
        <f t="shared" si="1"/>
        <v>12.127651539017164</v>
      </c>
      <c r="J56" s="56"/>
      <c r="K56" s="56">
        <f t="shared" si="3"/>
        <v>13.632858546576214</v>
      </c>
      <c r="L56" s="56">
        <f t="shared" si="1"/>
        <v>12.161634746499605</v>
      </c>
      <c r="M56" s="56"/>
      <c r="N56" s="56">
        <f t="shared" si="4"/>
        <v>13.698131440721864</v>
      </c>
      <c r="O56" s="56">
        <f t="shared" si="1"/>
        <v>12.259566017970174</v>
      </c>
      <c r="P56" s="56"/>
      <c r="Q56" s="56">
        <f t="shared" si="5"/>
        <v>13.633493354850039</v>
      </c>
      <c r="R56" s="56">
        <f t="shared" si="1"/>
        <v>12.164729681995791</v>
      </c>
      <c r="S56" s="56"/>
      <c r="T56" s="56">
        <f t="shared" si="6"/>
        <v>13.540435350658358</v>
      </c>
      <c r="U56" s="56">
        <f t="shared" si="1"/>
        <v>12.092640754897683</v>
      </c>
      <c r="V56" s="56"/>
      <c r="W56" s="56">
        <f t="shared" si="7"/>
        <v>13.255587472817899</v>
      </c>
      <c r="X56" s="56">
        <f t="shared" si="1"/>
        <v>12.182660712519516</v>
      </c>
      <c r="Y56" s="56"/>
      <c r="Z56" s="56">
        <f t="shared" si="8"/>
        <v>13.188622916740133</v>
      </c>
      <c r="AA56" s="56">
        <f t="shared" si="1"/>
        <v>11.799404313838753</v>
      </c>
      <c r="AB56" s="56"/>
      <c r="AC56" s="56">
        <f t="shared" si="9"/>
        <v>12.941963173628951</v>
      </c>
      <c r="AD56" s="56">
        <f t="shared" si="1"/>
        <v>11.868380665324112</v>
      </c>
      <c r="AE56" s="56"/>
      <c r="AF56" s="56"/>
      <c r="AG56" s="56"/>
      <c r="AH56" s="56"/>
      <c r="AI56" s="56"/>
      <c r="AJ56" s="56"/>
    </row>
    <row r="57" spans="2:36" x14ac:dyDescent="0.25">
      <c r="B57" s="56">
        <f t="shared" ref="B57" si="23">LN(B11)</f>
        <v>13.121112595502677</v>
      </c>
      <c r="C57" s="56">
        <f t="shared" si="11"/>
        <v>11.816018181121441</v>
      </c>
      <c r="D57" s="56"/>
      <c r="E57" s="56">
        <f t="shared" si="0"/>
        <v>13.128367317630033</v>
      </c>
      <c r="F57" s="56">
        <f t="shared" si="1"/>
        <v>11.808575707071187</v>
      </c>
      <c r="G57" s="56"/>
      <c r="H57" s="56">
        <f t="shared" si="2"/>
        <v>12.835960486450928</v>
      </c>
      <c r="I57" s="56">
        <f t="shared" si="1"/>
        <v>11.611475844199505</v>
      </c>
      <c r="J57" s="56"/>
      <c r="K57" s="56">
        <f t="shared" si="3"/>
        <v>13.078317441565595</v>
      </c>
      <c r="L57" s="56">
        <f t="shared" ref="F57:AD64" si="24">LN(L11)</f>
        <v>11.730927822969566</v>
      </c>
      <c r="M57" s="56"/>
      <c r="N57" s="56">
        <f t="shared" si="4"/>
        <v>13.221294267247194</v>
      </c>
      <c r="O57" s="56">
        <f t="shared" si="24"/>
        <v>11.878235023101299</v>
      </c>
      <c r="P57" s="56"/>
      <c r="Q57" s="56">
        <f t="shared" si="5"/>
        <v>13.146169743735937</v>
      </c>
      <c r="R57" s="56">
        <f t="shared" si="24"/>
        <v>11.778676296233881</v>
      </c>
      <c r="S57" s="56"/>
      <c r="T57" s="56">
        <f t="shared" si="6"/>
        <v>12.880065038900215</v>
      </c>
      <c r="U57" s="56">
        <f t="shared" si="24"/>
        <v>11.626771873378352</v>
      </c>
      <c r="V57" s="56"/>
      <c r="W57" s="56">
        <f t="shared" si="7"/>
        <v>12.859649651882435</v>
      </c>
      <c r="X57" s="56">
        <f t="shared" si="24"/>
        <v>11.822811690510047</v>
      </c>
      <c r="Y57" s="56"/>
      <c r="Z57" s="56">
        <f t="shared" si="8"/>
        <v>12.520306576712308</v>
      </c>
      <c r="AA57" s="56">
        <f t="shared" si="24"/>
        <v>11.314890293461758</v>
      </c>
      <c r="AB57" s="56"/>
      <c r="AC57" s="56">
        <f t="shared" si="9"/>
        <v>12.544307613341779</v>
      </c>
      <c r="AD57" s="56">
        <f t="shared" si="24"/>
        <v>11.508931499698802</v>
      </c>
      <c r="AE57" s="56"/>
      <c r="AF57" s="56"/>
      <c r="AG57" s="56"/>
      <c r="AH57" s="56"/>
      <c r="AI57" s="56"/>
      <c r="AJ57" s="56"/>
    </row>
    <row r="58" spans="2:36" x14ac:dyDescent="0.25">
      <c r="B58" s="56">
        <f t="shared" ref="B58" si="25">LN(B12)</f>
        <v>13.284623373381713</v>
      </c>
      <c r="C58" s="56">
        <f t="shared" si="11"/>
        <v>11.80141471156929</v>
      </c>
      <c r="D58" s="56"/>
      <c r="E58" s="56">
        <f t="shared" si="0"/>
        <v>13.296835877454884</v>
      </c>
      <c r="F58" s="56">
        <f t="shared" si="24"/>
        <v>11.790966208822727</v>
      </c>
      <c r="G58" s="56"/>
      <c r="H58" s="56">
        <f t="shared" si="2"/>
        <v>13.105685064351515</v>
      </c>
      <c r="I58" s="56">
        <f t="shared" si="24"/>
        <v>11.603716357251866</v>
      </c>
      <c r="J58" s="56"/>
      <c r="K58" s="56">
        <f t="shared" si="3"/>
        <v>13.240199744971873</v>
      </c>
      <c r="L58" s="56">
        <f t="shared" si="24"/>
        <v>11.719744493364571</v>
      </c>
      <c r="M58" s="56"/>
      <c r="N58" s="56">
        <f t="shared" si="4"/>
        <v>13.335475986616371</v>
      </c>
      <c r="O58" s="56">
        <f t="shared" si="24"/>
        <v>11.818282903702015</v>
      </c>
      <c r="P58" s="56"/>
      <c r="Q58" s="56">
        <f t="shared" si="5"/>
        <v>13.270359154619634</v>
      </c>
      <c r="R58" s="56">
        <f t="shared" si="24"/>
        <v>11.73457189615916</v>
      </c>
      <c r="S58" s="56"/>
      <c r="T58" s="56">
        <f t="shared" si="6"/>
        <v>13.097133770658401</v>
      </c>
      <c r="U58" s="56">
        <f t="shared" si="24"/>
        <v>11.598368946787696</v>
      </c>
      <c r="V58" s="56"/>
      <c r="W58" s="56">
        <f t="shared" si="7"/>
        <v>13.046656589363829</v>
      </c>
      <c r="X58" s="56">
        <f t="shared" si="24"/>
        <v>11.85007604289452</v>
      </c>
      <c r="Y58" s="56"/>
      <c r="Z58" s="56">
        <f t="shared" si="8"/>
        <v>12.757267361271543</v>
      </c>
      <c r="AA58" s="56">
        <f t="shared" si="24"/>
        <v>11.313325085404498</v>
      </c>
      <c r="AB58" s="56"/>
      <c r="AC58" s="56">
        <f t="shared" si="9"/>
        <v>12.746592984631203</v>
      </c>
      <c r="AD58" s="56">
        <f t="shared" si="24"/>
        <v>11.549392389926888</v>
      </c>
      <c r="AE58" s="56"/>
      <c r="AF58" s="56"/>
      <c r="AG58" s="56"/>
      <c r="AH58" s="56"/>
      <c r="AI58" s="56"/>
      <c r="AJ58" s="56"/>
    </row>
    <row r="59" spans="2:36" x14ac:dyDescent="0.25">
      <c r="B59" s="56">
        <f t="shared" ref="B59" si="26">LN(B13)</f>
        <v>13.301282485763188</v>
      </c>
      <c r="C59" s="56">
        <f t="shared" si="11"/>
        <v>11.792109027167111</v>
      </c>
      <c r="D59" s="56"/>
      <c r="E59" s="56">
        <f t="shared" si="0"/>
        <v>13.311014857893154</v>
      </c>
      <c r="F59" s="56">
        <f t="shared" si="24"/>
        <v>11.778400271297876</v>
      </c>
      <c r="G59" s="56"/>
      <c r="H59" s="56">
        <f t="shared" si="2"/>
        <v>13.196613339477006</v>
      </c>
      <c r="I59" s="56">
        <f t="shared" si="24"/>
        <v>11.63670824389531</v>
      </c>
      <c r="J59" s="56"/>
      <c r="K59" s="56">
        <f t="shared" si="3"/>
        <v>13.269943374642335</v>
      </c>
      <c r="L59" s="56">
        <f t="shared" si="24"/>
        <v>11.724878636888786</v>
      </c>
      <c r="M59" s="56"/>
      <c r="N59" s="56">
        <f t="shared" si="4"/>
        <v>13.362142192268735</v>
      </c>
      <c r="O59" s="56">
        <f t="shared" si="24"/>
        <v>11.813666891635643</v>
      </c>
      <c r="P59" s="56"/>
      <c r="Q59" s="56">
        <f t="shared" si="5"/>
        <v>13.308524221361003</v>
      </c>
      <c r="R59" s="56">
        <f t="shared" si="24"/>
        <v>11.744775008913381</v>
      </c>
      <c r="S59" s="56"/>
      <c r="T59" s="56">
        <f t="shared" si="6"/>
        <v>13.218456886689628</v>
      </c>
      <c r="U59" s="56">
        <f t="shared" si="24"/>
        <v>11.664323789110673</v>
      </c>
      <c r="V59" s="56"/>
      <c r="W59" s="56">
        <f t="shared" si="7"/>
        <v>12.997520983005005</v>
      </c>
      <c r="X59" s="56">
        <f t="shared" si="24"/>
        <v>11.814806256821822</v>
      </c>
      <c r="Y59" s="56"/>
      <c r="Z59" s="56">
        <f t="shared" si="8"/>
        <v>12.86187095993763</v>
      </c>
      <c r="AA59" s="56">
        <f t="shared" si="24"/>
        <v>11.36954342795225</v>
      </c>
      <c r="AB59" s="56"/>
      <c r="AC59" s="56">
        <f t="shared" si="9"/>
        <v>12.684496970987748</v>
      </c>
      <c r="AD59" s="56">
        <f t="shared" si="24"/>
        <v>11.500283895982193</v>
      </c>
      <c r="AE59" s="56"/>
      <c r="AF59" s="56"/>
      <c r="AG59" s="56"/>
      <c r="AH59" s="56"/>
      <c r="AI59" s="56"/>
      <c r="AJ59" s="56"/>
    </row>
    <row r="60" spans="2:36" x14ac:dyDescent="0.25">
      <c r="B60" s="56">
        <f t="shared" ref="B60" si="27">LN(B14)</f>
        <v>13.35700694927122</v>
      </c>
      <c r="C60" s="56">
        <f t="shared" si="11"/>
        <v>11.828728413138665</v>
      </c>
      <c r="D60" s="56"/>
      <c r="E60" s="56">
        <f t="shared" si="0"/>
        <v>13.36887339407156</v>
      </c>
      <c r="F60" s="56">
        <f t="shared" si="24"/>
        <v>11.815944325332222</v>
      </c>
      <c r="G60" s="56"/>
      <c r="H60" s="56">
        <f t="shared" si="2"/>
        <v>13.298133520476309</v>
      </c>
      <c r="I60" s="56">
        <f t="shared" si="24"/>
        <v>11.722764907800922</v>
      </c>
      <c r="J60" s="56"/>
      <c r="K60" s="56">
        <f t="shared" si="3"/>
        <v>13.340146989876219</v>
      </c>
      <c r="L60" s="56">
        <f t="shared" si="24"/>
        <v>11.773041049204203</v>
      </c>
      <c r="M60" s="56"/>
      <c r="N60" s="56">
        <f t="shared" si="4"/>
        <v>13.41703695224486</v>
      </c>
      <c r="O60" s="56">
        <f t="shared" si="24"/>
        <v>11.848590232819117</v>
      </c>
      <c r="P60" s="56"/>
      <c r="Q60" s="56">
        <f t="shared" si="5"/>
        <v>13.376271993424158</v>
      </c>
      <c r="R60" s="56">
        <f t="shared" si="24"/>
        <v>11.790489017425839</v>
      </c>
      <c r="S60" s="56"/>
      <c r="T60" s="56">
        <f t="shared" si="6"/>
        <v>13.330060240529512</v>
      </c>
      <c r="U60" s="56">
        <f t="shared" si="24"/>
        <v>11.761417023812717</v>
      </c>
      <c r="V60" s="56"/>
      <c r="W60" s="56">
        <f t="shared" si="7"/>
        <v>13.26293021315719</v>
      </c>
      <c r="X60" s="56">
        <f t="shared" si="24"/>
        <v>12.036422466655964</v>
      </c>
      <c r="Y60" s="56"/>
      <c r="Z60" s="56">
        <f t="shared" si="8"/>
        <v>12.95699332850208</v>
      </c>
      <c r="AA60" s="56">
        <f t="shared" si="24"/>
        <v>11.459393878000062</v>
      </c>
      <c r="AB60" s="56"/>
      <c r="AC60" s="56">
        <f t="shared" si="9"/>
        <v>12.937100699751515</v>
      </c>
      <c r="AD60" s="56">
        <f t="shared" si="24"/>
        <v>11.705782989679344</v>
      </c>
      <c r="AE60" s="56"/>
      <c r="AF60" s="56"/>
      <c r="AG60" s="56"/>
      <c r="AH60" s="56"/>
      <c r="AI60" s="56"/>
      <c r="AJ60" s="56"/>
    </row>
    <row r="61" spans="2:36" x14ac:dyDescent="0.25">
      <c r="B61" s="56">
        <f t="shared" ref="B61" si="28">LN(B15)</f>
        <v>13.526741227995528</v>
      </c>
      <c r="C61" s="56">
        <f t="shared" si="11"/>
        <v>11.934231113297525</v>
      </c>
      <c r="D61" s="56"/>
      <c r="E61" s="56">
        <f t="shared" si="0"/>
        <v>13.534392230265107</v>
      </c>
      <c r="F61" s="56">
        <f t="shared" si="24"/>
        <v>11.916094606028741</v>
      </c>
      <c r="G61" s="56"/>
      <c r="H61" s="56">
        <f t="shared" si="2"/>
        <v>13.374262301500936</v>
      </c>
      <c r="I61" s="56">
        <f t="shared" si="24"/>
        <v>11.7618693078548</v>
      </c>
      <c r="J61" s="56"/>
      <c r="K61" s="56">
        <f t="shared" si="3"/>
        <v>13.514458166494316</v>
      </c>
      <c r="L61" s="56">
        <f t="shared" si="24"/>
        <v>11.886789820808504</v>
      </c>
      <c r="M61" s="56"/>
      <c r="N61" s="56">
        <f t="shared" si="4"/>
        <v>13.581422331600519</v>
      </c>
      <c r="O61" s="56">
        <f t="shared" si="24"/>
        <v>11.946498485099875</v>
      </c>
      <c r="P61" s="56"/>
      <c r="Q61" s="56">
        <f t="shared" si="5"/>
        <v>13.549511696343636</v>
      </c>
      <c r="R61" s="56">
        <f t="shared" si="24"/>
        <v>11.901508875709876</v>
      </c>
      <c r="S61" s="56"/>
      <c r="T61" s="56">
        <f t="shared" si="6"/>
        <v>13.406011825721185</v>
      </c>
      <c r="U61" s="56">
        <f t="shared" si="24"/>
        <v>11.806020361621872</v>
      </c>
      <c r="V61" s="56"/>
      <c r="W61" s="56">
        <f t="shared" si="7"/>
        <v>13.197446730861868</v>
      </c>
      <c r="X61" s="56">
        <f t="shared" si="24"/>
        <v>11.983235297331005</v>
      </c>
      <c r="Y61" s="56"/>
      <c r="Z61" s="56">
        <f t="shared" si="8"/>
        <v>13.021459582463445</v>
      </c>
      <c r="AA61" s="56">
        <f t="shared" si="24"/>
        <v>11.497973235452958</v>
      </c>
      <c r="AB61" s="56"/>
      <c r="AC61" s="56">
        <f t="shared" si="9"/>
        <v>12.859618440490275</v>
      </c>
      <c r="AD61" s="56">
        <f t="shared" si="24"/>
        <v>11.637794447016098</v>
      </c>
      <c r="AE61" s="56"/>
      <c r="AF61" s="56"/>
      <c r="AG61" s="56"/>
      <c r="AH61" s="56"/>
      <c r="AI61" s="56"/>
      <c r="AJ61" s="56"/>
    </row>
    <row r="62" spans="2:36" x14ac:dyDescent="0.25">
      <c r="B62" s="56">
        <f t="shared" ref="B62" si="29">LN(B16)</f>
        <v>13.005285592999808</v>
      </c>
      <c r="C62" s="56">
        <f t="shared" si="11"/>
        <v>11.509524688880807</v>
      </c>
      <c r="D62" s="56"/>
      <c r="E62" s="56">
        <f t="shared" si="0"/>
        <v>13.009664893478714</v>
      </c>
      <c r="F62" s="56">
        <f t="shared" si="24"/>
        <v>11.49491626851513</v>
      </c>
      <c r="G62" s="56"/>
      <c r="H62" s="56">
        <f t="shared" si="2"/>
        <v>12.755164681094874</v>
      </c>
      <c r="I62" s="56">
        <f t="shared" si="24"/>
        <v>11.28349846406871</v>
      </c>
      <c r="J62" s="56"/>
      <c r="K62" s="56">
        <f t="shared" si="3"/>
        <v>13.015316997030379</v>
      </c>
      <c r="L62" s="56">
        <f t="shared" si="24"/>
        <v>11.493509183033069</v>
      </c>
      <c r="M62" s="56"/>
      <c r="N62" s="56">
        <f t="shared" si="4"/>
        <v>13.058957015132977</v>
      </c>
      <c r="O62" s="56">
        <f t="shared" si="24"/>
        <v>11.529202276031903</v>
      </c>
      <c r="P62" s="56"/>
      <c r="Q62" s="56">
        <f t="shared" si="5"/>
        <v>13.051599653168495</v>
      </c>
      <c r="R62" s="56">
        <f t="shared" si="24"/>
        <v>11.512528386144865</v>
      </c>
      <c r="S62" s="56"/>
      <c r="T62" s="56">
        <f t="shared" si="6"/>
        <v>12.816370684061051</v>
      </c>
      <c r="U62" s="56">
        <f t="shared" si="24"/>
        <v>11.350789991355613</v>
      </c>
      <c r="V62" s="56"/>
      <c r="W62" s="56">
        <f t="shared" si="7"/>
        <v>12.731682442838821</v>
      </c>
      <c r="X62" s="56">
        <f t="shared" si="24"/>
        <v>11.581882335809164</v>
      </c>
      <c r="Y62" s="56"/>
      <c r="Z62" s="56">
        <f t="shared" si="8"/>
        <v>12.419884794415497</v>
      </c>
      <c r="AA62" s="56">
        <f t="shared" si="24"/>
        <v>11.00572825055824</v>
      </c>
      <c r="AB62" s="56"/>
      <c r="AC62" s="56">
        <f t="shared" si="9"/>
        <v>12.384348529615378</v>
      </c>
      <c r="AD62" s="56">
        <f t="shared" si="24"/>
        <v>11.221353168734037</v>
      </c>
      <c r="AE62" s="56"/>
      <c r="AF62" s="56"/>
      <c r="AG62" s="56"/>
      <c r="AH62" s="56"/>
      <c r="AI62" s="56"/>
      <c r="AJ62" s="56"/>
    </row>
    <row r="63" spans="2:36" x14ac:dyDescent="0.25">
      <c r="B63" s="56">
        <f t="shared" ref="B63" si="30">LN(B17)</f>
        <v>12.861660731683475</v>
      </c>
      <c r="C63" s="56">
        <f t="shared" si="11"/>
        <v>11.328982193908242</v>
      </c>
      <c r="D63" s="56"/>
      <c r="E63" s="56">
        <f t="shared" si="0"/>
        <v>12.86784525133098</v>
      </c>
      <c r="F63" s="56">
        <f t="shared" si="24"/>
        <v>11.314940271428799</v>
      </c>
      <c r="G63" s="56"/>
      <c r="H63" s="56">
        <f t="shared" si="2"/>
        <v>12.648534842524461</v>
      </c>
      <c r="I63" s="56">
        <f t="shared" si="24"/>
        <v>11.09792201113137</v>
      </c>
      <c r="J63" s="56"/>
      <c r="K63" s="56">
        <f t="shared" si="3"/>
        <v>12.90662235960686</v>
      </c>
      <c r="L63" s="56">
        <f t="shared" si="24"/>
        <v>11.349964084664352</v>
      </c>
      <c r="M63" s="56"/>
      <c r="N63" s="56">
        <f t="shared" si="4"/>
        <v>12.913312555450432</v>
      </c>
      <c r="O63" s="56">
        <f t="shared" si="24"/>
        <v>11.346517807691489</v>
      </c>
      <c r="P63" s="56"/>
      <c r="Q63" s="56">
        <f t="shared" si="5"/>
        <v>12.939449645309185</v>
      </c>
      <c r="R63" s="56">
        <f t="shared" si="24"/>
        <v>11.366218511740371</v>
      </c>
      <c r="S63" s="56"/>
      <c r="T63" s="56">
        <f t="shared" si="6"/>
        <v>12.740564013374069</v>
      </c>
      <c r="U63" s="56">
        <f t="shared" si="24"/>
        <v>11.202232664766502</v>
      </c>
      <c r="V63" s="56"/>
      <c r="W63" s="56">
        <f t="shared" si="7"/>
        <v>12.684447389025657</v>
      </c>
      <c r="X63" s="56">
        <f t="shared" si="24"/>
        <v>11.464799779985597</v>
      </c>
      <c r="Y63" s="56"/>
      <c r="Z63" s="56">
        <f t="shared" si="8"/>
        <v>12.326102045109698</v>
      </c>
      <c r="AA63" s="56">
        <f t="shared" si="24"/>
        <v>10.836147573560128</v>
      </c>
      <c r="AB63" s="56"/>
      <c r="AC63" s="56">
        <f t="shared" si="9"/>
        <v>12.324948417266294</v>
      </c>
      <c r="AD63" s="56">
        <f t="shared" si="24"/>
        <v>11.089622198732185</v>
      </c>
      <c r="AE63" s="56"/>
      <c r="AF63" s="56"/>
      <c r="AG63" s="56"/>
      <c r="AH63" s="56"/>
      <c r="AI63" s="56"/>
      <c r="AJ63" s="56"/>
    </row>
    <row r="64" spans="2:36" x14ac:dyDescent="0.25">
      <c r="B64" s="56">
        <f t="shared" ref="B64" si="31">LN(B18)</f>
        <v>12.643856497779252</v>
      </c>
      <c r="C64" s="56">
        <f t="shared" si="11"/>
        <v>11.126427340988077</v>
      </c>
      <c r="D64" s="56"/>
      <c r="E64" s="56">
        <f t="shared" si="0"/>
        <v>12.653990417893725</v>
      </c>
      <c r="F64" s="56">
        <f t="shared" si="24"/>
        <v>11.115851056280583</v>
      </c>
      <c r="G64" s="56"/>
      <c r="H64" s="56">
        <f t="shared" si="2"/>
        <v>12.455636097301602</v>
      </c>
      <c r="I64" s="56">
        <f t="shared" si="24"/>
        <v>10.914726580560798</v>
      </c>
      <c r="J64" s="56"/>
      <c r="K64" s="56">
        <f t="shared" si="3"/>
        <v>12.729448188586495</v>
      </c>
      <c r="L64" s="56">
        <f t="shared" si="24"/>
        <v>11.190810665311259</v>
      </c>
      <c r="M64" s="56"/>
      <c r="N64" s="56">
        <f t="shared" si="4"/>
        <v>12.70068351786875</v>
      </c>
      <c r="O64" s="56">
        <f t="shared" si="24"/>
        <v>11.149051815269038</v>
      </c>
      <c r="P64" s="56"/>
      <c r="Q64" s="56">
        <f t="shared" si="5"/>
        <v>12.762357176700247</v>
      </c>
      <c r="R64" s="56">
        <f t="shared" si="24"/>
        <v>11.207735011425639</v>
      </c>
      <c r="S64" s="56"/>
      <c r="T64" s="56">
        <f t="shared" si="6"/>
        <v>12.590749841108041</v>
      </c>
      <c r="U64" s="56">
        <f t="shared" si="24"/>
        <v>11.063660495393888</v>
      </c>
      <c r="V64" s="56"/>
      <c r="W64" s="56">
        <f t="shared" si="7"/>
        <v>12.630575382515476</v>
      </c>
      <c r="X64" s="56">
        <f t="shared" si="24"/>
        <v>11.389168998848962</v>
      </c>
      <c r="Y64" s="56"/>
      <c r="Z64" s="56">
        <f t="shared" si="8"/>
        <v>12.143675829304463</v>
      </c>
      <c r="AA64" s="56">
        <f t="shared" si="24"/>
        <v>10.65703580051432</v>
      </c>
      <c r="AB64" s="56"/>
      <c r="AC64" s="56">
        <f t="shared" si="9"/>
        <v>12.246576189350387</v>
      </c>
      <c r="AD64" s="56">
        <f t="shared" si="24"/>
        <v>10.989920979018704</v>
      </c>
      <c r="AE64" s="56"/>
      <c r="AF64" s="56"/>
      <c r="AG64" s="56"/>
      <c r="AH64" s="56"/>
      <c r="AI64" s="56"/>
      <c r="AJ64" s="56"/>
    </row>
    <row r="65" spans="2:36" x14ac:dyDescent="0.25">
      <c r="B65" s="56">
        <f t="shared" ref="B65" si="32">LN(B19)</f>
        <v>12.759543880017173</v>
      </c>
      <c r="C65" s="56">
        <f t="shared" si="11"/>
        <v>11.180230684768492</v>
      </c>
      <c r="D65" s="56"/>
      <c r="E65" s="56">
        <f t="shared" si="0"/>
        <v>12.773880500950277</v>
      </c>
      <c r="F65" s="56">
        <f t="shared" ref="F65:AD72" si="33">LN(F19)</f>
        <v>11.170806917897359</v>
      </c>
      <c r="G65" s="56"/>
      <c r="H65" s="56">
        <f t="shared" si="2"/>
        <v>12.652110117003328</v>
      </c>
      <c r="I65" s="56">
        <f t="shared" si="33"/>
        <v>11.011837278109969</v>
      </c>
      <c r="J65" s="56"/>
      <c r="K65" s="56">
        <f t="shared" si="3"/>
        <v>12.876754356574418</v>
      </c>
      <c r="L65" s="56">
        <f t="shared" si="33"/>
        <v>11.274896676156573</v>
      </c>
      <c r="M65" s="56"/>
      <c r="N65" s="56">
        <f t="shared" si="4"/>
        <v>12.816984299278412</v>
      </c>
      <c r="O65" s="56">
        <f t="shared" si="33"/>
        <v>11.20091244785168</v>
      </c>
      <c r="P65" s="56"/>
      <c r="Q65" s="56">
        <f t="shared" si="5"/>
        <v>12.906344386032416</v>
      </c>
      <c r="R65" s="56">
        <f t="shared" si="33"/>
        <v>11.287852553637386</v>
      </c>
      <c r="S65" s="56"/>
      <c r="T65" s="56">
        <f t="shared" si="6"/>
        <v>12.811330791344297</v>
      </c>
      <c r="U65" s="56">
        <f t="shared" si="33"/>
        <v>11.192963972750986</v>
      </c>
      <c r="V65" s="56"/>
      <c r="W65" s="56">
        <f t="shared" si="7"/>
        <v>12.740722212019165</v>
      </c>
      <c r="X65" s="56">
        <f t="shared" si="33"/>
        <v>11.462682145481848</v>
      </c>
      <c r="Y65" s="56"/>
      <c r="Z65" s="56">
        <f t="shared" si="8"/>
        <v>12.346847118601334</v>
      </c>
      <c r="AA65" s="56">
        <f t="shared" si="33"/>
        <v>10.770056386311573</v>
      </c>
      <c r="AB65" s="56"/>
      <c r="AC65" s="56">
        <f t="shared" si="9"/>
        <v>12.33874867243372</v>
      </c>
      <c r="AD65" s="56">
        <f t="shared" si="33"/>
        <v>11.039668549523</v>
      </c>
      <c r="AE65" s="56"/>
      <c r="AF65" s="56"/>
      <c r="AG65" s="56"/>
      <c r="AH65" s="56"/>
      <c r="AI65" s="56"/>
      <c r="AJ65" s="56"/>
    </row>
    <row r="66" spans="2:36" x14ac:dyDescent="0.25">
      <c r="B66" s="56">
        <f t="shared" ref="B66" si="34">LN(B20)</f>
        <v>12.990127145696695</v>
      </c>
      <c r="C66" s="56">
        <f t="shared" si="11"/>
        <v>11.312655800195632</v>
      </c>
      <c r="D66" s="56"/>
      <c r="E66" s="56">
        <f t="shared" si="0"/>
        <v>12.996192259948</v>
      </c>
      <c r="F66" s="56">
        <f t="shared" si="33"/>
        <v>11.294121235167614</v>
      </c>
      <c r="G66" s="56"/>
      <c r="H66" s="56">
        <f t="shared" si="2"/>
        <v>12.849929787004037</v>
      </c>
      <c r="I66" s="56">
        <f t="shared" si="33"/>
        <v>11.1345058091092</v>
      </c>
      <c r="J66" s="56"/>
      <c r="K66" s="56">
        <f t="shared" si="3"/>
        <v>13.12975201407734</v>
      </c>
      <c r="L66" s="56">
        <f t="shared" si="33"/>
        <v>11.434937977217968</v>
      </c>
      <c r="M66" s="56"/>
      <c r="N66" s="56">
        <f t="shared" si="4"/>
        <v>13.04155237466771</v>
      </c>
      <c r="O66" s="56">
        <f t="shared" si="33"/>
        <v>11.323323067062711</v>
      </c>
      <c r="P66" s="56"/>
      <c r="Q66" s="56">
        <f t="shared" si="5"/>
        <v>13.160242806823234</v>
      </c>
      <c r="R66" s="56">
        <f t="shared" si="33"/>
        <v>11.445313425410202</v>
      </c>
      <c r="S66" s="56"/>
      <c r="T66" s="56">
        <f t="shared" si="6"/>
        <v>13.043276879083544</v>
      </c>
      <c r="U66" s="56">
        <f t="shared" si="33"/>
        <v>11.360482659228738</v>
      </c>
      <c r="V66" s="56"/>
      <c r="W66" s="56">
        <f t="shared" si="7"/>
        <v>12.897888940855124</v>
      </c>
      <c r="X66" s="56">
        <f t="shared" si="33"/>
        <v>11.59352801590228</v>
      </c>
      <c r="Y66" s="56"/>
      <c r="Z66" s="56">
        <f t="shared" si="8"/>
        <v>12.535315239723834</v>
      </c>
      <c r="AA66" s="56">
        <f t="shared" si="33"/>
        <v>10.897970049376532</v>
      </c>
      <c r="AB66" s="56"/>
      <c r="AC66" s="56">
        <f t="shared" si="9"/>
        <v>12.465698548721791</v>
      </c>
      <c r="AD66" s="56">
        <f t="shared" si="33"/>
        <v>11.126378769826532</v>
      </c>
      <c r="AE66" s="56"/>
      <c r="AF66" s="56"/>
      <c r="AG66" s="56"/>
      <c r="AH66" s="56"/>
      <c r="AI66" s="56"/>
      <c r="AJ66" s="56"/>
    </row>
    <row r="67" spans="2:36" x14ac:dyDescent="0.25">
      <c r="B67" s="56">
        <f t="shared" ref="B67" si="35">LN(B21)</f>
        <v>12.642616435875603</v>
      </c>
      <c r="C67" s="56">
        <f t="shared" si="11"/>
        <v>11.023996679338088</v>
      </c>
      <c r="D67" s="56"/>
      <c r="E67" s="56">
        <f t="shared" si="0"/>
        <v>12.652164529104594</v>
      </c>
      <c r="F67" s="56">
        <f t="shared" si="33"/>
        <v>11.011579764403368</v>
      </c>
      <c r="G67" s="56"/>
      <c r="H67" s="56">
        <f t="shared" si="2"/>
        <v>12.500565223749186</v>
      </c>
      <c r="I67" s="56">
        <f t="shared" si="33"/>
        <v>10.851232376832808</v>
      </c>
      <c r="J67" s="56"/>
      <c r="K67" s="56">
        <f t="shared" si="3"/>
        <v>12.820668921791059</v>
      </c>
      <c r="L67" s="56">
        <f t="shared" si="33"/>
        <v>11.191635590797471</v>
      </c>
      <c r="M67" s="56"/>
      <c r="N67" s="56">
        <f t="shared" si="4"/>
        <v>12.688230240198395</v>
      </c>
      <c r="O67" s="56">
        <f t="shared" si="33"/>
        <v>11.036316065587492</v>
      </c>
      <c r="P67" s="56"/>
      <c r="Q67" s="56">
        <f t="shared" si="5"/>
        <v>12.843463957635164</v>
      </c>
      <c r="R67" s="56">
        <f t="shared" si="33"/>
        <v>11.198209240663461</v>
      </c>
      <c r="S67" s="56"/>
      <c r="T67" s="56">
        <f t="shared" si="6"/>
        <v>12.715092640128525</v>
      </c>
      <c r="U67" s="56">
        <f t="shared" si="33"/>
        <v>11.100422146666521</v>
      </c>
      <c r="V67" s="56"/>
      <c r="W67" s="56">
        <f t="shared" si="7"/>
        <v>12.665984902726899</v>
      </c>
      <c r="X67" s="56">
        <f t="shared" si="33"/>
        <v>11.393970743157633</v>
      </c>
      <c r="Y67" s="56"/>
      <c r="Z67" s="56">
        <f t="shared" si="8"/>
        <v>12.176339978174965</v>
      </c>
      <c r="AA67" s="56">
        <f t="shared" si="33"/>
        <v>10.593168733452899</v>
      </c>
      <c r="AB67" s="56"/>
      <c r="AC67" s="56">
        <f t="shared" si="9"/>
        <v>12.205117189227138</v>
      </c>
      <c r="AD67" s="56">
        <f t="shared" si="33"/>
        <v>10.892398436022013</v>
      </c>
      <c r="AE67" s="56"/>
      <c r="AF67" s="56"/>
      <c r="AG67" s="56"/>
      <c r="AH67" s="56"/>
      <c r="AI67" s="56"/>
      <c r="AJ67" s="56"/>
    </row>
    <row r="68" spans="2:36" x14ac:dyDescent="0.25">
      <c r="B68" s="56">
        <f t="shared" ref="B68" si="36">LN(B22)</f>
        <v>12.589649953880309</v>
      </c>
      <c r="C68" s="56">
        <f t="shared" si="11"/>
        <v>10.958048680200061</v>
      </c>
      <c r="D68" s="56"/>
      <c r="E68" s="56">
        <f t="shared" si="0"/>
        <v>12.594452630580525</v>
      </c>
      <c r="F68" s="56">
        <f t="shared" si="33"/>
        <v>10.941487823475038</v>
      </c>
      <c r="G68" s="56"/>
      <c r="H68" s="56">
        <f t="shared" si="2"/>
        <v>12.353168498483729</v>
      </c>
      <c r="I68" s="56">
        <f t="shared" si="33"/>
        <v>10.741395032411562</v>
      </c>
      <c r="J68" s="56"/>
      <c r="K68" s="56">
        <f t="shared" si="3"/>
        <v>12.802502406588312</v>
      </c>
      <c r="L68" s="56">
        <f t="shared" si="33"/>
        <v>11.166050911365504</v>
      </c>
      <c r="M68" s="56"/>
      <c r="N68" s="56">
        <f t="shared" si="4"/>
        <v>12.658383170869843</v>
      </c>
      <c r="O68" s="56">
        <f t="shared" si="33"/>
        <v>10.990386507173854</v>
      </c>
      <c r="P68" s="56"/>
      <c r="Q68" s="56">
        <f t="shared" si="5"/>
        <v>12.845230796207261</v>
      </c>
      <c r="R68" s="56">
        <f t="shared" si="33"/>
        <v>11.190192214758618</v>
      </c>
      <c r="S68" s="56"/>
      <c r="T68" s="56">
        <f t="shared" si="6"/>
        <v>12.639522502173101</v>
      </c>
      <c r="U68" s="56">
        <f t="shared" si="33"/>
        <v>11.061504896121777</v>
      </c>
      <c r="V68" s="56"/>
      <c r="W68" s="56">
        <f t="shared" si="7"/>
        <v>12.510608147725945</v>
      </c>
      <c r="X68" s="56">
        <f t="shared" si="33"/>
        <v>11.292024397408799</v>
      </c>
      <c r="Y68" s="56"/>
      <c r="Z68" s="56">
        <f t="shared" si="8"/>
        <v>12.063142941090506</v>
      </c>
      <c r="AA68" s="56">
        <f t="shared" si="33"/>
        <v>10.505544138308126</v>
      </c>
      <c r="AB68" s="56"/>
      <c r="AC68" s="56">
        <f t="shared" si="9"/>
        <v>12.013949206863956</v>
      </c>
      <c r="AD68" s="56">
        <f t="shared" si="33"/>
        <v>10.746045626432769</v>
      </c>
      <c r="AE68" s="56"/>
      <c r="AF68" s="56"/>
      <c r="AG68" s="56"/>
      <c r="AH68" s="56"/>
      <c r="AI68" s="56"/>
      <c r="AJ68" s="56"/>
    </row>
    <row r="69" spans="2:36" x14ac:dyDescent="0.25">
      <c r="B69" s="56">
        <f t="shared" ref="B69" si="37">LN(B23)</f>
        <v>12.514127035914781</v>
      </c>
      <c r="C69" s="56">
        <f t="shared" si="11"/>
        <v>10.861844944013484</v>
      </c>
      <c r="D69" s="56"/>
      <c r="E69" s="56">
        <f t="shared" si="0"/>
        <v>12.524253612179136</v>
      </c>
      <c r="F69" s="56">
        <f t="shared" si="33"/>
        <v>10.849296309121407</v>
      </c>
      <c r="G69" s="56"/>
      <c r="H69" s="56">
        <f t="shared" si="2"/>
        <v>12.268873720682233</v>
      </c>
      <c r="I69" s="56">
        <f t="shared" si="33"/>
        <v>10.582477490586083</v>
      </c>
      <c r="J69" s="56"/>
      <c r="K69" s="56">
        <f t="shared" si="3"/>
        <v>12.705550121952564</v>
      </c>
      <c r="L69" s="56">
        <f t="shared" si="33"/>
        <v>11.04257617599105</v>
      </c>
      <c r="M69" s="56"/>
      <c r="N69" s="56">
        <f t="shared" si="4"/>
        <v>12.529448787137818</v>
      </c>
      <c r="O69" s="56">
        <f t="shared" si="33"/>
        <v>10.853970993695473</v>
      </c>
      <c r="P69" s="56"/>
      <c r="Q69" s="56">
        <f t="shared" si="5"/>
        <v>12.705100953816526</v>
      </c>
      <c r="R69" s="56">
        <f t="shared" si="33"/>
        <v>11.034395993805038</v>
      </c>
      <c r="S69" s="56"/>
      <c r="T69" s="56">
        <f t="shared" si="6"/>
        <v>12.466334701905794</v>
      </c>
      <c r="U69" s="56">
        <f t="shared" si="33"/>
        <v>10.823877869615728</v>
      </c>
      <c r="V69" s="56"/>
      <c r="W69" s="56">
        <f t="shared" si="7"/>
        <v>12.456286468367047</v>
      </c>
      <c r="X69" s="56">
        <f t="shared" si="33"/>
        <v>11.161961326155327</v>
      </c>
      <c r="Y69" s="56"/>
      <c r="Z69" s="56">
        <f t="shared" si="8"/>
        <v>11.947619223738522</v>
      </c>
      <c r="AA69" s="56">
        <f t="shared" si="33"/>
        <v>10.324209021602242</v>
      </c>
      <c r="AB69" s="56"/>
      <c r="AC69" s="56">
        <f t="shared" si="9"/>
        <v>11.999276002485278</v>
      </c>
      <c r="AD69" s="56">
        <f t="shared" si="33"/>
        <v>10.649625585815823</v>
      </c>
      <c r="AE69" s="56"/>
      <c r="AF69" s="56"/>
      <c r="AG69" s="56"/>
      <c r="AH69" s="56"/>
      <c r="AI69" s="56"/>
      <c r="AJ69" s="56"/>
    </row>
    <row r="70" spans="2:36" x14ac:dyDescent="0.25">
      <c r="B70" s="56">
        <f t="shared" ref="B70" si="38">LN(B24)</f>
        <v>12.811827467445285</v>
      </c>
      <c r="C70" s="56">
        <f t="shared" si="11"/>
        <v>11.103221887226622</v>
      </c>
      <c r="D70" s="56"/>
      <c r="E70" s="56">
        <f t="shared" si="0"/>
        <v>12.822808433869346</v>
      </c>
      <c r="F70" s="56">
        <f t="shared" si="33"/>
        <v>11.088603172493837</v>
      </c>
      <c r="G70" s="56"/>
      <c r="H70" s="56">
        <f t="shared" si="2"/>
        <v>12.768718125025956</v>
      </c>
      <c r="I70" s="56">
        <f t="shared" si="33"/>
        <v>10.990942832608228</v>
      </c>
      <c r="J70" s="56"/>
      <c r="K70" s="56">
        <f t="shared" si="3"/>
        <v>12.986215994630768</v>
      </c>
      <c r="L70" s="56">
        <f t="shared" si="33"/>
        <v>11.259971979883591</v>
      </c>
      <c r="M70" s="56"/>
      <c r="N70" s="56">
        <f t="shared" si="4"/>
        <v>12.87687963189266</v>
      </c>
      <c r="O70" s="56">
        <f t="shared" si="33"/>
        <v>11.129327029021907</v>
      </c>
      <c r="P70" s="56"/>
      <c r="Q70" s="56">
        <f t="shared" si="5"/>
        <v>13.022268971419003</v>
      </c>
      <c r="R70" s="56">
        <f t="shared" si="33"/>
        <v>11.278321493191244</v>
      </c>
      <c r="S70" s="56"/>
      <c r="T70" s="56">
        <f t="shared" si="6"/>
        <v>13.003850075168202</v>
      </c>
      <c r="U70" s="56">
        <f t="shared" si="33"/>
        <v>11.262437694913242</v>
      </c>
      <c r="V70" s="56"/>
      <c r="W70" s="56">
        <f t="shared" si="7"/>
        <v>12.843281549932295</v>
      </c>
      <c r="X70" s="56">
        <f t="shared" si="33"/>
        <v>11.520476881123063</v>
      </c>
      <c r="Y70" s="56"/>
      <c r="Z70" s="56">
        <f t="shared" si="8"/>
        <v>12.483223205775618</v>
      </c>
      <c r="AA70" s="56">
        <f t="shared" si="33"/>
        <v>10.778314417267197</v>
      </c>
      <c r="AB70" s="56"/>
      <c r="AC70" s="56">
        <f t="shared" si="9"/>
        <v>12.380891124502979</v>
      </c>
      <c r="AD70" s="56">
        <f t="shared" si="33"/>
        <v>10.999361094258246</v>
      </c>
      <c r="AE70" s="56"/>
      <c r="AF70" s="56"/>
      <c r="AG70" s="56"/>
      <c r="AH70" s="56"/>
      <c r="AI70" s="56"/>
      <c r="AJ70" s="56"/>
    </row>
    <row r="71" spans="2:36" x14ac:dyDescent="0.25">
      <c r="B71" s="56">
        <f t="shared" ref="B71" si="39">LN(B25)</f>
        <v>12.993113093457048</v>
      </c>
      <c r="C71" s="56">
        <f t="shared" si="11"/>
        <v>11.238368875257335</v>
      </c>
      <c r="D71" s="56"/>
      <c r="E71" s="56">
        <f t="shared" si="0"/>
        <v>13.000288394505109</v>
      </c>
      <c r="F71" s="56">
        <f t="shared" si="33"/>
        <v>11.219477468146055</v>
      </c>
      <c r="G71" s="56"/>
      <c r="H71" s="56">
        <f t="shared" si="2"/>
        <v>12.793381418482346</v>
      </c>
      <c r="I71" s="56">
        <f t="shared" si="33"/>
        <v>11.017930538532317</v>
      </c>
      <c r="J71" s="56"/>
      <c r="K71" s="56">
        <f t="shared" si="3"/>
        <v>13.221707229186304</v>
      </c>
      <c r="L71" s="56">
        <f t="shared" si="33"/>
        <v>11.452089945916535</v>
      </c>
      <c r="M71" s="56"/>
      <c r="N71" s="56">
        <f t="shared" si="4"/>
        <v>13.045285769474555</v>
      </c>
      <c r="O71" s="56">
        <f t="shared" si="33"/>
        <v>11.24990738681314</v>
      </c>
      <c r="P71" s="56"/>
      <c r="Q71" s="56">
        <f t="shared" si="5"/>
        <v>13.24958616254429</v>
      </c>
      <c r="R71" s="56">
        <f t="shared" si="33"/>
        <v>11.461194179941938</v>
      </c>
      <c r="S71" s="56"/>
      <c r="T71" s="56">
        <f t="shared" si="6"/>
        <v>13.072332443798764</v>
      </c>
      <c r="U71" s="56">
        <f t="shared" si="33"/>
        <v>11.332943169968695</v>
      </c>
      <c r="V71" s="56"/>
      <c r="W71" s="56">
        <f t="shared" si="7"/>
        <v>12.955002154670003</v>
      </c>
      <c r="X71" s="56">
        <f t="shared" si="33"/>
        <v>11.603232239501322</v>
      </c>
      <c r="Y71" s="56"/>
      <c r="Z71" s="56">
        <f t="shared" si="8"/>
        <v>12.494872842647526</v>
      </c>
      <c r="AA71" s="56">
        <f t="shared" si="33"/>
        <v>10.790911622584289</v>
      </c>
      <c r="AB71" s="56"/>
      <c r="AC71" s="56">
        <f t="shared" si="9"/>
        <v>12.43769614027692</v>
      </c>
      <c r="AD71" s="56">
        <f t="shared" si="33"/>
        <v>11.026561532825472</v>
      </c>
      <c r="AE71" s="56"/>
      <c r="AF71" s="56"/>
      <c r="AG71" s="56"/>
      <c r="AH71" s="56"/>
      <c r="AI71" s="56"/>
      <c r="AJ71" s="56"/>
    </row>
    <row r="72" spans="2:36" x14ac:dyDescent="0.25">
      <c r="B72" s="56">
        <f t="shared" ref="B72" si="40">LN(B26)</f>
        <v>12.432191765445912</v>
      </c>
      <c r="C72" s="56">
        <f t="shared" si="11"/>
        <v>10.779797602553927</v>
      </c>
      <c r="D72" s="56"/>
      <c r="E72" s="56">
        <f t="shared" si="0"/>
        <v>12.431357901756243</v>
      </c>
      <c r="F72" s="56">
        <f t="shared" si="33"/>
        <v>10.762913709748316</v>
      </c>
      <c r="G72" s="56"/>
      <c r="H72" s="56">
        <f t="shared" si="2"/>
        <v>12.37383878431493</v>
      </c>
      <c r="I72" s="56">
        <f t="shared" si="33"/>
        <v>10.655811248088225</v>
      </c>
      <c r="J72" s="56"/>
      <c r="K72" s="56">
        <f t="shared" si="3"/>
        <v>12.723836146471518</v>
      </c>
      <c r="L72" s="56">
        <f t="shared" si="33"/>
        <v>11.062663284678727</v>
      </c>
      <c r="M72" s="56"/>
      <c r="N72" s="56">
        <f t="shared" si="4"/>
        <v>12.446431165311918</v>
      </c>
      <c r="O72" s="56">
        <f t="shared" si="33"/>
        <v>10.775291248490079</v>
      </c>
      <c r="P72" s="56"/>
      <c r="Q72" s="56">
        <f t="shared" si="5"/>
        <v>12.72816753195645</v>
      </c>
      <c r="R72" s="56">
        <f t="shared" si="33"/>
        <v>11.057791531783172</v>
      </c>
      <c r="S72" s="56"/>
      <c r="T72" s="56">
        <f t="shared" si="6"/>
        <v>12.715726583139952</v>
      </c>
      <c r="U72" s="56">
        <f t="shared" si="33"/>
        <v>11.036227478431766</v>
      </c>
      <c r="V72" s="56"/>
      <c r="W72" s="56">
        <f t="shared" si="7"/>
        <v>12.487568120390408</v>
      </c>
      <c r="X72" s="56">
        <f t="shared" si="33"/>
        <v>11.18140992361317</v>
      </c>
      <c r="Y72" s="56"/>
      <c r="Z72" s="56">
        <f t="shared" si="8"/>
        <v>12.073809020377334</v>
      </c>
      <c r="AA72" s="56">
        <f t="shared" ref="F72:AD80" si="41">LN(AA26)</f>
        <v>10.422070014098484</v>
      </c>
      <c r="AB72" s="56"/>
      <c r="AC72" s="56">
        <f t="shared" si="9"/>
        <v>11.93470345817054</v>
      </c>
      <c r="AD72" s="56">
        <f t="shared" si="41"/>
        <v>10.570827061558479</v>
      </c>
      <c r="AE72" s="56"/>
      <c r="AF72" s="56"/>
      <c r="AG72" s="56"/>
      <c r="AH72" s="56"/>
      <c r="AI72" s="56"/>
      <c r="AJ72" s="56"/>
    </row>
    <row r="73" spans="2:36" x14ac:dyDescent="0.25">
      <c r="B73" s="56">
        <f t="shared" ref="B73" si="42">LN(B27)</f>
        <v>12.171206836003833</v>
      </c>
      <c r="C73" s="56">
        <f t="shared" si="11"/>
        <v>10.521989308848537</v>
      </c>
      <c r="D73" s="56"/>
      <c r="E73" s="56">
        <f t="shared" si="0"/>
        <v>12.179954517375116</v>
      </c>
      <c r="F73" s="56">
        <f t="shared" si="41"/>
        <v>10.511547866683774</v>
      </c>
      <c r="G73" s="56"/>
      <c r="H73" s="56">
        <f t="shared" si="2"/>
        <v>12.03167759085065</v>
      </c>
      <c r="I73" s="56">
        <f t="shared" si="41"/>
        <v>10.381905680382882</v>
      </c>
      <c r="J73" s="56"/>
      <c r="K73" s="56">
        <f t="shared" si="3"/>
        <v>12.467205382748418</v>
      </c>
      <c r="L73" s="56">
        <f t="shared" si="41"/>
        <v>10.811054341236231</v>
      </c>
      <c r="M73" s="56"/>
      <c r="N73" s="56">
        <f t="shared" si="4"/>
        <v>12.253647786143061</v>
      </c>
      <c r="O73" s="56">
        <f t="shared" si="41"/>
        <v>10.568636412669212</v>
      </c>
      <c r="P73" s="56"/>
      <c r="Q73" s="56">
        <f t="shared" si="5"/>
        <v>12.515008497729267</v>
      </c>
      <c r="R73" s="56">
        <f t="shared" si="41"/>
        <v>10.841038672186572</v>
      </c>
      <c r="S73" s="56"/>
      <c r="T73" s="56">
        <f t="shared" si="6"/>
        <v>12.407125995043652</v>
      </c>
      <c r="U73" s="56">
        <f t="shared" si="41"/>
        <v>10.787467879981261</v>
      </c>
      <c r="V73" s="56"/>
      <c r="W73" s="56">
        <f t="shared" si="7"/>
        <v>12.361284191011849</v>
      </c>
      <c r="X73" s="56">
        <f t="shared" si="41"/>
        <v>11.044341627343199</v>
      </c>
      <c r="Y73" s="56"/>
      <c r="Z73" s="56">
        <f t="shared" si="8"/>
        <v>11.771158129196721</v>
      </c>
      <c r="AA73" s="56">
        <f t="shared" si="41"/>
        <v>10.171791832436668</v>
      </c>
      <c r="AB73" s="56"/>
      <c r="AC73" s="56">
        <f t="shared" si="9"/>
        <v>11.807831382511329</v>
      </c>
      <c r="AD73" s="56">
        <f t="shared" si="41"/>
        <v>10.437249124910172</v>
      </c>
      <c r="AE73" s="56"/>
      <c r="AF73" s="56"/>
      <c r="AG73" s="56"/>
      <c r="AH73" s="56"/>
      <c r="AI73" s="56"/>
      <c r="AJ73" s="56"/>
    </row>
    <row r="74" spans="2:36" x14ac:dyDescent="0.25">
      <c r="B74" s="56">
        <f t="shared" ref="B74" si="43">LN(B28)</f>
        <v>12.406348717684242</v>
      </c>
      <c r="C74" s="56">
        <f t="shared" si="11"/>
        <v>10.670911619554399</v>
      </c>
      <c r="D74" s="56"/>
      <c r="E74" s="56">
        <f t="shared" si="0"/>
        <v>12.409360368133033</v>
      </c>
      <c r="F74" s="56">
        <f t="shared" si="41"/>
        <v>10.650007239423585</v>
      </c>
      <c r="G74" s="56"/>
      <c r="H74" s="56">
        <f t="shared" si="2"/>
        <v>12.264586806596055</v>
      </c>
      <c r="I74" s="56">
        <f t="shared" si="41"/>
        <v>10.487968760429521</v>
      </c>
      <c r="J74" s="56"/>
      <c r="K74" s="56">
        <f t="shared" si="3"/>
        <v>12.681281454293622</v>
      </c>
      <c r="L74" s="56">
        <f t="shared" si="41"/>
        <v>10.932413872437992</v>
      </c>
      <c r="M74" s="56"/>
      <c r="N74" s="56">
        <f t="shared" si="4"/>
        <v>12.409339966839591</v>
      </c>
      <c r="O74" s="56">
        <f t="shared" si="41"/>
        <v>10.648835740387588</v>
      </c>
      <c r="P74" s="56"/>
      <c r="Q74" s="56">
        <f t="shared" si="5"/>
        <v>12.67449377328067</v>
      </c>
      <c r="R74" s="56">
        <f t="shared" si="41"/>
        <v>10.917598039866499</v>
      </c>
      <c r="S74" s="56"/>
      <c r="T74" s="56">
        <f t="shared" si="6"/>
        <v>12.565570601019536</v>
      </c>
      <c r="U74" s="56">
        <f t="shared" si="41"/>
        <v>10.833505631763591</v>
      </c>
      <c r="V74" s="56"/>
      <c r="W74" s="56">
        <f t="shared" si="7"/>
        <v>12.405185764963965</v>
      </c>
      <c r="X74" s="56">
        <f t="shared" si="41"/>
        <v>11.02570731239606</v>
      </c>
      <c r="Y74" s="56"/>
      <c r="Z74" s="56">
        <f t="shared" si="8"/>
        <v>11.954420303019827</v>
      </c>
      <c r="AA74" s="56">
        <f t="shared" si="41"/>
        <v>10.242791490390092</v>
      </c>
      <c r="AB74" s="56"/>
      <c r="AC74" s="56">
        <f t="shared" si="9"/>
        <v>11.880120874234281</v>
      </c>
      <c r="AD74" s="56">
        <f t="shared" si="41"/>
        <v>10.439314034062992</v>
      </c>
      <c r="AE74" s="56"/>
      <c r="AF74" s="56"/>
      <c r="AG74" s="56"/>
      <c r="AH74" s="56"/>
      <c r="AI74" s="56"/>
      <c r="AJ74" s="56"/>
    </row>
    <row r="75" spans="2:36" x14ac:dyDescent="0.25">
      <c r="B75" s="56">
        <f t="shared" ref="B75" si="44">LN(B29)</f>
        <v>12.637351688531318</v>
      </c>
      <c r="C75" s="56">
        <f t="shared" si="11"/>
        <v>10.870361126486346</v>
      </c>
      <c r="D75" s="56"/>
      <c r="E75" s="56">
        <f t="shared" si="0"/>
        <v>12.648293893763457</v>
      </c>
      <c r="F75" s="56">
        <f t="shared" si="41"/>
        <v>10.848169414897169</v>
      </c>
      <c r="G75" s="56"/>
      <c r="H75" s="56">
        <f t="shared" si="2"/>
        <v>12.576293922197761</v>
      </c>
      <c r="I75" s="56">
        <f t="shared" si="41"/>
        <v>10.749900735997789</v>
      </c>
      <c r="J75" s="56"/>
      <c r="K75" s="56">
        <f t="shared" si="3"/>
        <v>12.812168448300469</v>
      </c>
      <c r="L75" s="56">
        <f t="shared" si="41"/>
        <v>11.009724036357055</v>
      </c>
      <c r="M75" s="56"/>
      <c r="N75" s="56">
        <f t="shared" si="4"/>
        <v>12.700329766576614</v>
      </c>
      <c r="O75" s="56">
        <f t="shared" si="41"/>
        <v>10.885472387605645</v>
      </c>
      <c r="P75" s="56"/>
      <c r="Q75" s="56">
        <f t="shared" si="5"/>
        <v>12.845961444287656</v>
      </c>
      <c r="R75" s="56">
        <f t="shared" si="41"/>
        <v>11.025746378393183</v>
      </c>
      <c r="S75" s="56"/>
      <c r="T75" s="56">
        <f t="shared" si="6"/>
        <v>12.807436170782303</v>
      </c>
      <c r="U75" s="56">
        <f t="shared" si="41"/>
        <v>11.003051055323276</v>
      </c>
      <c r="V75" s="56"/>
      <c r="W75" s="56">
        <f t="shared" si="7"/>
        <v>12.742095144968436</v>
      </c>
      <c r="X75" s="56">
        <f t="shared" si="41"/>
        <v>11.304883557644141</v>
      </c>
      <c r="Y75" s="56"/>
      <c r="Z75" s="56">
        <f t="shared" si="8"/>
        <v>12.312340749205369</v>
      </c>
      <c r="AA75" s="56">
        <f t="shared" si="41"/>
        <v>10.540244259608556</v>
      </c>
      <c r="AB75" s="56"/>
      <c r="AC75" s="56">
        <f t="shared" si="9"/>
        <v>12.303058693010753</v>
      </c>
      <c r="AD75" s="56">
        <f t="shared" si="41"/>
        <v>10.813645517378761</v>
      </c>
      <c r="AE75" s="56"/>
      <c r="AF75" s="56"/>
      <c r="AG75" s="56"/>
      <c r="AH75" s="56"/>
      <c r="AI75" s="56"/>
      <c r="AJ75" s="56"/>
    </row>
    <row r="76" spans="2:36" x14ac:dyDescent="0.25">
      <c r="B76" s="56">
        <f t="shared" ref="B76" si="45">LN(B30)</f>
        <v>12.948862008141589</v>
      </c>
      <c r="C76" s="56">
        <f t="shared" si="11"/>
        <v>11.160285227787263</v>
      </c>
      <c r="D76" s="56"/>
      <c r="E76" s="56">
        <f t="shared" si="0"/>
        <v>12.925774119311365</v>
      </c>
      <c r="F76" s="56">
        <f t="shared" si="41"/>
        <v>11.096868965573556</v>
      </c>
      <c r="G76" s="56"/>
      <c r="H76" s="56">
        <f t="shared" si="2"/>
        <v>12.754760367642477</v>
      </c>
      <c r="I76" s="56">
        <f t="shared" si="41"/>
        <v>10.922683187518</v>
      </c>
      <c r="J76" s="56"/>
      <c r="K76" s="56">
        <f t="shared" si="3"/>
        <v>13.026726544254609</v>
      </c>
      <c r="L76" s="56">
        <f t="shared" si="41"/>
        <v>11.187116374395989</v>
      </c>
      <c r="M76" s="56"/>
      <c r="N76" s="56">
        <f t="shared" si="4"/>
        <v>12.958825105023667</v>
      </c>
      <c r="O76" s="56">
        <f t="shared" si="41"/>
        <v>11.116579649429244</v>
      </c>
      <c r="P76" s="56"/>
      <c r="Q76" s="56">
        <f t="shared" si="5"/>
        <v>13.048432620316321</v>
      </c>
      <c r="R76" s="56">
        <f t="shared" si="41"/>
        <v>11.190818945536151</v>
      </c>
      <c r="S76" s="56"/>
      <c r="T76" s="56">
        <f t="shared" si="6"/>
        <v>12.903766972133846</v>
      </c>
      <c r="U76" s="56">
        <f t="shared" si="41"/>
        <v>11.085335906218953</v>
      </c>
      <c r="V76" s="56"/>
      <c r="W76" s="56">
        <f t="shared" si="7"/>
        <v>12.790461879025829</v>
      </c>
      <c r="X76" s="56">
        <f t="shared" si="41"/>
        <v>11.343895975934501</v>
      </c>
      <c r="Y76" s="56"/>
      <c r="Z76" s="56">
        <f t="shared" si="8"/>
        <v>12.477270852498492</v>
      </c>
      <c r="AA76" s="56">
        <f t="shared" si="41"/>
        <v>10.69689174801985</v>
      </c>
      <c r="AB76" s="56"/>
      <c r="AC76" s="56">
        <f t="shared" si="9"/>
        <v>12.413493236379146</v>
      </c>
      <c r="AD76" s="56">
        <f t="shared" si="41"/>
        <v>10.925315984370044</v>
      </c>
      <c r="AE76" s="56"/>
      <c r="AF76" s="56"/>
      <c r="AG76" s="56"/>
      <c r="AH76" s="56"/>
      <c r="AI76" s="56"/>
      <c r="AJ76" s="56"/>
    </row>
    <row r="77" spans="2:36" x14ac:dyDescent="0.25">
      <c r="B77" s="56">
        <f t="shared" ref="B77" si="46">LN(B31)</f>
        <v>13.439732884600838</v>
      </c>
      <c r="C77" s="56">
        <f t="shared" si="11"/>
        <v>11.624815616082884</v>
      </c>
      <c r="D77" s="56"/>
      <c r="E77" s="56">
        <f t="shared" si="0"/>
        <v>13.467774117736978</v>
      </c>
      <c r="F77" s="56">
        <f t="shared" si="41"/>
        <v>11.584678523633327</v>
      </c>
      <c r="G77" s="56"/>
      <c r="H77" s="56">
        <f t="shared" si="2"/>
        <v>13.356288597083216</v>
      </c>
      <c r="I77" s="56">
        <f t="shared" si="41"/>
        <v>11.444572745684985</v>
      </c>
      <c r="J77" s="56"/>
      <c r="K77" s="56">
        <f t="shared" si="3"/>
        <v>13.3978746856644</v>
      </c>
      <c r="L77" s="56">
        <f t="shared" si="41"/>
        <v>11.48514719663696</v>
      </c>
      <c r="M77" s="56"/>
      <c r="N77" s="56">
        <f t="shared" si="4"/>
        <v>13.505004658986524</v>
      </c>
      <c r="O77" s="56">
        <f t="shared" si="41"/>
        <v>11.607344338588272</v>
      </c>
      <c r="P77" s="56"/>
      <c r="Q77" s="56">
        <f t="shared" si="5"/>
        <v>13.424668509852538</v>
      </c>
      <c r="R77" s="56">
        <f t="shared" si="41"/>
        <v>11.49116235718741</v>
      </c>
      <c r="S77" s="56"/>
      <c r="T77" s="56">
        <f t="shared" si="6"/>
        <v>13.328746453382154</v>
      </c>
      <c r="U77" s="56">
        <f t="shared" si="41"/>
        <v>11.41199733398844</v>
      </c>
      <c r="V77" s="56"/>
      <c r="W77" s="56">
        <f t="shared" si="7"/>
        <v>13.281849512627216</v>
      </c>
      <c r="X77" s="56">
        <f t="shared" si="41"/>
        <v>11.745282442026349</v>
      </c>
      <c r="Y77" s="56"/>
      <c r="Z77" s="56">
        <f t="shared" si="8"/>
        <v>13.049590513596685</v>
      </c>
      <c r="AA77" s="56">
        <f t="shared" si="41"/>
        <v>11.189722599544398</v>
      </c>
      <c r="AB77" s="56"/>
      <c r="AC77" s="56">
        <f t="shared" si="9"/>
        <v>13.033715753401468</v>
      </c>
      <c r="AD77" s="56">
        <f t="shared" si="41"/>
        <v>11.454911744283169</v>
      </c>
      <c r="AE77" s="56"/>
      <c r="AF77" s="56"/>
      <c r="AG77" s="56"/>
      <c r="AH77" s="56"/>
      <c r="AI77" s="56"/>
      <c r="AJ77" s="56"/>
    </row>
    <row r="78" spans="2:36" x14ac:dyDescent="0.25">
      <c r="B78" s="56">
        <f t="shared" ref="B78" si="47">LN(B32)</f>
        <v>13.001765132763126</v>
      </c>
      <c r="C78" s="56">
        <f t="shared" si="11"/>
        <v>11.27334633647917</v>
      </c>
      <c r="D78" s="56"/>
      <c r="E78" s="56">
        <f t="shared" si="0"/>
        <v>12.9098629861886</v>
      </c>
      <c r="F78" s="56">
        <f t="shared" si="41"/>
        <v>11.111043928193418</v>
      </c>
      <c r="G78" s="56"/>
      <c r="H78" s="56">
        <f t="shared" si="2"/>
        <v>12.784109153987336</v>
      </c>
      <c r="I78" s="56">
        <f t="shared" si="41"/>
        <v>10.974651560245009</v>
      </c>
      <c r="J78" s="56"/>
      <c r="K78" s="56">
        <f t="shared" si="3"/>
        <v>12.847658074618558</v>
      </c>
      <c r="L78" s="56">
        <f t="shared" si="41"/>
        <v>11.008366829214388</v>
      </c>
      <c r="M78" s="56"/>
      <c r="N78" s="56">
        <f t="shared" si="4"/>
        <v>12.943078804303365</v>
      </c>
      <c r="O78" s="56">
        <f t="shared" si="41"/>
        <v>11.133167576515786</v>
      </c>
      <c r="P78" s="56"/>
      <c r="Q78" s="56">
        <f t="shared" si="5"/>
        <v>12.871118660979208</v>
      </c>
      <c r="R78" s="56">
        <f t="shared" si="41"/>
        <v>11.014558574538853</v>
      </c>
      <c r="S78" s="56"/>
      <c r="T78" s="56">
        <f t="shared" si="6"/>
        <v>12.757368201849877</v>
      </c>
      <c r="U78" s="56">
        <f t="shared" si="41"/>
        <v>10.928901711428637</v>
      </c>
      <c r="V78" s="56"/>
      <c r="W78" s="56">
        <f t="shared" si="7"/>
        <v>12.765414110128104</v>
      </c>
      <c r="X78" s="56">
        <f t="shared" si="41"/>
        <v>11.28750432191196</v>
      </c>
      <c r="Y78" s="56"/>
      <c r="Z78" s="56">
        <f t="shared" si="8"/>
        <v>12.493497184823138</v>
      </c>
      <c r="AA78" s="56">
        <f t="shared" si="41"/>
        <v>10.704971066612611</v>
      </c>
      <c r="AB78" s="56"/>
      <c r="AC78" s="56">
        <f t="shared" si="9"/>
        <v>12.515823158735916</v>
      </c>
      <c r="AD78" s="56">
        <f t="shared" si="41"/>
        <v>10.99411807146258</v>
      </c>
      <c r="AE78" s="56"/>
      <c r="AF78" s="56"/>
      <c r="AG78" s="56"/>
      <c r="AH78" s="56"/>
      <c r="AI78" s="56"/>
      <c r="AJ78" s="56"/>
    </row>
    <row r="79" spans="2:36" x14ac:dyDescent="0.25">
      <c r="B79" s="56">
        <f t="shared" ref="B79" si="48">LN(B33)</f>
        <v>13.387618842934552</v>
      </c>
      <c r="C79" s="56">
        <f t="shared" si="11"/>
        <v>11.630655165871005</v>
      </c>
      <c r="D79" s="56"/>
      <c r="E79" s="56">
        <f t="shared" si="0"/>
        <v>13.307898099781621</v>
      </c>
      <c r="F79" s="56">
        <f t="shared" si="41"/>
        <v>11.460669602199181</v>
      </c>
      <c r="G79" s="56"/>
      <c r="H79" s="56">
        <f t="shared" si="2"/>
        <v>13.206581356488341</v>
      </c>
      <c r="I79" s="56">
        <f t="shared" si="41"/>
        <v>11.333262770267554</v>
      </c>
      <c r="J79" s="56"/>
      <c r="K79" s="56">
        <f t="shared" si="3"/>
        <v>13.215815468393945</v>
      </c>
      <c r="L79" s="56">
        <f t="shared" si="41"/>
        <v>11.335697712697916</v>
      </c>
      <c r="M79" s="56"/>
      <c r="N79" s="56">
        <f t="shared" si="4"/>
        <v>13.345495728655818</v>
      </c>
      <c r="O79" s="56">
        <f t="shared" si="41"/>
        <v>11.485221221970109</v>
      </c>
      <c r="P79" s="56"/>
      <c r="Q79" s="56">
        <f t="shared" si="5"/>
        <v>13.241528568554699</v>
      </c>
      <c r="R79" s="56">
        <f t="shared" si="41"/>
        <v>11.340376401435096</v>
      </c>
      <c r="S79" s="56"/>
      <c r="T79" s="56">
        <f t="shared" si="6"/>
        <v>13.150457029167013</v>
      </c>
      <c r="U79" s="56">
        <f t="shared" si="41"/>
        <v>11.267589984249522</v>
      </c>
      <c r="V79" s="56"/>
      <c r="W79" s="56">
        <f t="shared" si="7"/>
        <v>13.060607115524741</v>
      </c>
      <c r="X79" s="56">
        <f t="shared" si="41"/>
        <v>11.551761488755426</v>
      </c>
      <c r="Y79" s="56"/>
      <c r="Z79" s="56">
        <f t="shared" si="8"/>
        <v>12.843757326315799</v>
      </c>
      <c r="AA79" s="56">
        <f t="shared" si="41"/>
        <v>11.002086507782014</v>
      </c>
      <c r="AB79" s="56"/>
      <c r="AC79" s="56">
        <f t="shared" si="9"/>
        <v>12.791684725513225</v>
      </c>
      <c r="AD79" s="56">
        <f t="shared" si="41"/>
        <v>11.232478489302554</v>
      </c>
      <c r="AE79" s="56"/>
      <c r="AF79" s="56"/>
      <c r="AG79" s="56"/>
      <c r="AH79" s="56"/>
      <c r="AI79" s="56"/>
      <c r="AJ79" s="56"/>
    </row>
    <row r="80" spans="2:36" x14ac:dyDescent="0.25">
      <c r="B80" s="56">
        <f t="shared" ref="B80" si="49">LN(B34)</f>
        <v>12.878539964136104</v>
      </c>
      <c r="C80" s="56">
        <f t="shared" si="11"/>
        <v>11.24291433762901</v>
      </c>
      <c r="D80" s="56"/>
      <c r="E80" s="56">
        <f t="shared" si="0"/>
        <v>12.89346328897774</v>
      </c>
      <c r="F80" s="56">
        <f t="shared" si="41"/>
        <v>11.133462842900832</v>
      </c>
      <c r="G80" s="56"/>
      <c r="H80" s="56">
        <f t="shared" si="2"/>
        <v>12.720774746042085</v>
      </c>
      <c r="I80" s="56">
        <f t="shared" si="41"/>
        <v>10.981788284425416</v>
      </c>
      <c r="J80" s="56"/>
      <c r="K80" s="56">
        <f t="shared" si="3"/>
        <v>12.831358457069882</v>
      </c>
      <c r="L80" s="56">
        <f t="shared" si="41"/>
        <v>11.02557219738938</v>
      </c>
      <c r="M80" s="56"/>
      <c r="N80" s="56">
        <f t="shared" si="4"/>
        <v>12.921766234792656</v>
      </c>
      <c r="O80" s="56">
        <f t="shared" si="41"/>
        <v>11.151931206207266</v>
      </c>
      <c r="P80" s="56"/>
      <c r="Q80" s="56">
        <f t="shared" si="5"/>
        <v>12.850782974498447</v>
      </c>
      <c r="R80" s="56">
        <f t="shared" ref="F80:AD88" si="50">LN(R34)</f>
        <v>11.027627877089094</v>
      </c>
      <c r="S80" s="56"/>
      <c r="T80" s="56">
        <f t="shared" si="6"/>
        <v>12.677378551445434</v>
      </c>
      <c r="U80" s="56">
        <f t="shared" si="50"/>
        <v>10.91130130196003</v>
      </c>
      <c r="V80" s="56"/>
      <c r="W80" s="56">
        <f t="shared" si="7"/>
        <v>12.58089983602785</v>
      </c>
      <c r="X80" s="56">
        <f t="shared" si="50"/>
        <v>11.150127527996428</v>
      </c>
      <c r="Y80" s="56"/>
      <c r="Z80" s="56">
        <f t="shared" si="8"/>
        <v>12.349012142821891</v>
      </c>
      <c r="AA80" s="56">
        <f t="shared" si="50"/>
        <v>10.604414392914897</v>
      </c>
      <c r="AB80" s="56"/>
      <c r="AC80" s="56">
        <f t="shared" si="9"/>
        <v>12.290955926395343</v>
      </c>
      <c r="AD80" s="56">
        <f t="shared" si="50"/>
        <v>10.8059186823037</v>
      </c>
      <c r="AE80" s="56"/>
      <c r="AF80" s="56"/>
      <c r="AG80" s="56"/>
      <c r="AH80" s="56"/>
      <c r="AI80" s="56"/>
      <c r="AJ80" s="56"/>
    </row>
    <row r="81" spans="2:36" x14ac:dyDescent="0.25">
      <c r="B81" s="56">
        <f t="shared" ref="B81" si="51">LN(B35)</f>
        <v>13.135948677901665</v>
      </c>
      <c r="C81" s="56">
        <f t="shared" si="11"/>
        <v>11.484157609847527</v>
      </c>
      <c r="D81" s="56"/>
      <c r="E81" s="56">
        <f t="shared" si="0"/>
        <v>12.982020266183268</v>
      </c>
      <c r="F81" s="56">
        <f t="shared" si="50"/>
        <v>11.216029070744135</v>
      </c>
      <c r="G81" s="56"/>
      <c r="H81" s="56">
        <f t="shared" si="2"/>
        <v>12.735397105849982</v>
      </c>
      <c r="I81" s="56">
        <f t="shared" si="50"/>
        <v>10.965477349747736</v>
      </c>
      <c r="J81" s="56"/>
      <c r="K81" s="56">
        <f t="shared" si="3"/>
        <v>12.901953585961175</v>
      </c>
      <c r="L81" s="56">
        <f t="shared" si="50"/>
        <v>11.090434231514546</v>
      </c>
      <c r="M81" s="56"/>
      <c r="N81" s="56">
        <f t="shared" si="4"/>
        <v>13.014669029366008</v>
      </c>
      <c r="O81" s="56">
        <f t="shared" si="50"/>
        <v>11.240993374485267</v>
      </c>
      <c r="P81" s="56"/>
      <c r="Q81" s="56">
        <f t="shared" si="5"/>
        <v>12.921582898138379</v>
      </c>
      <c r="R81" s="56">
        <f t="shared" si="50"/>
        <v>11.093012487226909</v>
      </c>
      <c r="S81" s="56"/>
      <c r="T81" s="56">
        <f t="shared" si="6"/>
        <v>12.682204334802604</v>
      </c>
      <c r="U81" s="56">
        <f t="shared" si="50"/>
        <v>10.885060279102886</v>
      </c>
      <c r="V81" s="56"/>
      <c r="W81" s="56">
        <f t="shared" si="7"/>
        <v>12.630388948073627</v>
      </c>
      <c r="X81" s="56">
        <f t="shared" si="50"/>
        <v>11.162057911165125</v>
      </c>
      <c r="Y81" s="56"/>
      <c r="Z81" s="56">
        <f t="shared" si="8"/>
        <v>12.334386701492773</v>
      </c>
      <c r="AA81" s="56">
        <f t="shared" si="50"/>
        <v>10.536738752006498</v>
      </c>
      <c r="AB81" s="56"/>
      <c r="AC81" s="56">
        <f t="shared" si="9"/>
        <v>12.321590896273998</v>
      </c>
      <c r="AD81" s="56">
        <f t="shared" si="50"/>
        <v>10.785031548080449</v>
      </c>
      <c r="AE81" s="56"/>
      <c r="AF81" s="56"/>
      <c r="AG81" s="56"/>
      <c r="AH81" s="56"/>
      <c r="AI81" s="56"/>
      <c r="AJ81" s="56"/>
    </row>
    <row r="82" spans="2:36" x14ac:dyDescent="0.25">
      <c r="B82" s="56">
        <f t="shared" ref="B82" si="52">LN(B36)</f>
        <v>13.392555386521453</v>
      </c>
      <c r="C82" s="56">
        <f t="shared" si="11"/>
        <v>11.791412895963672</v>
      </c>
      <c r="D82" s="56"/>
      <c r="E82" s="56">
        <f t="shared" si="0"/>
        <v>13.249179271459543</v>
      </c>
      <c r="F82" s="56">
        <f t="shared" si="50"/>
        <v>11.50445166351083</v>
      </c>
      <c r="G82" s="56"/>
      <c r="H82" s="56">
        <f t="shared" si="2"/>
        <v>13.148290349810292</v>
      </c>
      <c r="I82" s="56">
        <f t="shared" si="50"/>
        <v>11.387324826328939</v>
      </c>
      <c r="J82" s="56"/>
      <c r="K82" s="56">
        <f t="shared" si="3"/>
        <v>13.193386453297615</v>
      </c>
      <c r="L82" s="56">
        <f t="shared" si="50"/>
        <v>11.393585467878189</v>
      </c>
      <c r="M82" s="56"/>
      <c r="N82" s="56">
        <f t="shared" si="4"/>
        <v>13.277267487617333</v>
      </c>
      <c r="O82" s="56">
        <f t="shared" si="50"/>
        <v>11.526729745946625</v>
      </c>
      <c r="P82" s="56"/>
      <c r="Q82" s="56">
        <f t="shared" si="5"/>
        <v>13.208535569043075</v>
      </c>
      <c r="R82" s="56">
        <f t="shared" si="50"/>
        <v>11.392423110315082</v>
      </c>
      <c r="S82" s="56"/>
      <c r="T82" s="56">
        <f t="shared" si="6"/>
        <v>13.11201804854972</v>
      </c>
      <c r="U82" s="56">
        <f t="shared" si="50"/>
        <v>11.321057687659524</v>
      </c>
      <c r="V82" s="56"/>
      <c r="W82" s="56">
        <f t="shared" si="7"/>
        <v>13.077416219418174</v>
      </c>
      <c r="X82" s="56">
        <f t="shared" si="50"/>
        <v>11.615608399103966</v>
      </c>
      <c r="Y82" s="56"/>
      <c r="Z82" s="56">
        <f t="shared" si="8"/>
        <v>12.725613183871459</v>
      </c>
      <c r="AA82" s="56">
        <f t="shared" si="50"/>
        <v>10.915073918654276</v>
      </c>
      <c r="AB82" s="56"/>
      <c r="AC82" s="56">
        <f t="shared" si="9"/>
        <v>12.745937519117993</v>
      </c>
      <c r="AD82" s="56">
        <f t="shared" si="50"/>
        <v>11.201644448321382</v>
      </c>
      <c r="AE82" s="56"/>
      <c r="AF82" s="56"/>
      <c r="AG82" s="56"/>
      <c r="AH82" s="56"/>
      <c r="AI82" s="56"/>
      <c r="AJ82" s="56"/>
    </row>
    <row r="83" spans="2:36" x14ac:dyDescent="0.25">
      <c r="B83" s="56">
        <f t="shared" ref="B83" si="53">LN(B37)</f>
        <v>14.010345165638165</v>
      </c>
      <c r="C83" s="56">
        <f t="shared" si="11"/>
        <v>12.473053161770217</v>
      </c>
      <c r="D83" s="56"/>
      <c r="E83" s="56">
        <f t="shared" si="0"/>
        <v>13.854144560575042</v>
      </c>
      <c r="F83" s="56">
        <f t="shared" si="50"/>
        <v>12.160803276082639</v>
      </c>
      <c r="G83" s="56"/>
      <c r="H83" s="56">
        <f t="shared" si="2"/>
        <v>13.763806652971937</v>
      </c>
      <c r="I83" s="56">
        <f t="shared" si="50"/>
        <v>12.071672304050352</v>
      </c>
      <c r="J83" s="56"/>
      <c r="K83" s="56">
        <f t="shared" si="3"/>
        <v>13.839539535763635</v>
      </c>
      <c r="L83" s="56">
        <f t="shared" si="50"/>
        <v>12.082819677030759</v>
      </c>
      <c r="M83" s="56"/>
      <c r="N83" s="56">
        <f t="shared" si="4"/>
        <v>13.882430615990295</v>
      </c>
      <c r="O83" s="56">
        <f t="shared" si="50"/>
        <v>12.18336169315357</v>
      </c>
      <c r="P83" s="56"/>
      <c r="Q83" s="56">
        <f t="shared" si="5"/>
        <v>13.851977482920935</v>
      </c>
      <c r="R83" s="56">
        <f t="shared" si="50"/>
        <v>12.07714208141547</v>
      </c>
      <c r="S83" s="56"/>
      <c r="T83" s="56">
        <f t="shared" si="6"/>
        <v>13.772852503917848</v>
      </c>
      <c r="U83" s="56">
        <f t="shared" si="50"/>
        <v>12.041905299316261</v>
      </c>
      <c r="V83" s="56"/>
      <c r="W83" s="56">
        <f t="shared" si="7"/>
        <v>13.600977331184763</v>
      </c>
      <c r="X83" s="56">
        <f t="shared" si="50"/>
        <v>12.190730555230903</v>
      </c>
      <c r="Y83" s="56"/>
      <c r="Z83" s="56">
        <f t="shared" si="8"/>
        <v>13.347896072440443</v>
      </c>
      <c r="AA83" s="56">
        <f t="shared" si="50"/>
        <v>11.564236259204655</v>
      </c>
      <c r="AB83" s="56"/>
      <c r="AC83" s="56">
        <f t="shared" si="9"/>
        <v>13.259106855753615</v>
      </c>
      <c r="AD83" s="56">
        <f t="shared" si="50"/>
        <v>11.741971561937053</v>
      </c>
      <c r="AE83" s="56"/>
      <c r="AF83" s="56"/>
      <c r="AG83" s="56"/>
      <c r="AH83" s="56"/>
      <c r="AI83" s="56"/>
      <c r="AJ83" s="56"/>
    </row>
    <row r="84" spans="2:36" x14ac:dyDescent="0.25">
      <c r="B84" s="56">
        <f t="shared" ref="B84" si="54">LN(B38)</f>
        <v>13.366218946315556</v>
      </c>
      <c r="C84" s="56">
        <f t="shared" si="11"/>
        <v>11.97349094467555</v>
      </c>
      <c r="D84" s="56"/>
      <c r="E84" s="56">
        <f t="shared" si="0"/>
        <v>13.057391695799639</v>
      </c>
      <c r="F84" s="56">
        <f t="shared" si="50"/>
        <v>11.487406611136551</v>
      </c>
      <c r="G84" s="56"/>
      <c r="H84" s="56">
        <f t="shared" si="2"/>
        <v>12.980762946043514</v>
      </c>
      <c r="I84" s="56">
        <f t="shared" si="50"/>
        <v>11.415703959746649</v>
      </c>
      <c r="J84" s="56"/>
      <c r="K84" s="56">
        <f t="shared" si="3"/>
        <v>13.114044874395587</v>
      </c>
      <c r="L84" s="56">
        <f t="shared" si="50"/>
        <v>11.48313304544229</v>
      </c>
      <c r="M84" s="56"/>
      <c r="N84" s="56">
        <f t="shared" si="4"/>
        <v>13.080440777440041</v>
      </c>
      <c r="O84" s="56">
        <f t="shared" si="50"/>
        <v>11.50547779983507</v>
      </c>
      <c r="P84" s="56"/>
      <c r="Q84" s="56">
        <f t="shared" si="5"/>
        <v>13.121062531671281</v>
      </c>
      <c r="R84" s="56">
        <f t="shared" si="50"/>
        <v>11.473716751744949</v>
      </c>
      <c r="S84" s="56"/>
      <c r="T84" s="56">
        <f t="shared" si="6"/>
        <v>13.056479952288703</v>
      </c>
      <c r="U84" s="56">
        <f t="shared" si="50"/>
        <v>11.457068086769192</v>
      </c>
      <c r="V84" s="56"/>
      <c r="W84" s="56">
        <f t="shared" si="7"/>
        <v>12.82984563190891</v>
      </c>
      <c r="X84" s="56">
        <f t="shared" si="50"/>
        <v>11.504924542784693</v>
      </c>
      <c r="Y84" s="56"/>
      <c r="Z84" s="56">
        <f t="shared" si="8"/>
        <v>12.673607605116901</v>
      </c>
      <c r="AA84" s="56">
        <f t="shared" si="50"/>
        <v>10.996851090581069</v>
      </c>
      <c r="AB84" s="56"/>
      <c r="AC84" s="56">
        <f t="shared" si="9"/>
        <v>12.517695828753361</v>
      </c>
      <c r="AD84" s="56">
        <f t="shared" si="50"/>
        <v>11.094195769924637</v>
      </c>
      <c r="AE84" s="56"/>
      <c r="AF84" s="56"/>
      <c r="AG84" s="56"/>
      <c r="AH84" s="56"/>
      <c r="AI84" s="56"/>
      <c r="AJ84" s="56"/>
    </row>
    <row r="85" spans="2:36" x14ac:dyDescent="0.25">
      <c r="B85" s="56">
        <f t="shared" ref="B85" si="55">LN(B39)</f>
        <v>12.259964061873985</v>
      </c>
      <c r="C85" s="56">
        <f t="shared" si="11"/>
        <v>11.00706084836656</v>
      </c>
      <c r="D85" s="56"/>
      <c r="E85" s="56">
        <f t="shared" si="0"/>
        <v>12.392572959145545</v>
      </c>
      <c r="F85" s="56">
        <f t="shared" si="50"/>
        <v>10.909885863216299</v>
      </c>
      <c r="G85" s="56"/>
      <c r="H85" s="56">
        <f t="shared" si="2"/>
        <v>12.252011128471338</v>
      </c>
      <c r="I85" s="56">
        <f t="shared" si="50"/>
        <v>10.768969083356961</v>
      </c>
      <c r="J85" s="56"/>
      <c r="K85" s="56">
        <f t="shared" si="3"/>
        <v>12.513583080241105</v>
      </c>
      <c r="L85" s="56">
        <f t="shared" si="50"/>
        <v>10.957313401423113</v>
      </c>
      <c r="M85" s="56"/>
      <c r="N85" s="56">
        <f t="shared" si="4"/>
        <v>12.406917416749351</v>
      </c>
      <c r="O85" s="56">
        <f t="shared" si="50"/>
        <v>10.923107137638953</v>
      </c>
      <c r="P85" s="56"/>
      <c r="Q85" s="56">
        <f t="shared" si="5"/>
        <v>12.517930123673162</v>
      </c>
      <c r="R85" s="56">
        <f t="shared" si="50"/>
        <v>10.954179798369417</v>
      </c>
      <c r="S85" s="56"/>
      <c r="T85" s="56">
        <f t="shared" si="6"/>
        <v>12.396531835126842</v>
      </c>
      <c r="U85" s="56">
        <f t="shared" si="50"/>
        <v>10.868970272599533</v>
      </c>
      <c r="V85" s="56"/>
      <c r="W85" s="56">
        <f t="shared" si="7"/>
        <v>12.340961865889239</v>
      </c>
      <c r="X85" s="56">
        <f t="shared" si="50"/>
        <v>11.087035175819508</v>
      </c>
      <c r="Y85" s="56"/>
      <c r="Z85" s="56">
        <f t="shared" si="8"/>
        <v>12.091172325852618</v>
      </c>
      <c r="AA85" s="56">
        <f t="shared" si="50"/>
        <v>10.512777467572102</v>
      </c>
      <c r="AB85" s="56"/>
      <c r="AC85" s="56">
        <f t="shared" si="9"/>
        <v>12.054051363591807</v>
      </c>
      <c r="AD85" s="56">
        <f t="shared" si="50"/>
        <v>10.717694616240824</v>
      </c>
      <c r="AE85" s="56"/>
      <c r="AF85" s="56"/>
      <c r="AG85" s="56"/>
      <c r="AH85" s="56"/>
      <c r="AI85" s="56"/>
      <c r="AJ85" s="56"/>
    </row>
    <row r="86" spans="2:36" x14ac:dyDescent="0.25">
      <c r="B86" s="56">
        <f t="shared" ref="B86" si="56">LN(B40)</f>
        <v>12.46906363664041</v>
      </c>
      <c r="C86" s="56">
        <f t="shared" si="11"/>
        <v>11.071081601518349</v>
      </c>
      <c r="D86" s="56"/>
      <c r="E86" s="56">
        <f t="shared" si="0"/>
        <v>12.391514329660373</v>
      </c>
      <c r="F86" s="56">
        <f t="shared" si="50"/>
        <v>10.877243095750167</v>
      </c>
      <c r="G86" s="56"/>
      <c r="H86" s="56">
        <f t="shared" si="2"/>
        <v>12.014258173252689</v>
      </c>
      <c r="I86" s="56">
        <f t="shared" si="50"/>
        <v>10.563850660256552</v>
      </c>
      <c r="J86" s="56"/>
      <c r="K86" s="56">
        <f t="shared" si="3"/>
        <v>12.634283757367303</v>
      </c>
      <c r="L86" s="56">
        <f t="shared" si="50"/>
        <v>11.116252591638192</v>
      </c>
      <c r="M86" s="56"/>
      <c r="N86" s="56">
        <f t="shared" si="4"/>
        <v>12.378541658356333</v>
      </c>
      <c r="O86" s="56">
        <f t="shared" si="50"/>
        <v>10.864745913898895</v>
      </c>
      <c r="P86" s="56"/>
      <c r="Q86" s="56">
        <f t="shared" si="5"/>
        <v>12.614765870989764</v>
      </c>
      <c r="R86" s="56">
        <f t="shared" si="50"/>
        <v>11.089228155800843</v>
      </c>
      <c r="S86" s="56"/>
      <c r="T86" s="56">
        <f t="shared" si="6"/>
        <v>12.231686784604069</v>
      </c>
      <c r="U86" s="56">
        <f t="shared" si="50"/>
        <v>10.806498497063052</v>
      </c>
      <c r="V86" s="56"/>
      <c r="W86" s="56">
        <f t="shared" si="7"/>
        <v>12.093077504591063</v>
      </c>
      <c r="X86" s="56">
        <f t="shared" si="50"/>
        <v>10.91407158373049</v>
      </c>
      <c r="Y86" s="56"/>
      <c r="Z86" s="56">
        <f t="shared" si="8"/>
        <v>12.018609895421346</v>
      </c>
      <c r="AA86" s="56">
        <f t="shared" si="50"/>
        <v>10.558332997553489</v>
      </c>
      <c r="AB86" s="56"/>
      <c r="AC86" s="56">
        <f t="shared" si="9"/>
        <v>11.879455685739687</v>
      </c>
      <c r="AD86" s="56">
        <f t="shared" si="50"/>
        <v>10.64288357560322</v>
      </c>
      <c r="AE86" s="56"/>
      <c r="AF86" s="56"/>
      <c r="AG86" s="56"/>
      <c r="AH86" s="56"/>
      <c r="AI86" s="56"/>
      <c r="AJ86" s="56"/>
    </row>
    <row r="87" spans="2:36" x14ac:dyDescent="0.25">
      <c r="B87" s="56">
        <f t="shared" ref="B87" si="57">LN(B41)</f>
        <v>12.031945423284377</v>
      </c>
      <c r="C87" s="56">
        <f t="shared" si="11"/>
        <v>10.63688616487636</v>
      </c>
      <c r="D87" s="56"/>
      <c r="E87" s="56">
        <f t="shared" si="0"/>
        <v>12.157050454444578</v>
      </c>
      <c r="F87" s="56">
        <f t="shared" si="50"/>
        <v>10.615262651083523</v>
      </c>
      <c r="G87" s="56"/>
      <c r="H87" s="56">
        <f t="shared" si="2"/>
        <v>12.101961349272779</v>
      </c>
      <c r="I87" s="56">
        <f t="shared" si="50"/>
        <v>10.501584769432592</v>
      </c>
      <c r="J87" s="56"/>
      <c r="K87" s="56">
        <f t="shared" si="3"/>
        <v>12.35167834938747</v>
      </c>
      <c r="L87" s="56">
        <f t="shared" si="50"/>
        <v>10.764523469340679</v>
      </c>
      <c r="M87" s="56"/>
      <c r="N87" s="56">
        <f t="shared" si="4"/>
        <v>12.118464727008657</v>
      </c>
      <c r="O87" s="56">
        <f t="shared" si="50"/>
        <v>10.590817847774508</v>
      </c>
      <c r="P87" s="56"/>
      <c r="Q87" s="56">
        <f t="shared" si="5"/>
        <v>12.32476637748788</v>
      </c>
      <c r="R87" s="56">
        <f t="shared" si="50"/>
        <v>10.741531296799293</v>
      </c>
      <c r="S87" s="56"/>
      <c r="T87" s="56">
        <f t="shared" si="6"/>
        <v>12.327608630055865</v>
      </c>
      <c r="U87" s="56">
        <f t="shared" si="50"/>
        <v>10.735668149290902</v>
      </c>
      <c r="V87" s="56"/>
      <c r="W87" s="56">
        <f t="shared" si="7"/>
        <v>12.304903891825102</v>
      </c>
      <c r="X87" s="56">
        <f t="shared" si="50"/>
        <v>11.006836936762609</v>
      </c>
      <c r="Y87" s="56"/>
      <c r="Z87" s="56">
        <f t="shared" si="8"/>
        <v>12.113995733078966</v>
      </c>
      <c r="AA87" s="56">
        <f t="shared" si="50"/>
        <v>10.502098753521395</v>
      </c>
      <c r="AB87" s="56"/>
      <c r="AC87" s="56">
        <f t="shared" si="9"/>
        <v>12.078125631199551</v>
      </c>
      <c r="AD87" s="56">
        <f t="shared" si="50"/>
        <v>10.718000232946705</v>
      </c>
      <c r="AE87" s="56"/>
      <c r="AF87" s="56"/>
      <c r="AG87" s="56"/>
      <c r="AH87" s="56"/>
      <c r="AI87" s="56"/>
      <c r="AJ87" s="56"/>
    </row>
    <row r="88" spans="2:36" x14ac:dyDescent="0.25">
      <c r="B88" s="56">
        <f t="shared" ref="B88" si="58">LN(B42)</f>
        <v>12.413265660709255</v>
      </c>
      <c r="C88" s="56">
        <f t="shared" si="11"/>
        <v>10.965198968472526</v>
      </c>
      <c r="D88" s="56"/>
      <c r="E88" s="56">
        <f t="shared" si="0"/>
        <v>12.990261819222024</v>
      </c>
      <c r="F88" s="56">
        <f t="shared" si="50"/>
        <v>11.347889252124547</v>
      </c>
      <c r="G88" s="56"/>
      <c r="H88" s="56">
        <f t="shared" ref="H88" si="59">LN(H42)</f>
        <v>12.841569526588369</v>
      </c>
      <c r="I88" s="56">
        <f t="shared" ref="F88:AD90" si="60">LN(I42)</f>
        <v>11.212133836564728</v>
      </c>
      <c r="J88" s="56"/>
      <c r="K88" s="56">
        <f t="shared" ref="K88" si="61">LN(K42)</f>
        <v>13.072937811409906</v>
      </c>
      <c r="L88" s="56">
        <f t="shared" si="60"/>
        <v>11.36837588010289</v>
      </c>
      <c r="M88" s="56"/>
      <c r="N88" s="56">
        <f t="shared" ref="N88" si="62">LN(N42)</f>
        <v>12.993945744337806</v>
      </c>
      <c r="O88" s="56">
        <f t="shared" si="60"/>
        <v>11.351879567674679</v>
      </c>
      <c r="P88" s="56"/>
      <c r="Q88" s="56">
        <f t="shared" ref="Q88" si="63">LN(Q42)</f>
        <v>13.079850370595034</v>
      </c>
      <c r="R88" s="56">
        <f t="shared" si="60"/>
        <v>11.366614474316663</v>
      </c>
      <c r="S88" s="56"/>
      <c r="T88" s="56">
        <f t="shared" ref="T88" si="64">LN(T42)</f>
        <v>12.94351896831941</v>
      </c>
      <c r="U88" s="56">
        <f t="shared" si="60"/>
        <v>11.271228355947526</v>
      </c>
      <c r="V88" s="56"/>
      <c r="W88" s="56">
        <f t="shared" ref="W88" si="65">LN(W42)</f>
        <v>13.042486489315298</v>
      </c>
      <c r="X88" s="56">
        <f t="shared" si="60"/>
        <v>11.677354568922595</v>
      </c>
      <c r="Y88" s="56"/>
      <c r="Z88" s="56">
        <f t="shared" ref="Z88" si="66">LN(Z42)</f>
        <v>12.759509382388881</v>
      </c>
      <c r="AA88" s="56">
        <f t="shared" si="60"/>
        <v>11.085584311519543</v>
      </c>
      <c r="AB88" s="56"/>
      <c r="AC88" s="56">
        <f t="shared" ref="AC88" si="67">LN(AC42)</f>
        <v>12.812732857029157</v>
      </c>
      <c r="AD88" s="56">
        <f t="shared" si="60"/>
        <v>11.396447826911533</v>
      </c>
      <c r="AE88" s="56"/>
      <c r="AF88" s="56"/>
      <c r="AG88" s="56"/>
      <c r="AH88" s="56"/>
      <c r="AI88" s="56"/>
      <c r="AJ88" s="56"/>
    </row>
    <row r="89" spans="2:36" x14ac:dyDescent="0.25">
      <c r="B89" s="56">
        <f t="shared" ref="B89" si="68">LN(B43)</f>
        <v>12.873632751087488</v>
      </c>
      <c r="C89" s="56">
        <f t="shared" si="11"/>
        <v>11.593288121454686</v>
      </c>
      <c r="D89" s="56"/>
      <c r="E89" s="56">
        <f t="shared" ref="E89" si="69">LN(E43)</f>
        <v>13.45628665389939</v>
      </c>
      <c r="F89" s="56">
        <f t="shared" si="60"/>
        <v>11.791246357985058</v>
      </c>
      <c r="G89" s="56"/>
      <c r="H89" s="56">
        <f t="shared" ref="H89" si="70">LN(H43)</f>
        <v>13.332019581993176</v>
      </c>
      <c r="I89" s="56">
        <f t="shared" si="60"/>
        <v>11.662112417288606</v>
      </c>
      <c r="J89" s="56"/>
      <c r="K89" s="56">
        <f t="shared" ref="K89" si="71">LN(K43)</f>
        <v>13.454496212426443</v>
      </c>
      <c r="L89" s="56">
        <f t="shared" si="60"/>
        <v>11.74119187202318</v>
      </c>
      <c r="M89" s="56"/>
      <c r="N89" s="56">
        <f t="shared" ref="N89" si="72">LN(N43)</f>
        <v>13.477825586277067</v>
      </c>
      <c r="O89" s="56">
        <f t="shared" si="60"/>
        <v>11.813977756360181</v>
      </c>
      <c r="P89" s="56"/>
      <c r="Q89" s="56">
        <f t="shared" ref="Q89" si="73">LN(Q43)</f>
        <v>13.469812292120126</v>
      </c>
      <c r="R89" s="56">
        <f t="shared" si="60"/>
        <v>11.743886380912317</v>
      </c>
      <c r="S89" s="56"/>
      <c r="T89" s="56">
        <f t="shared" ref="T89" si="74">LN(T43)</f>
        <v>13.367705115741456</v>
      </c>
      <c r="U89" s="56">
        <f t="shared" si="60"/>
        <v>11.676802971184586</v>
      </c>
      <c r="V89" s="56"/>
      <c r="W89" s="56">
        <f t="shared" ref="W89" si="75">LN(W43)</f>
        <v>13.287431953788305</v>
      </c>
      <c r="X89" s="56">
        <f t="shared" si="60"/>
        <v>11.906776726015721</v>
      </c>
      <c r="Y89" s="56"/>
      <c r="Z89" s="56">
        <f t="shared" ref="Z89" si="76">LN(Z43)</f>
        <v>13.033153950107467</v>
      </c>
      <c r="AA89" s="56">
        <f t="shared" si="60"/>
        <v>11.323578084779365</v>
      </c>
      <c r="AB89" s="56"/>
      <c r="AC89" s="56">
        <f t="shared" ref="AC89" si="77">LN(AC43)</f>
        <v>12.983850454679271</v>
      </c>
      <c r="AD89" s="56">
        <f t="shared" si="60"/>
        <v>11.541094953047072</v>
      </c>
      <c r="AE89" s="56"/>
      <c r="AF89" s="56"/>
      <c r="AG89" s="56"/>
      <c r="AH89" s="56"/>
      <c r="AI89" s="56"/>
      <c r="AJ89" s="56"/>
    </row>
    <row r="90" spans="2:36" x14ac:dyDescent="0.25">
      <c r="B90" s="56">
        <f t="shared" ref="B90" si="78">LN(B44)</f>
        <v>12.896744264414291</v>
      </c>
      <c r="C90" s="56">
        <f t="shared" si="11"/>
        <v>11.983254041414904</v>
      </c>
      <c r="D90" s="56"/>
      <c r="E90" s="56">
        <f t="shared" ref="E90" si="79">LN(E44)</f>
        <v>12.441662420265716</v>
      </c>
      <c r="F90" s="56">
        <f t="shared" si="60"/>
        <v>11.091157179342797</v>
      </c>
      <c r="G90" s="56"/>
      <c r="H90" s="56">
        <f t="shared" ref="H90" si="80">LN(H44)</f>
        <v>12.269329095165189</v>
      </c>
      <c r="I90" s="56">
        <f t="shared" si="60"/>
        <v>10.922760774805994</v>
      </c>
      <c r="J90" s="56"/>
      <c r="K90" s="56">
        <f t="shared" ref="K90" si="81">LN(K44)</f>
        <v>12.499477064084829</v>
      </c>
      <c r="L90" s="56">
        <f t="shared" si="60"/>
        <v>11.066533669361689</v>
      </c>
      <c r="M90" s="56"/>
      <c r="N90" s="56">
        <f t="shared" ref="N90" si="82">LN(N44)</f>
        <v>12.330720950095284</v>
      </c>
      <c r="O90" s="56">
        <f t="shared" si="60"/>
        <v>11.032295980756279</v>
      </c>
      <c r="P90" s="56"/>
      <c r="Q90" s="56">
        <f t="shared" ref="Q90" si="83">LN(Q44)</f>
        <v>12.435719007665256</v>
      </c>
      <c r="R90" s="56">
        <f t="shared" si="60"/>
        <v>11.029355021270689</v>
      </c>
      <c r="S90" s="56"/>
      <c r="T90" s="56">
        <f t="shared" ref="T90" si="84">LN(T44)</f>
        <v>12.26793884920594</v>
      </c>
      <c r="U90" s="56">
        <f t="shared" si="60"/>
        <v>10.887552814020086</v>
      </c>
      <c r="V90" s="56"/>
      <c r="W90" s="56">
        <f t="shared" ref="W90" si="85">LN(W44)</f>
        <v>12.246475352161546</v>
      </c>
      <c r="X90" s="56">
        <f t="shared" si="60"/>
        <v>11.081960993936134</v>
      </c>
      <c r="Y90" s="56"/>
      <c r="Z90" s="56">
        <f t="shared" ref="Z90" si="86">LN(Z44)</f>
        <v>11.987051834033092</v>
      </c>
      <c r="AA90" s="56">
        <f t="shared" si="60"/>
        <v>10.566062117119008</v>
      </c>
      <c r="AB90" s="56"/>
      <c r="AC90" s="56">
        <f t="shared" ref="AC90" si="87">LN(AC44)</f>
        <v>11.964478677271147</v>
      </c>
      <c r="AD90" s="56">
        <f t="shared" si="60"/>
        <v>10.749718415312358</v>
      </c>
      <c r="AE90" s="56"/>
      <c r="AF90" s="56"/>
      <c r="AG90" s="56"/>
      <c r="AH90" s="56"/>
      <c r="AI90" s="56"/>
      <c r="AJ90" s="56"/>
    </row>
    <row r="91" spans="2:36" x14ac:dyDescent="0.25"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6"/>
      <c r="P91" s="56"/>
      <c r="Q91" s="56"/>
      <c r="R91" s="56"/>
      <c r="S91" s="56"/>
      <c r="T91" s="56"/>
      <c r="U91" s="56"/>
      <c r="V91" s="56"/>
      <c r="W91" s="56"/>
      <c r="X91" s="56"/>
      <c r="Y91" s="56"/>
      <c r="Z91" s="56"/>
      <c r="AA91" s="56"/>
      <c r="AB91" s="56"/>
      <c r="AC91" s="56"/>
      <c r="AD91" s="56"/>
      <c r="AE91" s="56"/>
      <c r="AF91" s="56"/>
      <c r="AG91" s="56"/>
      <c r="AH91" s="56"/>
      <c r="AI91" s="56"/>
      <c r="AJ91" s="56"/>
    </row>
    <row r="92" spans="2:36" x14ac:dyDescent="0.25">
      <c r="B92" s="10">
        <f>STDEV(B49:B91)</f>
        <v>0.4433570470089146</v>
      </c>
      <c r="C92" s="10">
        <f>STDEV(C49:C91)</f>
        <v>0.50650082112231098</v>
      </c>
      <c r="D92" s="10"/>
      <c r="E92" s="10">
        <f t="shared" ref="E92:AD92" si="88">STDEV(E49:E91)</f>
        <v>0.42430621378648747</v>
      </c>
      <c r="F92" s="10">
        <f t="shared" si="88"/>
        <v>0.48962362845771534</v>
      </c>
      <c r="G92" s="10"/>
      <c r="H92" s="10">
        <f t="shared" si="88"/>
        <v>0.44546933251952953</v>
      </c>
      <c r="I92" s="10">
        <f t="shared" si="88"/>
        <v>0.51353295037447033</v>
      </c>
      <c r="J92" s="10"/>
      <c r="K92" s="10">
        <f t="shared" si="88"/>
        <v>0.34236717237623815</v>
      </c>
      <c r="L92" s="10">
        <f t="shared" si="88"/>
        <v>0.40006243681809184</v>
      </c>
      <c r="M92" s="10"/>
      <c r="N92" s="10">
        <f t="shared" si="88"/>
        <v>0.43916443217204071</v>
      </c>
      <c r="O92" s="10">
        <f t="shared" si="88"/>
        <v>0.50358671856757442</v>
      </c>
      <c r="P92" s="10"/>
      <c r="Q92" s="10">
        <f t="shared" si="88"/>
        <v>0.35310511902797731</v>
      </c>
      <c r="R92" s="10">
        <f t="shared" si="88"/>
        <v>0.41231951241784998</v>
      </c>
      <c r="S92" s="10"/>
      <c r="T92" s="10">
        <f t="shared" si="88"/>
        <v>0.37450879769498224</v>
      </c>
      <c r="U92" s="10">
        <f t="shared" si="88"/>
        <v>0.4324823593488743</v>
      </c>
      <c r="V92" s="10"/>
      <c r="W92" s="10">
        <f t="shared" si="88"/>
        <v>0.34204246148581396</v>
      </c>
      <c r="X92" s="10">
        <f t="shared" si="88"/>
        <v>0.38826207887988717</v>
      </c>
      <c r="Y92" s="10"/>
      <c r="Z92" s="10">
        <f t="shared" si="88"/>
        <v>0.39277351688981332</v>
      </c>
      <c r="AA92" s="10">
        <f t="shared" si="88"/>
        <v>0.45971232500751136</v>
      </c>
      <c r="AB92" s="10"/>
      <c r="AC92" s="10">
        <f t="shared" si="88"/>
        <v>0.36728272747499741</v>
      </c>
      <c r="AD92" s="10">
        <f t="shared" si="88"/>
        <v>0.42684054597315435</v>
      </c>
      <c r="AE92" s="10"/>
      <c r="AF92" s="10"/>
      <c r="AG92" s="10"/>
      <c r="AH92" s="10"/>
      <c r="AI92" s="10"/>
      <c r="AJ92" s="10"/>
    </row>
    <row r="95" spans="2:36" x14ac:dyDescent="0.25">
      <c r="C95" s="56">
        <v>0.51661613679726437</v>
      </c>
      <c r="D95" s="19"/>
      <c r="E95" s="56"/>
      <c r="F95" s="56">
        <v>0.49451647474006138</v>
      </c>
      <c r="G95" s="19"/>
      <c r="H95" s="19"/>
      <c r="I95" s="19">
        <v>0.51893204584051433</v>
      </c>
      <c r="J95" s="19"/>
      <c r="K95" s="19"/>
      <c r="L95" s="19">
        <v>0.40374770944585775</v>
      </c>
      <c r="M95" s="19"/>
      <c r="N95" s="19"/>
      <c r="O95" s="19">
        <v>0.50903574773057347</v>
      </c>
      <c r="P95" s="19"/>
      <c r="Q95" s="19"/>
      <c r="R95" s="19">
        <v>0.41590131860377799</v>
      </c>
      <c r="S95" s="19"/>
      <c r="T95" s="19"/>
      <c r="U95" s="19">
        <v>0.43653518219688003</v>
      </c>
      <c r="V95" s="19"/>
      <c r="W95" s="19"/>
      <c r="X95" s="19">
        <v>0.39138848253128183</v>
      </c>
      <c r="Y95" s="19"/>
      <c r="Z95" s="19"/>
      <c r="AA95" s="19">
        <v>0.46243313110949741</v>
      </c>
      <c r="AB95" s="19"/>
      <c r="AC95" s="19"/>
      <c r="AD95" s="19">
        <v>0.42981776369676011</v>
      </c>
    </row>
    <row r="97" spans="3:12" x14ac:dyDescent="0.25">
      <c r="C97" s="56">
        <v>0.51661613679726437</v>
      </c>
    </row>
    <row r="98" spans="3:12" x14ac:dyDescent="0.25">
      <c r="C98" s="56">
        <v>0.49451647474006138</v>
      </c>
    </row>
    <row r="99" spans="3:12" x14ac:dyDescent="0.25">
      <c r="C99" s="19">
        <v>0.51893204584051433</v>
      </c>
    </row>
    <row r="100" spans="3:12" x14ac:dyDescent="0.25">
      <c r="C100" s="19">
        <v>0.40374770944585775</v>
      </c>
    </row>
    <row r="101" spans="3:12" x14ac:dyDescent="0.25">
      <c r="C101" s="19">
        <v>0.50903574773057347</v>
      </c>
    </row>
    <row r="102" spans="3:12" x14ac:dyDescent="0.25">
      <c r="C102" s="19">
        <v>0.41590131860377799</v>
      </c>
    </row>
    <row r="103" spans="3:12" x14ac:dyDescent="0.25">
      <c r="C103" s="19">
        <v>0.43653518219688003</v>
      </c>
    </row>
    <row r="104" spans="3:12" x14ac:dyDescent="0.25">
      <c r="C104" s="19">
        <v>0.39138848253128183</v>
      </c>
    </row>
    <row r="105" spans="3:12" x14ac:dyDescent="0.25">
      <c r="C105" s="19">
        <v>0.46243313110949741</v>
      </c>
    </row>
    <row r="106" spans="3:12" x14ac:dyDescent="0.25">
      <c r="C106" s="19">
        <v>0.42981776369676011</v>
      </c>
    </row>
    <row r="109" spans="3:12" x14ac:dyDescent="0.25">
      <c r="C109" s="56">
        <v>0.51661613679726437</v>
      </c>
      <c r="D109" s="56">
        <v>0.49451647474006138</v>
      </c>
      <c r="E109" s="19">
        <v>0.51893204584051433</v>
      </c>
      <c r="F109" s="19">
        <v>0.40374770944585775</v>
      </c>
      <c r="G109" s="19">
        <v>0.50903574773057347</v>
      </c>
      <c r="H109" s="19">
        <v>0.41590131860377799</v>
      </c>
      <c r="I109" s="19">
        <v>0.43653518219688003</v>
      </c>
      <c r="J109" s="19">
        <v>0.39138848253128183</v>
      </c>
      <c r="K109" s="19">
        <v>0.46243313110949741</v>
      </c>
      <c r="L109" s="19">
        <v>0.42981776369676011</v>
      </c>
    </row>
    <row r="111" spans="3:12" x14ac:dyDescent="0.25">
      <c r="C111" s="56">
        <v>0.4433570470089146</v>
      </c>
      <c r="D111" s="19">
        <v>0.42430621378648747</v>
      </c>
      <c r="E111" s="56">
        <v>0.44546933251952953</v>
      </c>
      <c r="F111" s="56">
        <v>0.34236717237623815</v>
      </c>
      <c r="G111" s="19">
        <v>0.43916443217204071</v>
      </c>
      <c r="H111" s="19">
        <v>0.35310511902797731</v>
      </c>
      <c r="I111" s="19">
        <v>0.37450879769498224</v>
      </c>
      <c r="J111" s="19">
        <v>0.34204246148581396</v>
      </c>
      <c r="K111" s="19">
        <v>0.39277351688981332</v>
      </c>
      <c r="L111" s="19">
        <v>0.36728272747499741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Sheet1</vt:lpstr>
      <vt:lpstr>Sheet2</vt:lpstr>
      <vt:lpstr>Sheet3</vt:lpstr>
      <vt:lpstr>Sheet4</vt:lpstr>
      <vt:lpstr>Sheet11</vt:lpstr>
      <vt:lpstr>Sheet7</vt:lpstr>
      <vt:lpstr>Sheet6</vt:lpstr>
      <vt:lpstr>Sheet5</vt:lpstr>
      <vt:lpstr>Sheet12</vt:lpstr>
      <vt:lpstr>Sheet8</vt:lpstr>
      <vt:lpstr>Sheet9</vt:lpstr>
      <vt:lpstr>Sheet10</vt:lpstr>
      <vt:lpstr>Sheet12 (2)</vt:lpstr>
    </vt:vector>
  </TitlesOfParts>
  <Company>NOAA - Alaska Fisheries Science Center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Barbeaux</dc:creator>
  <cp:lastModifiedBy>Steve Barbeaux</cp:lastModifiedBy>
  <dcterms:created xsi:type="dcterms:W3CDTF">2021-05-24T22:22:53Z</dcterms:created>
  <dcterms:modified xsi:type="dcterms:W3CDTF">2021-09-27T21:03:44Z</dcterms:modified>
</cp:coreProperties>
</file>