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drawings/drawing9.xml" ContentType="application/vnd.openxmlformats-officedocument.drawingml.chartshapes+xml"/>
  <Override PartName="/xl/charts/chart16.xml" ContentType="application/vnd.openxmlformats-officedocument.drawingml.chart+xml"/>
  <Override PartName="/xl/drawings/drawing10.xml" ContentType="application/vnd.openxmlformats-officedocument.drawingml.chartshapes+xml"/>
  <Override PartName="/xl/charts/chart17.xml" ContentType="application/vnd.openxmlformats-officedocument.drawingml.chart+xml"/>
  <Override PartName="/xl/drawings/drawing11.xml" ContentType="application/vnd.openxmlformats-officedocument.drawingml.chartshapes+xml"/>
  <Override PartName="/xl/charts/chart1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ml.chartshapes+xml"/>
  <Override PartName="/xl/charts/chart24.xml" ContentType="application/vnd.openxmlformats-officedocument.drawingml.chart+xml"/>
  <Override PartName="/xl/drawings/drawing15.xml" ContentType="application/vnd.openxmlformats-officedocument.drawingml.chartshapes+xml"/>
  <Override PartName="/xl/charts/chart25.xml" ContentType="application/vnd.openxmlformats-officedocument.drawingml.chart+xml"/>
  <Override PartName="/xl/drawings/drawing16.xml" ContentType="application/vnd.openxmlformats-officedocument.drawingml.chartshapes+xml"/>
  <Override PartName="/xl/charts/chart26.xml" ContentType="application/vnd.openxmlformats-officedocument.drawingml.chart+xml"/>
  <Override PartName="/xl/drawings/drawing17.xml" ContentType="application/vnd.openxmlformats-officedocument.drawingml.chartshapes+xml"/>
  <Override PartName="/xl/charts/chart27.xml" ContentType="application/vnd.openxmlformats-officedocument.drawingml.chart+xml"/>
  <Override PartName="/xl/drawings/drawing18.xml" ContentType="application/vnd.openxmlformats-officedocument.drawingml.chartshapes+xml"/>
  <Override PartName="/xl/charts/chart28.xml" ContentType="application/vnd.openxmlformats-officedocument.drawingml.chart+xml"/>
  <Override PartName="/xl/drawings/drawing19.xml" ContentType="application/vnd.openxmlformats-officedocument.drawingml.chartshapes+xml"/>
  <Override PartName="/xl/charts/chart29.xml" ContentType="application/vnd.openxmlformats-officedocument.drawingml.chart+xml"/>
  <Override PartName="/xl/drawings/drawing20.xml" ContentType="application/vnd.openxmlformats-officedocument.drawingml.chartshapes+xml"/>
  <Override PartName="/xl/charts/chart30.xml" ContentType="application/vnd.openxmlformats-officedocument.drawingml.chart+xml"/>
  <Override PartName="/xl/theme/themeOverride3.xml" ContentType="application/vnd.openxmlformats-officedocument.themeOverrid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drawings/drawing26.xml" ContentType="application/vnd.openxmlformats-officedocument.drawingml.chartshapes+xml"/>
  <Override PartName="/xl/charts/chart40.xml" ContentType="application/vnd.openxmlformats-officedocument.drawingml.chart+xml"/>
  <Override PartName="/xl/drawings/drawing27.xml" ContentType="application/vnd.openxmlformats-officedocument.drawingml.chartshapes+xml"/>
  <Override PartName="/xl/charts/chart41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30.xml" ContentType="application/vnd.openxmlformats-officedocument.drawingml.chartshapes+xml"/>
  <Override PartName="/xl/charts/chart47.xml" ContentType="application/vnd.openxmlformats-officedocument.drawingml.chart+xml"/>
  <Override PartName="/xl/drawings/drawing31.xml" ContentType="application/vnd.openxmlformats-officedocument.drawingml.chartshapes+xml"/>
  <Override PartName="/xl/charts/chart48.xml" ContentType="application/vnd.openxmlformats-officedocument.drawingml.chart+xml"/>
  <Override PartName="/xl/drawings/drawing32.xml" ContentType="application/vnd.openxmlformats-officedocument.drawingml.chartshapes+xml"/>
  <Override PartName="/xl/charts/chart49.xml" ContentType="application/vnd.openxmlformats-officedocument.drawingml.chart+xml"/>
  <Override PartName="/xl/drawings/drawing33.xml" ContentType="application/vnd.openxmlformats-officedocument.drawingml.chartshapes+xml"/>
  <Override PartName="/xl/charts/chart50.xml" ContentType="application/vnd.openxmlformats-officedocument.drawingml.chart+xml"/>
  <Override PartName="/xl/drawings/drawing34.xml" ContentType="application/vnd.openxmlformats-officedocument.drawingml.chartshapes+xml"/>
  <Override PartName="/xl/charts/chart51.xml" ContentType="application/vnd.openxmlformats-officedocument.drawingml.chart+xml"/>
  <Override PartName="/xl/drawings/drawing35.xml" ContentType="application/vnd.openxmlformats-officedocument.drawingml.chartshapes+xml"/>
  <Override PartName="/xl/charts/chart52.xml" ContentType="application/vnd.openxmlformats-officedocument.drawingml.chart+xml"/>
  <Override PartName="/xl/drawings/drawing36.xml" ContentType="application/vnd.openxmlformats-officedocument.drawingml.chartshapes+xml"/>
  <Override PartName="/xl/charts/chart53.xml" ContentType="application/vnd.openxmlformats-officedocument.drawingml.chart+xml"/>
  <Override PartName="/xl/theme/themeOverride4.xml" ContentType="application/vnd.openxmlformats-officedocument.themeOverride+xml"/>
  <Override PartName="/xl/charts/chart54.xml" ContentType="application/vnd.openxmlformats-officedocument.drawingml.chart+xml"/>
  <Override PartName="/xl/theme/themeOverride5.xml" ContentType="application/vnd.openxmlformats-officedocument.themeOverride+xml"/>
  <Override PartName="/xl/charts/chart55.xml" ContentType="application/vnd.openxmlformats-officedocument.drawingml.chart+xml"/>
  <Override PartName="/xl/theme/themeOverride6.xml" ContentType="application/vnd.openxmlformats-officedocument.themeOverride+xml"/>
  <Override PartName="/xl/drawings/drawing37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8.xml" ContentType="application/vnd.openxmlformats-officedocument.drawingml.chartshapes+xml"/>
  <Override PartName="/xl/charts/chart61.xml" ContentType="application/vnd.openxmlformats-officedocument.drawingml.chart+xml"/>
  <Override PartName="/xl/drawings/drawing39.xml" ContentType="application/vnd.openxmlformats-officedocument.drawingml.chartshapes+xml"/>
  <Override PartName="/xl/charts/chart62.xml" ContentType="application/vnd.openxmlformats-officedocument.drawingml.chart+xml"/>
  <Override PartName="/xl/drawings/drawing40.xml" ContentType="application/vnd.openxmlformats-officedocument.drawingml.chartshapes+xml"/>
  <Override PartName="/xl/charts/chart63.xml" ContentType="application/vnd.openxmlformats-officedocument.drawingml.chart+xml"/>
  <Override PartName="/xl/drawings/drawing41.xml" ContentType="application/vnd.openxmlformats-officedocument.drawingml.chartshapes+xml"/>
  <Override PartName="/xl/charts/chart64.xml" ContentType="application/vnd.openxmlformats-officedocument.drawingml.chart+xml"/>
  <Override PartName="/xl/drawings/drawing42.xml" ContentType="application/vnd.openxmlformats-officedocument.drawingml.chartshapes+xml"/>
  <Override PartName="/xl/charts/chart65.xml" ContentType="application/vnd.openxmlformats-officedocument.drawingml.chart+xml"/>
  <Override PartName="/xl/drawings/drawing43.xml" ContentType="application/vnd.openxmlformats-officedocument.drawingml.chartshapes+xml"/>
  <Override PartName="/xl/charts/chart66.xml" ContentType="application/vnd.openxmlformats-officedocument.drawingml.chart+xml"/>
  <Override PartName="/xl/drawings/drawing44.xml" ContentType="application/vnd.openxmlformats-officedocument.drawingml.chartshapes+xml"/>
  <Override PartName="/xl/charts/chart67.xml" ContentType="application/vnd.openxmlformats-officedocument.drawingml.chart+xml"/>
  <Override PartName="/xl/theme/themeOverride7.xml" ContentType="application/vnd.openxmlformats-officedocument.themeOverride+xml"/>
  <Override PartName="/xl/charts/chart68.xml" ContentType="application/vnd.openxmlformats-officedocument.drawingml.chart+xml"/>
  <Override PartName="/xl/theme/themeOverride8.xml" ContentType="application/vnd.openxmlformats-officedocument.themeOverride+xml"/>
  <Override PartName="/xl/drawings/drawing4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46.xml" ContentType="application/vnd.openxmlformats-officedocument.drawingml.chartshapes+xml"/>
  <Override PartName="/xl/charts/chart74.xml" ContentType="application/vnd.openxmlformats-officedocument.drawingml.chart+xml"/>
  <Override PartName="/xl/drawings/drawing47.xml" ContentType="application/vnd.openxmlformats-officedocument.drawingml.chartshapes+xml"/>
  <Override PartName="/xl/charts/chart75.xml" ContentType="application/vnd.openxmlformats-officedocument.drawingml.chart+xml"/>
  <Override PartName="/xl/drawings/drawing48.xml" ContentType="application/vnd.openxmlformats-officedocument.drawingml.chartshapes+xml"/>
  <Override PartName="/xl/charts/chart76.xml" ContentType="application/vnd.openxmlformats-officedocument.drawingml.chart+xml"/>
  <Override PartName="/xl/drawings/drawing49.xml" ContentType="application/vnd.openxmlformats-officedocument.drawingml.chartshapes+xml"/>
  <Override PartName="/xl/charts/chart77.xml" ContentType="application/vnd.openxmlformats-officedocument.drawingml.chart+xml"/>
  <Override PartName="/xl/drawings/drawing50.xml" ContentType="application/vnd.openxmlformats-officedocument.drawingml.chartshapes+xml"/>
  <Override PartName="/xl/charts/chart78.xml" ContentType="application/vnd.openxmlformats-officedocument.drawingml.chart+xml"/>
  <Override PartName="/xl/drawings/drawing51.xml" ContentType="application/vnd.openxmlformats-officedocument.drawingml.chartshapes+xml"/>
  <Override PartName="/xl/charts/chart79.xml" ContentType="application/vnd.openxmlformats-officedocument.drawingml.chart+xml"/>
  <Override PartName="/xl/drawings/drawing52.xml" ContentType="application/vnd.openxmlformats-officedocument.drawingml.chartshapes+xml"/>
  <Override PartName="/xl/charts/chart80.xml" ContentType="application/vnd.openxmlformats-officedocument.drawingml.chart+xml"/>
  <Override PartName="/xl/theme/themeOverride9.xml" ContentType="application/vnd.openxmlformats-officedocument.themeOverride+xml"/>
  <Override PartName="/xl/charts/chart81.xml" ContentType="application/vnd.openxmlformats-officedocument.drawingml.chart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hidePivotFieldList="1"/>
  <xr:revisionPtr revIDLastSave="543" documentId="11_FFE45E5FA1DDE94C9C8170A74C3EB06C9213F02A" xr6:coauthVersionLast="47" xr6:coauthVersionMax="47" xr10:uidLastSave="{4C529E66-C306-4F94-9F0D-20C74150F0F9}"/>
  <bookViews>
    <workbookView xWindow="-120" yWindow="-120" windowWidth="29040" windowHeight="15720" tabRatio="897" firstSheet="5" activeTab="8" xr2:uid="{00000000-000D-0000-FFFF-FFFF00000000}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Tabelas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hidden="1">#REF!</definedName>
    <definedName name="_FilterDatabase_o">#REF!</definedName>
    <definedName name="_FilterDatabase1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#N/A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_xlnm.Print_Area">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_xlnm.Recorder">#REF!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" i="24" l="1"/>
  <c r="F4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HS99" i="5"/>
  <c r="HO99" i="5"/>
  <c r="HK99" i="5"/>
  <c r="HG99" i="5"/>
  <c r="HC99" i="5"/>
  <c r="GY99" i="5"/>
  <c r="B16" i="10"/>
  <c r="E32" i="24"/>
  <c r="IY104" i="5"/>
  <c r="IY99" i="5"/>
  <c r="IZ98" i="5"/>
  <c r="IZ97" i="5"/>
  <c r="IZ96" i="5"/>
  <c r="IZ95" i="5"/>
  <c r="IZ94" i="5"/>
  <c r="IZ93" i="5"/>
  <c r="IZ92" i="5"/>
  <c r="IZ91" i="5"/>
  <c r="IZ90" i="5"/>
  <c r="IZ89" i="5"/>
  <c r="IZ88" i="5"/>
  <c r="IZ87" i="5"/>
  <c r="IZ86" i="5"/>
  <c r="IZ85" i="5"/>
  <c r="IZ84" i="5"/>
  <c r="IZ83" i="5"/>
  <c r="IZ82" i="5"/>
  <c r="IZ81" i="5"/>
  <c r="IZ80" i="5"/>
  <c r="IZ79" i="5"/>
  <c r="IZ78" i="5"/>
  <c r="IZ77" i="5"/>
  <c r="IZ76" i="5"/>
  <c r="IZ75" i="5"/>
  <c r="IZ74" i="5"/>
  <c r="IZ73" i="5"/>
  <c r="IZ72" i="5"/>
  <c r="IZ71" i="5"/>
  <c r="IZ70" i="5"/>
  <c r="IZ69" i="5"/>
  <c r="IZ68" i="5"/>
  <c r="IZ67" i="5"/>
  <c r="IZ66" i="5"/>
  <c r="IZ65" i="5"/>
  <c r="IZ64" i="5"/>
  <c r="IZ63" i="5"/>
  <c r="IZ62" i="5"/>
  <c r="IZ61" i="5"/>
  <c r="IZ60" i="5"/>
  <c r="IZ59" i="5"/>
  <c r="IZ58" i="5"/>
  <c r="IZ57" i="5"/>
  <c r="IZ56" i="5"/>
  <c r="IZ55" i="5"/>
  <c r="IZ54" i="5"/>
  <c r="IZ53" i="5"/>
  <c r="IZ52" i="5"/>
  <c r="IZ51" i="5"/>
  <c r="IZ50" i="5"/>
  <c r="IZ49" i="5"/>
  <c r="IZ48" i="5"/>
  <c r="IZ47" i="5"/>
  <c r="IZ46" i="5"/>
  <c r="IZ45" i="5"/>
  <c r="IZ44" i="5"/>
  <c r="IZ43" i="5"/>
  <c r="IZ42" i="5"/>
  <c r="IZ41" i="5"/>
  <c r="IZ40" i="5"/>
  <c r="IZ39" i="5"/>
  <c r="IZ38" i="5"/>
  <c r="IZ37" i="5"/>
  <c r="IZ36" i="5"/>
  <c r="IZ35" i="5"/>
  <c r="IZ34" i="5"/>
  <c r="IZ33" i="5"/>
  <c r="IZ32" i="5"/>
  <c r="IZ31" i="5"/>
  <c r="IZ30" i="5"/>
  <c r="IZ29" i="5"/>
  <c r="IZ28" i="5"/>
  <c r="IZ27" i="5"/>
  <c r="IZ26" i="5"/>
  <c r="IZ25" i="5"/>
  <c r="IZ24" i="5"/>
  <c r="IZ23" i="5"/>
  <c r="IZ22" i="5"/>
  <c r="IZ21" i="5"/>
  <c r="IZ20" i="5"/>
  <c r="IZ19" i="5"/>
  <c r="IZ18" i="5"/>
  <c r="IZ17" i="5"/>
  <c r="IZ16" i="5"/>
  <c r="IZ15" i="5"/>
  <c r="IZ14" i="5"/>
  <c r="IZ13" i="5"/>
  <c r="IZ12" i="5"/>
  <c r="IZ11" i="5"/>
  <c r="IZ10" i="5"/>
  <c r="IZ9" i="5"/>
  <c r="IZ8" i="5"/>
  <c r="IZ7" i="5"/>
  <c r="IZ6" i="5"/>
  <c r="IZ5" i="5"/>
  <c r="IZ4" i="5"/>
  <c r="IZ3" i="5"/>
  <c r="IZ99" i="5" s="1"/>
  <c r="IU99" i="5"/>
  <c r="IU104" i="5"/>
  <c r="IV98" i="5"/>
  <c r="IV97" i="5"/>
  <c r="IV96" i="5"/>
  <c r="IV95" i="5"/>
  <c r="IV94" i="5"/>
  <c r="IV93" i="5"/>
  <c r="IV92" i="5"/>
  <c r="IV91" i="5"/>
  <c r="IV90" i="5"/>
  <c r="IV89" i="5"/>
  <c r="IV88" i="5"/>
  <c r="IV87" i="5"/>
  <c r="IV86" i="5"/>
  <c r="IV85" i="5"/>
  <c r="IV84" i="5"/>
  <c r="IV83" i="5"/>
  <c r="IV82" i="5"/>
  <c r="IV81" i="5"/>
  <c r="IV80" i="5"/>
  <c r="IV79" i="5"/>
  <c r="IV78" i="5"/>
  <c r="IV77" i="5"/>
  <c r="IV76" i="5"/>
  <c r="IV75" i="5"/>
  <c r="IV74" i="5"/>
  <c r="IV73" i="5"/>
  <c r="IV72" i="5"/>
  <c r="IV71" i="5"/>
  <c r="IV70" i="5"/>
  <c r="IV69" i="5"/>
  <c r="IV68" i="5"/>
  <c r="IV67" i="5"/>
  <c r="IV66" i="5"/>
  <c r="IV65" i="5"/>
  <c r="IV64" i="5"/>
  <c r="IV63" i="5"/>
  <c r="IV62" i="5"/>
  <c r="IV61" i="5"/>
  <c r="IV60" i="5"/>
  <c r="IV59" i="5"/>
  <c r="IV58" i="5"/>
  <c r="IV57" i="5"/>
  <c r="IV56" i="5"/>
  <c r="IV55" i="5"/>
  <c r="IV54" i="5"/>
  <c r="IV53" i="5"/>
  <c r="IV52" i="5"/>
  <c r="IV51" i="5"/>
  <c r="IV50" i="5"/>
  <c r="IV49" i="5"/>
  <c r="IV48" i="5"/>
  <c r="IV47" i="5"/>
  <c r="IV46" i="5"/>
  <c r="IV45" i="5"/>
  <c r="IV44" i="5"/>
  <c r="IV43" i="5"/>
  <c r="IV42" i="5"/>
  <c r="IV41" i="5"/>
  <c r="IV40" i="5"/>
  <c r="IV39" i="5"/>
  <c r="IV38" i="5"/>
  <c r="IV37" i="5"/>
  <c r="IV36" i="5"/>
  <c r="IV35" i="5"/>
  <c r="IV34" i="5"/>
  <c r="IV33" i="5"/>
  <c r="IV32" i="5"/>
  <c r="IV31" i="5"/>
  <c r="IV30" i="5"/>
  <c r="IV29" i="5"/>
  <c r="IV28" i="5"/>
  <c r="IV27" i="5"/>
  <c r="IV26" i="5"/>
  <c r="IV25" i="5"/>
  <c r="IV24" i="5"/>
  <c r="IV23" i="5"/>
  <c r="IV22" i="5"/>
  <c r="IV21" i="5"/>
  <c r="IV20" i="5"/>
  <c r="IV19" i="5"/>
  <c r="IV18" i="5"/>
  <c r="IV17" i="5"/>
  <c r="IV16" i="5"/>
  <c r="IV15" i="5"/>
  <c r="IV14" i="5"/>
  <c r="IV13" i="5"/>
  <c r="IV12" i="5"/>
  <c r="IV11" i="5"/>
  <c r="IV10" i="5"/>
  <c r="IV9" i="5"/>
  <c r="IV8" i="5"/>
  <c r="IV7" i="5"/>
  <c r="IV6" i="5"/>
  <c r="IV5" i="5"/>
  <c r="IV4" i="5"/>
  <c r="IV3" i="5"/>
  <c r="IV99" i="5" s="1"/>
  <c r="IQ104" i="5"/>
  <c r="IQ99" i="5"/>
  <c r="IR98" i="5"/>
  <c r="IR97" i="5"/>
  <c r="IR96" i="5"/>
  <c r="IR95" i="5"/>
  <c r="IR94" i="5"/>
  <c r="IR93" i="5"/>
  <c r="IR92" i="5"/>
  <c r="IR91" i="5"/>
  <c r="IR90" i="5"/>
  <c r="IR89" i="5"/>
  <c r="IR88" i="5"/>
  <c r="IR87" i="5"/>
  <c r="IR86" i="5"/>
  <c r="IR85" i="5"/>
  <c r="IR84" i="5"/>
  <c r="IR83" i="5"/>
  <c r="IR82" i="5"/>
  <c r="IR81" i="5"/>
  <c r="IR80" i="5"/>
  <c r="IR79" i="5"/>
  <c r="IR78" i="5"/>
  <c r="IR77" i="5"/>
  <c r="IR76" i="5"/>
  <c r="IR75" i="5"/>
  <c r="IR74" i="5"/>
  <c r="IR73" i="5"/>
  <c r="IR72" i="5"/>
  <c r="IR71" i="5"/>
  <c r="IR70" i="5"/>
  <c r="IR69" i="5"/>
  <c r="IR68" i="5"/>
  <c r="IR67" i="5"/>
  <c r="IR66" i="5"/>
  <c r="IR65" i="5"/>
  <c r="IR64" i="5"/>
  <c r="IR63" i="5"/>
  <c r="IR62" i="5"/>
  <c r="IR61" i="5"/>
  <c r="IR60" i="5"/>
  <c r="IR59" i="5"/>
  <c r="IR58" i="5"/>
  <c r="IR57" i="5"/>
  <c r="IR56" i="5"/>
  <c r="IR55" i="5"/>
  <c r="IR54" i="5"/>
  <c r="IR53" i="5"/>
  <c r="IR52" i="5"/>
  <c r="IR51" i="5"/>
  <c r="IR50" i="5"/>
  <c r="IR49" i="5"/>
  <c r="IR48" i="5"/>
  <c r="IR47" i="5"/>
  <c r="IR46" i="5"/>
  <c r="IR45" i="5"/>
  <c r="IR44" i="5"/>
  <c r="IR43" i="5"/>
  <c r="IR42" i="5"/>
  <c r="IR41" i="5"/>
  <c r="IR40" i="5"/>
  <c r="IR39" i="5"/>
  <c r="IR38" i="5"/>
  <c r="IR37" i="5"/>
  <c r="IR36" i="5"/>
  <c r="IR35" i="5"/>
  <c r="IR34" i="5"/>
  <c r="IR33" i="5"/>
  <c r="IR32" i="5"/>
  <c r="IR31" i="5"/>
  <c r="IR30" i="5"/>
  <c r="IR29" i="5"/>
  <c r="IR28" i="5"/>
  <c r="IR27" i="5"/>
  <c r="IR26" i="5"/>
  <c r="IR25" i="5"/>
  <c r="IR24" i="5"/>
  <c r="IR23" i="5"/>
  <c r="IR22" i="5"/>
  <c r="IR21" i="5"/>
  <c r="IR20" i="5"/>
  <c r="IR19" i="5"/>
  <c r="IR18" i="5"/>
  <c r="IR17" i="5"/>
  <c r="IR16" i="5"/>
  <c r="IR15" i="5"/>
  <c r="IR14" i="5"/>
  <c r="IR13" i="5"/>
  <c r="IR12" i="5"/>
  <c r="IR11" i="5"/>
  <c r="IR10" i="5"/>
  <c r="IR9" i="5"/>
  <c r="IR8" i="5"/>
  <c r="IR7" i="5"/>
  <c r="IR6" i="5"/>
  <c r="IR5" i="5"/>
  <c r="IR4" i="5"/>
  <c r="IR3" i="5"/>
  <c r="IR99" i="5" s="1"/>
  <c r="IM104" i="5"/>
  <c r="IM99" i="5"/>
  <c r="IN98" i="5"/>
  <c r="IN97" i="5"/>
  <c r="IN96" i="5"/>
  <c r="IN95" i="5"/>
  <c r="IN94" i="5"/>
  <c r="IN93" i="5"/>
  <c r="IN92" i="5"/>
  <c r="IN91" i="5"/>
  <c r="IN90" i="5"/>
  <c r="IN89" i="5"/>
  <c r="IN88" i="5"/>
  <c r="IN87" i="5"/>
  <c r="IN86" i="5"/>
  <c r="IN85" i="5"/>
  <c r="IN84" i="5"/>
  <c r="IN83" i="5"/>
  <c r="IN82" i="5"/>
  <c r="IN81" i="5"/>
  <c r="IN80" i="5"/>
  <c r="IN79" i="5"/>
  <c r="IN78" i="5"/>
  <c r="IN77" i="5"/>
  <c r="IN76" i="5"/>
  <c r="IN75" i="5"/>
  <c r="IN74" i="5"/>
  <c r="IN73" i="5"/>
  <c r="IN72" i="5"/>
  <c r="IN71" i="5"/>
  <c r="IN70" i="5"/>
  <c r="IN69" i="5"/>
  <c r="IN68" i="5"/>
  <c r="IN67" i="5"/>
  <c r="IN66" i="5"/>
  <c r="IN65" i="5"/>
  <c r="IN64" i="5"/>
  <c r="IN63" i="5"/>
  <c r="IN62" i="5"/>
  <c r="IN61" i="5"/>
  <c r="IN60" i="5"/>
  <c r="IN59" i="5"/>
  <c r="IN58" i="5"/>
  <c r="IN57" i="5"/>
  <c r="IN56" i="5"/>
  <c r="IN55" i="5"/>
  <c r="IN54" i="5"/>
  <c r="IN53" i="5"/>
  <c r="IN52" i="5"/>
  <c r="IN51" i="5"/>
  <c r="IN50" i="5"/>
  <c r="IN49" i="5"/>
  <c r="IN48" i="5"/>
  <c r="IN47" i="5"/>
  <c r="IN46" i="5"/>
  <c r="IN45" i="5"/>
  <c r="IN44" i="5"/>
  <c r="IN43" i="5"/>
  <c r="IN42" i="5"/>
  <c r="IN41" i="5"/>
  <c r="IN40" i="5"/>
  <c r="IN39" i="5"/>
  <c r="IN38" i="5"/>
  <c r="IN37" i="5"/>
  <c r="IN36" i="5"/>
  <c r="IN35" i="5"/>
  <c r="IN34" i="5"/>
  <c r="IN33" i="5"/>
  <c r="IN32" i="5"/>
  <c r="IN31" i="5"/>
  <c r="IN30" i="5"/>
  <c r="IN29" i="5"/>
  <c r="IN28" i="5"/>
  <c r="IN27" i="5"/>
  <c r="IN26" i="5"/>
  <c r="IN25" i="5"/>
  <c r="IN24" i="5"/>
  <c r="IN23" i="5"/>
  <c r="IN22" i="5"/>
  <c r="IN21" i="5"/>
  <c r="IN20" i="5"/>
  <c r="IN19" i="5"/>
  <c r="IN18" i="5"/>
  <c r="IN17" i="5"/>
  <c r="IN16" i="5"/>
  <c r="IN15" i="5"/>
  <c r="IN14" i="5"/>
  <c r="IN13" i="5"/>
  <c r="IN12" i="5"/>
  <c r="IN11" i="5"/>
  <c r="IN10" i="5"/>
  <c r="IN9" i="5"/>
  <c r="IN8" i="5"/>
  <c r="IN7" i="5"/>
  <c r="IN6" i="5"/>
  <c r="IN5" i="5"/>
  <c r="IN4" i="5"/>
  <c r="IN3" i="5"/>
  <c r="IN99" i="5" s="1"/>
  <c r="II104" i="5"/>
  <c r="II99" i="5"/>
  <c r="IJ98" i="5"/>
  <c r="IJ97" i="5"/>
  <c r="IJ96" i="5"/>
  <c r="IJ95" i="5"/>
  <c r="IJ94" i="5"/>
  <c r="IJ93" i="5"/>
  <c r="IJ92" i="5"/>
  <c r="IJ91" i="5"/>
  <c r="IJ90" i="5"/>
  <c r="IJ89" i="5"/>
  <c r="IJ88" i="5"/>
  <c r="IJ87" i="5"/>
  <c r="IJ86" i="5"/>
  <c r="IJ85" i="5"/>
  <c r="IJ84" i="5"/>
  <c r="IJ83" i="5"/>
  <c r="IJ82" i="5"/>
  <c r="IJ81" i="5"/>
  <c r="IJ80" i="5"/>
  <c r="IJ79" i="5"/>
  <c r="IJ78" i="5"/>
  <c r="IJ77" i="5"/>
  <c r="IJ76" i="5"/>
  <c r="IJ75" i="5"/>
  <c r="IJ74" i="5"/>
  <c r="IJ73" i="5"/>
  <c r="IJ72" i="5"/>
  <c r="IJ71" i="5"/>
  <c r="IJ70" i="5"/>
  <c r="IJ69" i="5"/>
  <c r="IJ68" i="5"/>
  <c r="IJ67" i="5"/>
  <c r="IJ66" i="5"/>
  <c r="IJ65" i="5"/>
  <c r="IJ64" i="5"/>
  <c r="IJ63" i="5"/>
  <c r="IJ62" i="5"/>
  <c r="IJ61" i="5"/>
  <c r="IJ60" i="5"/>
  <c r="IJ59" i="5"/>
  <c r="IJ58" i="5"/>
  <c r="IJ57" i="5"/>
  <c r="IJ56" i="5"/>
  <c r="IJ55" i="5"/>
  <c r="IJ54" i="5"/>
  <c r="IJ53" i="5"/>
  <c r="IJ52" i="5"/>
  <c r="IJ51" i="5"/>
  <c r="IJ50" i="5"/>
  <c r="IJ49" i="5"/>
  <c r="IJ48" i="5"/>
  <c r="IJ47" i="5"/>
  <c r="IJ46" i="5"/>
  <c r="IJ45" i="5"/>
  <c r="IJ44" i="5"/>
  <c r="IJ43" i="5"/>
  <c r="IJ42" i="5"/>
  <c r="IJ41" i="5"/>
  <c r="IJ40" i="5"/>
  <c r="IJ39" i="5"/>
  <c r="IJ38" i="5"/>
  <c r="IJ37" i="5"/>
  <c r="IJ36" i="5"/>
  <c r="IJ35" i="5"/>
  <c r="IJ34" i="5"/>
  <c r="IJ33" i="5"/>
  <c r="IJ32" i="5"/>
  <c r="IJ31" i="5"/>
  <c r="IJ30" i="5"/>
  <c r="IJ29" i="5"/>
  <c r="IJ28" i="5"/>
  <c r="IJ27" i="5"/>
  <c r="IJ26" i="5"/>
  <c r="IJ25" i="5"/>
  <c r="IJ24" i="5"/>
  <c r="IJ23" i="5"/>
  <c r="IJ22" i="5"/>
  <c r="IJ21" i="5"/>
  <c r="IJ20" i="5"/>
  <c r="IJ19" i="5"/>
  <c r="IJ18" i="5"/>
  <c r="IJ17" i="5"/>
  <c r="IJ16" i="5"/>
  <c r="IJ15" i="5"/>
  <c r="IJ14" i="5"/>
  <c r="IJ13" i="5"/>
  <c r="IJ12" i="5"/>
  <c r="IJ11" i="5"/>
  <c r="IJ10" i="5"/>
  <c r="IJ9" i="5"/>
  <c r="IJ8" i="5"/>
  <c r="IJ7" i="5"/>
  <c r="IJ6" i="5"/>
  <c r="IJ5" i="5"/>
  <c r="IJ4" i="5"/>
  <c r="IJ3" i="5"/>
  <c r="IJ99" i="5" s="1"/>
  <c r="IE104" i="5"/>
  <c r="IE99" i="5"/>
  <c r="IF98" i="5"/>
  <c r="IF97" i="5"/>
  <c r="IF96" i="5"/>
  <c r="IF95" i="5"/>
  <c r="IF94" i="5"/>
  <c r="IF93" i="5"/>
  <c r="IF92" i="5"/>
  <c r="IF91" i="5"/>
  <c r="IF90" i="5"/>
  <c r="IF89" i="5"/>
  <c r="IF88" i="5"/>
  <c r="IF87" i="5"/>
  <c r="IF86" i="5"/>
  <c r="IF85" i="5"/>
  <c r="IF84" i="5"/>
  <c r="IF83" i="5"/>
  <c r="IF82" i="5"/>
  <c r="IF81" i="5"/>
  <c r="IF80" i="5"/>
  <c r="IF79" i="5"/>
  <c r="IF78" i="5"/>
  <c r="IF77" i="5"/>
  <c r="IF76" i="5"/>
  <c r="IF75" i="5"/>
  <c r="IF74" i="5"/>
  <c r="IF73" i="5"/>
  <c r="IF72" i="5"/>
  <c r="IF71" i="5"/>
  <c r="IF70" i="5"/>
  <c r="IF69" i="5"/>
  <c r="IF68" i="5"/>
  <c r="IF67" i="5"/>
  <c r="IF66" i="5"/>
  <c r="IF65" i="5"/>
  <c r="IF64" i="5"/>
  <c r="IF63" i="5"/>
  <c r="IF62" i="5"/>
  <c r="IF61" i="5"/>
  <c r="IF60" i="5"/>
  <c r="IF59" i="5"/>
  <c r="IF58" i="5"/>
  <c r="IF57" i="5"/>
  <c r="IF56" i="5"/>
  <c r="IF55" i="5"/>
  <c r="IF54" i="5"/>
  <c r="IF53" i="5"/>
  <c r="IF52" i="5"/>
  <c r="IF51" i="5"/>
  <c r="IF50" i="5"/>
  <c r="IF49" i="5"/>
  <c r="IF48" i="5"/>
  <c r="IF47" i="5"/>
  <c r="IF46" i="5"/>
  <c r="IF45" i="5"/>
  <c r="IF44" i="5"/>
  <c r="IF43" i="5"/>
  <c r="IF42" i="5"/>
  <c r="IF41" i="5"/>
  <c r="IF40" i="5"/>
  <c r="IF39" i="5"/>
  <c r="IF38" i="5"/>
  <c r="IF37" i="5"/>
  <c r="IF36" i="5"/>
  <c r="IF35" i="5"/>
  <c r="IF34" i="5"/>
  <c r="IF33" i="5"/>
  <c r="IF32" i="5"/>
  <c r="IF31" i="5"/>
  <c r="IF30" i="5"/>
  <c r="IF29" i="5"/>
  <c r="IF28" i="5"/>
  <c r="IF27" i="5"/>
  <c r="IF26" i="5"/>
  <c r="IF25" i="5"/>
  <c r="IF24" i="5"/>
  <c r="IF23" i="5"/>
  <c r="IF22" i="5"/>
  <c r="IF21" i="5"/>
  <c r="IF20" i="5"/>
  <c r="IF19" i="5"/>
  <c r="IF18" i="5"/>
  <c r="IF17" i="5"/>
  <c r="IF16" i="5"/>
  <c r="IF15" i="5"/>
  <c r="IF14" i="5"/>
  <c r="IF13" i="5"/>
  <c r="IF12" i="5"/>
  <c r="IF11" i="5"/>
  <c r="IF10" i="5"/>
  <c r="IF9" i="5"/>
  <c r="IF8" i="5"/>
  <c r="IF7" i="5"/>
  <c r="IF6" i="5"/>
  <c r="IF5" i="5"/>
  <c r="IF4" i="5"/>
  <c r="IF3" i="5"/>
  <c r="IF99" i="5" s="1"/>
  <c r="IA104" i="5"/>
  <c r="IA99" i="5"/>
  <c r="IB98" i="5"/>
  <c r="IB97" i="5"/>
  <c r="IB96" i="5"/>
  <c r="IB95" i="5"/>
  <c r="IB94" i="5"/>
  <c r="IB93" i="5"/>
  <c r="IB92" i="5"/>
  <c r="IB91" i="5"/>
  <c r="IB90" i="5"/>
  <c r="IB89" i="5"/>
  <c r="IB88" i="5"/>
  <c r="IB87" i="5"/>
  <c r="IB86" i="5"/>
  <c r="IB85" i="5"/>
  <c r="IB84" i="5"/>
  <c r="IB83" i="5"/>
  <c r="IB82" i="5"/>
  <c r="IB81" i="5"/>
  <c r="IB80" i="5"/>
  <c r="IB79" i="5"/>
  <c r="IB78" i="5"/>
  <c r="IB77" i="5"/>
  <c r="IB76" i="5"/>
  <c r="IB75" i="5"/>
  <c r="IB74" i="5"/>
  <c r="IB73" i="5"/>
  <c r="IB72" i="5"/>
  <c r="IB71" i="5"/>
  <c r="IB70" i="5"/>
  <c r="IB69" i="5"/>
  <c r="IB68" i="5"/>
  <c r="IB67" i="5"/>
  <c r="IB66" i="5"/>
  <c r="IB65" i="5"/>
  <c r="IB64" i="5"/>
  <c r="IB63" i="5"/>
  <c r="IB62" i="5"/>
  <c r="IB61" i="5"/>
  <c r="IB60" i="5"/>
  <c r="IB59" i="5"/>
  <c r="IB58" i="5"/>
  <c r="IB57" i="5"/>
  <c r="IB56" i="5"/>
  <c r="IB55" i="5"/>
  <c r="IB54" i="5"/>
  <c r="IB53" i="5"/>
  <c r="IB52" i="5"/>
  <c r="IB51" i="5"/>
  <c r="IB50" i="5"/>
  <c r="IB49" i="5"/>
  <c r="IB48" i="5"/>
  <c r="IB47" i="5"/>
  <c r="IB46" i="5"/>
  <c r="IB45" i="5"/>
  <c r="IB44" i="5"/>
  <c r="IB43" i="5"/>
  <c r="IB42" i="5"/>
  <c r="IB41" i="5"/>
  <c r="IB40" i="5"/>
  <c r="IB39" i="5"/>
  <c r="IB38" i="5"/>
  <c r="IB37" i="5"/>
  <c r="IB36" i="5"/>
  <c r="IB35" i="5"/>
  <c r="IB34" i="5"/>
  <c r="IB33" i="5"/>
  <c r="IB32" i="5"/>
  <c r="IB31" i="5"/>
  <c r="IB30" i="5"/>
  <c r="IB29" i="5"/>
  <c r="IB28" i="5"/>
  <c r="IB27" i="5"/>
  <c r="IB26" i="5"/>
  <c r="IB25" i="5"/>
  <c r="IB24" i="5"/>
  <c r="IB23" i="5"/>
  <c r="IB22" i="5"/>
  <c r="IB21" i="5"/>
  <c r="IB20" i="5"/>
  <c r="IB19" i="5"/>
  <c r="IB18" i="5"/>
  <c r="IB17" i="5"/>
  <c r="IB16" i="5"/>
  <c r="IB15" i="5"/>
  <c r="IB14" i="5"/>
  <c r="IB13" i="5"/>
  <c r="IB12" i="5"/>
  <c r="IB11" i="5"/>
  <c r="IB10" i="5"/>
  <c r="IB9" i="5"/>
  <c r="IB8" i="5"/>
  <c r="IB7" i="5"/>
  <c r="IB6" i="5"/>
  <c r="IB5" i="5"/>
  <c r="IB4" i="5"/>
  <c r="IB3" i="5"/>
  <c r="IB99" i="5" s="1"/>
  <c r="HW99" i="5"/>
  <c r="HW104" i="5"/>
  <c r="HX98" i="5"/>
  <c r="HX97" i="5"/>
  <c r="HX96" i="5"/>
  <c r="HX95" i="5"/>
  <c r="HX94" i="5"/>
  <c r="HX93" i="5"/>
  <c r="HX92" i="5"/>
  <c r="HX91" i="5"/>
  <c r="HX90" i="5"/>
  <c r="HX89" i="5"/>
  <c r="HX88" i="5"/>
  <c r="HX87" i="5"/>
  <c r="HX86" i="5"/>
  <c r="HX85" i="5"/>
  <c r="HX84" i="5"/>
  <c r="HX83" i="5"/>
  <c r="HX82" i="5"/>
  <c r="HX81" i="5"/>
  <c r="HX80" i="5"/>
  <c r="HX79" i="5"/>
  <c r="HX78" i="5"/>
  <c r="HX77" i="5"/>
  <c r="HX76" i="5"/>
  <c r="HX75" i="5"/>
  <c r="HX74" i="5"/>
  <c r="HX73" i="5"/>
  <c r="HX72" i="5"/>
  <c r="HX71" i="5"/>
  <c r="HX70" i="5"/>
  <c r="HX69" i="5"/>
  <c r="HX68" i="5"/>
  <c r="HX67" i="5"/>
  <c r="HX66" i="5"/>
  <c r="HX65" i="5"/>
  <c r="HX64" i="5"/>
  <c r="HX63" i="5"/>
  <c r="HX62" i="5"/>
  <c r="HX61" i="5"/>
  <c r="HX60" i="5"/>
  <c r="HX59" i="5"/>
  <c r="HX58" i="5"/>
  <c r="HX57" i="5"/>
  <c r="HX56" i="5"/>
  <c r="HX55" i="5"/>
  <c r="HX54" i="5"/>
  <c r="HX53" i="5"/>
  <c r="HX52" i="5"/>
  <c r="HX51" i="5"/>
  <c r="HX50" i="5"/>
  <c r="HX49" i="5"/>
  <c r="HX48" i="5"/>
  <c r="HX47" i="5"/>
  <c r="HX46" i="5"/>
  <c r="HX45" i="5"/>
  <c r="HX44" i="5"/>
  <c r="HX43" i="5"/>
  <c r="HX42" i="5"/>
  <c r="HX41" i="5"/>
  <c r="HX40" i="5"/>
  <c r="HX39" i="5"/>
  <c r="HX38" i="5"/>
  <c r="HX37" i="5"/>
  <c r="HX36" i="5"/>
  <c r="HX35" i="5"/>
  <c r="HX34" i="5"/>
  <c r="HX33" i="5"/>
  <c r="HX32" i="5"/>
  <c r="HX31" i="5"/>
  <c r="HX30" i="5"/>
  <c r="HX29" i="5"/>
  <c r="HX28" i="5"/>
  <c r="HX27" i="5"/>
  <c r="HX26" i="5"/>
  <c r="HX25" i="5"/>
  <c r="HX24" i="5"/>
  <c r="HX23" i="5"/>
  <c r="HX22" i="5"/>
  <c r="HX21" i="5"/>
  <c r="HX20" i="5"/>
  <c r="HX19" i="5"/>
  <c r="HX18" i="5"/>
  <c r="HX17" i="5"/>
  <c r="HX16" i="5"/>
  <c r="HX15" i="5"/>
  <c r="HX14" i="5"/>
  <c r="HX13" i="5"/>
  <c r="HX12" i="5"/>
  <c r="HX11" i="5"/>
  <c r="HX10" i="5"/>
  <c r="HX9" i="5"/>
  <c r="HX8" i="5"/>
  <c r="HX7" i="5"/>
  <c r="HX6" i="5"/>
  <c r="HX5" i="5"/>
  <c r="HX4" i="5"/>
  <c r="HX3" i="5"/>
  <c r="HX99" i="5" s="1"/>
  <c r="HS104" i="5"/>
  <c r="HT98" i="5"/>
  <c r="HT97" i="5"/>
  <c r="HT96" i="5"/>
  <c r="HT95" i="5"/>
  <c r="HT94" i="5"/>
  <c r="HT93" i="5"/>
  <c r="HT92" i="5"/>
  <c r="HT91" i="5"/>
  <c r="HT90" i="5"/>
  <c r="HT89" i="5"/>
  <c r="HT88" i="5"/>
  <c r="HT87" i="5"/>
  <c r="HT86" i="5"/>
  <c r="HT85" i="5"/>
  <c r="HT84" i="5"/>
  <c r="HT83" i="5"/>
  <c r="HT82" i="5"/>
  <c r="HT81" i="5"/>
  <c r="HT80" i="5"/>
  <c r="HT79" i="5"/>
  <c r="HT78" i="5"/>
  <c r="HT77" i="5"/>
  <c r="HT76" i="5"/>
  <c r="HT75" i="5"/>
  <c r="HT74" i="5"/>
  <c r="HT73" i="5"/>
  <c r="HT72" i="5"/>
  <c r="HT71" i="5"/>
  <c r="HT70" i="5"/>
  <c r="HT69" i="5"/>
  <c r="HT68" i="5"/>
  <c r="HT67" i="5"/>
  <c r="HT66" i="5"/>
  <c r="HT65" i="5"/>
  <c r="HT64" i="5"/>
  <c r="HT63" i="5"/>
  <c r="HT62" i="5"/>
  <c r="HT61" i="5"/>
  <c r="HT60" i="5"/>
  <c r="HT59" i="5"/>
  <c r="HT58" i="5"/>
  <c r="HT57" i="5"/>
  <c r="HT56" i="5"/>
  <c r="HT55" i="5"/>
  <c r="HT54" i="5"/>
  <c r="HT53" i="5"/>
  <c r="HT52" i="5"/>
  <c r="HT51" i="5"/>
  <c r="HT50" i="5"/>
  <c r="HT49" i="5"/>
  <c r="HT48" i="5"/>
  <c r="HT47" i="5"/>
  <c r="HT46" i="5"/>
  <c r="HT45" i="5"/>
  <c r="HT44" i="5"/>
  <c r="HT43" i="5"/>
  <c r="HT42" i="5"/>
  <c r="HT41" i="5"/>
  <c r="HT40" i="5"/>
  <c r="HT39" i="5"/>
  <c r="HT38" i="5"/>
  <c r="HT37" i="5"/>
  <c r="HT36" i="5"/>
  <c r="HT35" i="5"/>
  <c r="HT34" i="5"/>
  <c r="HT33" i="5"/>
  <c r="HT32" i="5"/>
  <c r="HT31" i="5"/>
  <c r="HT30" i="5"/>
  <c r="HT29" i="5"/>
  <c r="HT28" i="5"/>
  <c r="HT27" i="5"/>
  <c r="HT26" i="5"/>
  <c r="HT25" i="5"/>
  <c r="HT24" i="5"/>
  <c r="HT23" i="5"/>
  <c r="HT22" i="5"/>
  <c r="HT21" i="5"/>
  <c r="HT20" i="5"/>
  <c r="HT19" i="5"/>
  <c r="HT18" i="5"/>
  <c r="HT17" i="5"/>
  <c r="HT16" i="5"/>
  <c r="HT15" i="5"/>
  <c r="HT14" i="5"/>
  <c r="HT13" i="5"/>
  <c r="HT12" i="5"/>
  <c r="HT11" i="5"/>
  <c r="HT10" i="5"/>
  <c r="HT9" i="5"/>
  <c r="HT8" i="5"/>
  <c r="HT7" i="5"/>
  <c r="HT6" i="5"/>
  <c r="HT5" i="5"/>
  <c r="HT4" i="5"/>
  <c r="HT3" i="5"/>
  <c r="HT99" i="5" s="1"/>
  <c r="HO104" i="5"/>
  <c r="HP98" i="5"/>
  <c r="HP97" i="5"/>
  <c r="HP96" i="5"/>
  <c r="HP95" i="5"/>
  <c r="HP94" i="5"/>
  <c r="HP93" i="5"/>
  <c r="HP92" i="5"/>
  <c r="HP91" i="5"/>
  <c r="HP90" i="5"/>
  <c r="HP89" i="5"/>
  <c r="HP88" i="5"/>
  <c r="HP87" i="5"/>
  <c r="HP86" i="5"/>
  <c r="HP85" i="5"/>
  <c r="HP84" i="5"/>
  <c r="HP83" i="5"/>
  <c r="HP82" i="5"/>
  <c r="HP81" i="5"/>
  <c r="HP80" i="5"/>
  <c r="HP79" i="5"/>
  <c r="HP78" i="5"/>
  <c r="HP77" i="5"/>
  <c r="HP76" i="5"/>
  <c r="HP75" i="5"/>
  <c r="HP74" i="5"/>
  <c r="HP73" i="5"/>
  <c r="HP72" i="5"/>
  <c r="HP71" i="5"/>
  <c r="HP70" i="5"/>
  <c r="HP69" i="5"/>
  <c r="HP68" i="5"/>
  <c r="HP67" i="5"/>
  <c r="HP66" i="5"/>
  <c r="HP65" i="5"/>
  <c r="HP64" i="5"/>
  <c r="HP63" i="5"/>
  <c r="HP62" i="5"/>
  <c r="HP61" i="5"/>
  <c r="HP60" i="5"/>
  <c r="HP59" i="5"/>
  <c r="HP58" i="5"/>
  <c r="HP57" i="5"/>
  <c r="HP56" i="5"/>
  <c r="HP55" i="5"/>
  <c r="HP54" i="5"/>
  <c r="HP53" i="5"/>
  <c r="HP52" i="5"/>
  <c r="HP51" i="5"/>
  <c r="HP50" i="5"/>
  <c r="HP49" i="5"/>
  <c r="HP48" i="5"/>
  <c r="HP47" i="5"/>
  <c r="HP46" i="5"/>
  <c r="HP45" i="5"/>
  <c r="HP44" i="5"/>
  <c r="HP43" i="5"/>
  <c r="HP42" i="5"/>
  <c r="HP41" i="5"/>
  <c r="HP40" i="5"/>
  <c r="HP39" i="5"/>
  <c r="HP38" i="5"/>
  <c r="HP37" i="5"/>
  <c r="HP36" i="5"/>
  <c r="HP35" i="5"/>
  <c r="HP34" i="5"/>
  <c r="HP33" i="5"/>
  <c r="HP32" i="5"/>
  <c r="HP31" i="5"/>
  <c r="HP30" i="5"/>
  <c r="HP29" i="5"/>
  <c r="HP28" i="5"/>
  <c r="HP27" i="5"/>
  <c r="HP26" i="5"/>
  <c r="HP25" i="5"/>
  <c r="HP24" i="5"/>
  <c r="HP23" i="5"/>
  <c r="HP22" i="5"/>
  <c r="HP21" i="5"/>
  <c r="HP20" i="5"/>
  <c r="HP19" i="5"/>
  <c r="HP18" i="5"/>
  <c r="HP17" i="5"/>
  <c r="HP16" i="5"/>
  <c r="HP15" i="5"/>
  <c r="HP14" i="5"/>
  <c r="HP13" i="5"/>
  <c r="HP12" i="5"/>
  <c r="HP11" i="5"/>
  <c r="HP10" i="5"/>
  <c r="HP9" i="5"/>
  <c r="HP8" i="5"/>
  <c r="HP7" i="5"/>
  <c r="HP6" i="5"/>
  <c r="HP5" i="5"/>
  <c r="HP4" i="5"/>
  <c r="HP3" i="5"/>
  <c r="HP99" i="5" s="1"/>
  <c r="HK104" i="5"/>
  <c r="HL98" i="5"/>
  <c r="HL97" i="5"/>
  <c r="HL96" i="5"/>
  <c r="HL95" i="5"/>
  <c r="HL94" i="5"/>
  <c r="HL93" i="5"/>
  <c r="HL92" i="5"/>
  <c r="HL91" i="5"/>
  <c r="HL90" i="5"/>
  <c r="HL89" i="5"/>
  <c r="HL88" i="5"/>
  <c r="HL87" i="5"/>
  <c r="HL86" i="5"/>
  <c r="HL85" i="5"/>
  <c r="HL84" i="5"/>
  <c r="HL83" i="5"/>
  <c r="HL82" i="5"/>
  <c r="HL81" i="5"/>
  <c r="HL80" i="5"/>
  <c r="HL79" i="5"/>
  <c r="HL78" i="5"/>
  <c r="HL77" i="5"/>
  <c r="HL76" i="5"/>
  <c r="HL75" i="5"/>
  <c r="HL74" i="5"/>
  <c r="HL73" i="5"/>
  <c r="HL72" i="5"/>
  <c r="HL71" i="5"/>
  <c r="HL70" i="5"/>
  <c r="HL69" i="5"/>
  <c r="HL68" i="5"/>
  <c r="HL67" i="5"/>
  <c r="HL66" i="5"/>
  <c r="HL65" i="5"/>
  <c r="HL64" i="5"/>
  <c r="HL63" i="5"/>
  <c r="HL62" i="5"/>
  <c r="HL61" i="5"/>
  <c r="HL60" i="5"/>
  <c r="HL59" i="5"/>
  <c r="HL58" i="5"/>
  <c r="HL57" i="5"/>
  <c r="HL56" i="5"/>
  <c r="HL55" i="5"/>
  <c r="HL54" i="5"/>
  <c r="HL53" i="5"/>
  <c r="HL52" i="5"/>
  <c r="HL51" i="5"/>
  <c r="HL50" i="5"/>
  <c r="HL49" i="5"/>
  <c r="HL48" i="5"/>
  <c r="HL47" i="5"/>
  <c r="HL46" i="5"/>
  <c r="HL45" i="5"/>
  <c r="HL44" i="5"/>
  <c r="HL43" i="5"/>
  <c r="HL42" i="5"/>
  <c r="HL41" i="5"/>
  <c r="HL40" i="5"/>
  <c r="HL39" i="5"/>
  <c r="HL38" i="5"/>
  <c r="HL37" i="5"/>
  <c r="HL36" i="5"/>
  <c r="HL35" i="5"/>
  <c r="HL34" i="5"/>
  <c r="HL33" i="5"/>
  <c r="HL32" i="5"/>
  <c r="HL31" i="5"/>
  <c r="HL30" i="5"/>
  <c r="HL29" i="5"/>
  <c r="HL28" i="5"/>
  <c r="HL27" i="5"/>
  <c r="HL26" i="5"/>
  <c r="HL25" i="5"/>
  <c r="HL24" i="5"/>
  <c r="HL23" i="5"/>
  <c r="HL22" i="5"/>
  <c r="HL21" i="5"/>
  <c r="HL20" i="5"/>
  <c r="HL19" i="5"/>
  <c r="HL18" i="5"/>
  <c r="HL17" i="5"/>
  <c r="HL16" i="5"/>
  <c r="HL15" i="5"/>
  <c r="HL14" i="5"/>
  <c r="HL13" i="5"/>
  <c r="HL12" i="5"/>
  <c r="HL11" i="5"/>
  <c r="HL10" i="5"/>
  <c r="HL9" i="5"/>
  <c r="HL8" i="5"/>
  <c r="HL7" i="5"/>
  <c r="HL6" i="5"/>
  <c r="HL5" i="5"/>
  <c r="HL4" i="5"/>
  <c r="HL3" i="5"/>
  <c r="HL99" i="5" s="1"/>
  <c r="HG104" i="5"/>
  <c r="HH98" i="5"/>
  <c r="HH97" i="5"/>
  <c r="HH96" i="5"/>
  <c r="HH95" i="5"/>
  <c r="HH94" i="5"/>
  <c r="HH93" i="5"/>
  <c r="HH92" i="5"/>
  <c r="HH91" i="5"/>
  <c r="HH90" i="5"/>
  <c r="HH89" i="5"/>
  <c r="HH88" i="5"/>
  <c r="HH87" i="5"/>
  <c r="HH86" i="5"/>
  <c r="HH85" i="5"/>
  <c r="HH84" i="5"/>
  <c r="HH83" i="5"/>
  <c r="HH82" i="5"/>
  <c r="HH81" i="5"/>
  <c r="HH80" i="5"/>
  <c r="HH79" i="5"/>
  <c r="HH78" i="5"/>
  <c r="HH77" i="5"/>
  <c r="HH76" i="5"/>
  <c r="HH75" i="5"/>
  <c r="HH74" i="5"/>
  <c r="HH73" i="5"/>
  <c r="HH72" i="5"/>
  <c r="HH71" i="5"/>
  <c r="HH70" i="5"/>
  <c r="HH69" i="5"/>
  <c r="HH68" i="5"/>
  <c r="HH67" i="5"/>
  <c r="HH66" i="5"/>
  <c r="HH65" i="5"/>
  <c r="HH64" i="5"/>
  <c r="HH63" i="5"/>
  <c r="HH62" i="5"/>
  <c r="HH61" i="5"/>
  <c r="HH60" i="5"/>
  <c r="HH59" i="5"/>
  <c r="HH58" i="5"/>
  <c r="HH57" i="5"/>
  <c r="HH56" i="5"/>
  <c r="HH55" i="5"/>
  <c r="HH54" i="5"/>
  <c r="HH53" i="5"/>
  <c r="HH52" i="5"/>
  <c r="HH51" i="5"/>
  <c r="HH50" i="5"/>
  <c r="HH49" i="5"/>
  <c r="HH48" i="5"/>
  <c r="HH47" i="5"/>
  <c r="HH46" i="5"/>
  <c r="HH45" i="5"/>
  <c r="HH44" i="5"/>
  <c r="HH43" i="5"/>
  <c r="HH42" i="5"/>
  <c r="HH41" i="5"/>
  <c r="HH40" i="5"/>
  <c r="HH39" i="5"/>
  <c r="HH38" i="5"/>
  <c r="HH37" i="5"/>
  <c r="HH36" i="5"/>
  <c r="HH35" i="5"/>
  <c r="HH34" i="5"/>
  <c r="HH33" i="5"/>
  <c r="HH32" i="5"/>
  <c r="HH31" i="5"/>
  <c r="HH30" i="5"/>
  <c r="HH29" i="5"/>
  <c r="HH28" i="5"/>
  <c r="HH27" i="5"/>
  <c r="HH26" i="5"/>
  <c r="HH25" i="5"/>
  <c r="HH24" i="5"/>
  <c r="HH23" i="5"/>
  <c r="HH22" i="5"/>
  <c r="HH21" i="5"/>
  <c r="HH20" i="5"/>
  <c r="HH19" i="5"/>
  <c r="HH18" i="5"/>
  <c r="HH17" i="5"/>
  <c r="HH16" i="5"/>
  <c r="HH15" i="5"/>
  <c r="HH14" i="5"/>
  <c r="HH13" i="5"/>
  <c r="HH12" i="5"/>
  <c r="HH11" i="5"/>
  <c r="HH10" i="5"/>
  <c r="HH9" i="5"/>
  <c r="HH8" i="5"/>
  <c r="HH7" i="5"/>
  <c r="HH6" i="5"/>
  <c r="HH5" i="5"/>
  <c r="HH4" i="5"/>
  <c r="HH3" i="5"/>
  <c r="HH99" i="5" s="1"/>
  <c r="HC104" i="5"/>
  <c r="HD98" i="5"/>
  <c r="HD97" i="5"/>
  <c r="HD96" i="5"/>
  <c r="HD95" i="5"/>
  <c r="HD94" i="5"/>
  <c r="HD93" i="5"/>
  <c r="HD92" i="5"/>
  <c r="HD91" i="5"/>
  <c r="HD90" i="5"/>
  <c r="HD89" i="5"/>
  <c r="HD88" i="5"/>
  <c r="HD87" i="5"/>
  <c r="HD86" i="5"/>
  <c r="HD85" i="5"/>
  <c r="HD84" i="5"/>
  <c r="HD83" i="5"/>
  <c r="HD82" i="5"/>
  <c r="HD81" i="5"/>
  <c r="HD80" i="5"/>
  <c r="HD79" i="5"/>
  <c r="HD78" i="5"/>
  <c r="HD77" i="5"/>
  <c r="HD76" i="5"/>
  <c r="HD75" i="5"/>
  <c r="HD74" i="5"/>
  <c r="HD73" i="5"/>
  <c r="HD72" i="5"/>
  <c r="HD71" i="5"/>
  <c r="HD70" i="5"/>
  <c r="HD69" i="5"/>
  <c r="HD68" i="5"/>
  <c r="HD67" i="5"/>
  <c r="HD66" i="5"/>
  <c r="HD65" i="5"/>
  <c r="HD64" i="5"/>
  <c r="HD63" i="5"/>
  <c r="HD62" i="5"/>
  <c r="HD61" i="5"/>
  <c r="HD60" i="5"/>
  <c r="HD59" i="5"/>
  <c r="HD58" i="5"/>
  <c r="HD57" i="5"/>
  <c r="HD56" i="5"/>
  <c r="HD55" i="5"/>
  <c r="HD54" i="5"/>
  <c r="HD53" i="5"/>
  <c r="HD52" i="5"/>
  <c r="HD51" i="5"/>
  <c r="HD50" i="5"/>
  <c r="HD49" i="5"/>
  <c r="HD48" i="5"/>
  <c r="HD47" i="5"/>
  <c r="HD46" i="5"/>
  <c r="HD45" i="5"/>
  <c r="HD44" i="5"/>
  <c r="HD43" i="5"/>
  <c r="HD42" i="5"/>
  <c r="HD41" i="5"/>
  <c r="HD40" i="5"/>
  <c r="HD39" i="5"/>
  <c r="HD38" i="5"/>
  <c r="HD37" i="5"/>
  <c r="HD36" i="5"/>
  <c r="HD35" i="5"/>
  <c r="HD34" i="5"/>
  <c r="HD33" i="5"/>
  <c r="HD32" i="5"/>
  <c r="HD31" i="5"/>
  <c r="HD30" i="5"/>
  <c r="HD29" i="5"/>
  <c r="HD28" i="5"/>
  <c r="HD27" i="5"/>
  <c r="HD26" i="5"/>
  <c r="HD25" i="5"/>
  <c r="HD24" i="5"/>
  <c r="HD23" i="5"/>
  <c r="HD22" i="5"/>
  <c r="HD21" i="5"/>
  <c r="HD20" i="5"/>
  <c r="HD19" i="5"/>
  <c r="HD18" i="5"/>
  <c r="HD17" i="5"/>
  <c r="HD16" i="5"/>
  <c r="HD15" i="5"/>
  <c r="HD14" i="5"/>
  <c r="HD13" i="5"/>
  <c r="HD12" i="5"/>
  <c r="HD11" i="5"/>
  <c r="HD10" i="5"/>
  <c r="HD9" i="5"/>
  <c r="HD8" i="5"/>
  <c r="HD7" i="5"/>
  <c r="HD6" i="5"/>
  <c r="HD5" i="5"/>
  <c r="HD4" i="5"/>
  <c r="HD3" i="5"/>
  <c r="HD99" i="5" s="1"/>
  <c r="GY104" i="5"/>
  <c r="GZ98" i="5"/>
  <c r="GZ97" i="5"/>
  <c r="GZ96" i="5"/>
  <c r="GZ95" i="5"/>
  <c r="GZ94" i="5"/>
  <c r="GZ93" i="5"/>
  <c r="GZ92" i="5"/>
  <c r="GZ91" i="5"/>
  <c r="GZ90" i="5"/>
  <c r="GZ89" i="5"/>
  <c r="GZ88" i="5"/>
  <c r="GZ87" i="5"/>
  <c r="GZ86" i="5"/>
  <c r="GZ85" i="5"/>
  <c r="GZ84" i="5"/>
  <c r="GZ83" i="5"/>
  <c r="GZ82" i="5"/>
  <c r="GZ81" i="5"/>
  <c r="GZ80" i="5"/>
  <c r="GZ79" i="5"/>
  <c r="GZ78" i="5"/>
  <c r="GZ77" i="5"/>
  <c r="GZ76" i="5"/>
  <c r="GZ75" i="5"/>
  <c r="GZ74" i="5"/>
  <c r="GZ73" i="5"/>
  <c r="GZ72" i="5"/>
  <c r="GZ71" i="5"/>
  <c r="GZ70" i="5"/>
  <c r="GZ69" i="5"/>
  <c r="GZ68" i="5"/>
  <c r="GZ67" i="5"/>
  <c r="GZ66" i="5"/>
  <c r="GZ65" i="5"/>
  <c r="GZ64" i="5"/>
  <c r="GZ63" i="5"/>
  <c r="GZ62" i="5"/>
  <c r="GZ61" i="5"/>
  <c r="GZ60" i="5"/>
  <c r="GZ59" i="5"/>
  <c r="GZ58" i="5"/>
  <c r="GZ57" i="5"/>
  <c r="GZ56" i="5"/>
  <c r="GZ55" i="5"/>
  <c r="GZ54" i="5"/>
  <c r="GZ53" i="5"/>
  <c r="GZ52" i="5"/>
  <c r="GZ51" i="5"/>
  <c r="GZ50" i="5"/>
  <c r="GZ49" i="5"/>
  <c r="GZ48" i="5"/>
  <c r="GZ47" i="5"/>
  <c r="GZ46" i="5"/>
  <c r="GZ45" i="5"/>
  <c r="GZ44" i="5"/>
  <c r="GZ43" i="5"/>
  <c r="GZ42" i="5"/>
  <c r="GZ41" i="5"/>
  <c r="GZ40" i="5"/>
  <c r="GZ39" i="5"/>
  <c r="GZ38" i="5"/>
  <c r="GZ37" i="5"/>
  <c r="GZ36" i="5"/>
  <c r="GZ35" i="5"/>
  <c r="GZ34" i="5"/>
  <c r="GZ33" i="5"/>
  <c r="GZ32" i="5"/>
  <c r="GZ31" i="5"/>
  <c r="GZ30" i="5"/>
  <c r="GZ29" i="5"/>
  <c r="GZ28" i="5"/>
  <c r="GZ27" i="5"/>
  <c r="GZ26" i="5"/>
  <c r="GZ25" i="5"/>
  <c r="GZ24" i="5"/>
  <c r="GZ23" i="5"/>
  <c r="GZ22" i="5"/>
  <c r="GZ21" i="5"/>
  <c r="GZ20" i="5"/>
  <c r="GZ19" i="5"/>
  <c r="GZ18" i="5"/>
  <c r="GZ17" i="5"/>
  <c r="GZ16" i="5"/>
  <c r="GZ15" i="5"/>
  <c r="GZ14" i="5"/>
  <c r="GZ13" i="5"/>
  <c r="GZ12" i="5"/>
  <c r="GZ11" i="5"/>
  <c r="GZ10" i="5"/>
  <c r="GZ9" i="5"/>
  <c r="GZ8" i="5"/>
  <c r="GZ7" i="5"/>
  <c r="GZ6" i="5"/>
  <c r="GZ5" i="5"/>
  <c r="GZ4" i="5"/>
  <c r="GZ3" i="5"/>
  <c r="GZ99" i="5" s="1"/>
  <c r="GU104" i="5"/>
  <c r="GU99" i="5"/>
  <c r="GV98" i="5"/>
  <c r="GV97" i="5"/>
  <c r="GV96" i="5"/>
  <c r="GV95" i="5"/>
  <c r="GV94" i="5"/>
  <c r="GV93" i="5"/>
  <c r="GV92" i="5"/>
  <c r="GV91" i="5"/>
  <c r="GV90" i="5"/>
  <c r="GV89" i="5"/>
  <c r="GV88" i="5"/>
  <c r="GV87" i="5"/>
  <c r="GV86" i="5"/>
  <c r="GV85" i="5"/>
  <c r="GV84" i="5"/>
  <c r="GV83" i="5"/>
  <c r="GV82" i="5"/>
  <c r="GV81" i="5"/>
  <c r="GV80" i="5"/>
  <c r="GV79" i="5"/>
  <c r="GV78" i="5"/>
  <c r="GV77" i="5"/>
  <c r="GV76" i="5"/>
  <c r="GV75" i="5"/>
  <c r="GV74" i="5"/>
  <c r="GV73" i="5"/>
  <c r="GV72" i="5"/>
  <c r="GV71" i="5"/>
  <c r="GV70" i="5"/>
  <c r="GV69" i="5"/>
  <c r="GV68" i="5"/>
  <c r="GV67" i="5"/>
  <c r="GV66" i="5"/>
  <c r="GV65" i="5"/>
  <c r="GV64" i="5"/>
  <c r="GV63" i="5"/>
  <c r="GV62" i="5"/>
  <c r="GV61" i="5"/>
  <c r="GV60" i="5"/>
  <c r="GV59" i="5"/>
  <c r="GV58" i="5"/>
  <c r="GV57" i="5"/>
  <c r="GV56" i="5"/>
  <c r="GV55" i="5"/>
  <c r="GV54" i="5"/>
  <c r="GV53" i="5"/>
  <c r="GV52" i="5"/>
  <c r="GV51" i="5"/>
  <c r="GV50" i="5"/>
  <c r="GV49" i="5"/>
  <c r="GV48" i="5"/>
  <c r="GV47" i="5"/>
  <c r="GV46" i="5"/>
  <c r="GV45" i="5"/>
  <c r="GV44" i="5"/>
  <c r="GV43" i="5"/>
  <c r="GV42" i="5"/>
  <c r="GV41" i="5"/>
  <c r="GV40" i="5"/>
  <c r="GV39" i="5"/>
  <c r="GV38" i="5"/>
  <c r="GV37" i="5"/>
  <c r="GV36" i="5"/>
  <c r="GV35" i="5"/>
  <c r="GV34" i="5"/>
  <c r="GV33" i="5"/>
  <c r="GV32" i="5"/>
  <c r="GV31" i="5"/>
  <c r="GV30" i="5"/>
  <c r="GV29" i="5"/>
  <c r="GV28" i="5"/>
  <c r="GV27" i="5"/>
  <c r="GV26" i="5"/>
  <c r="GV25" i="5"/>
  <c r="GV24" i="5"/>
  <c r="GV23" i="5"/>
  <c r="GV22" i="5"/>
  <c r="GV21" i="5"/>
  <c r="GV20" i="5"/>
  <c r="GV19" i="5"/>
  <c r="GV18" i="5"/>
  <c r="GV17" i="5"/>
  <c r="GV16" i="5"/>
  <c r="GV15" i="5"/>
  <c r="GV14" i="5"/>
  <c r="GV13" i="5"/>
  <c r="GV12" i="5"/>
  <c r="GV11" i="5"/>
  <c r="GV10" i="5"/>
  <c r="GV9" i="5"/>
  <c r="GV8" i="5"/>
  <c r="GV7" i="5"/>
  <c r="GV6" i="5"/>
  <c r="GV5" i="5"/>
  <c r="GV4" i="5"/>
  <c r="GV3" i="5"/>
  <c r="GV99" i="5" s="1"/>
  <c r="U5" i="10"/>
  <c r="GQ99" i="5"/>
  <c r="GQ104" i="5"/>
  <c r="GR98" i="5"/>
  <c r="GR97" i="5"/>
  <c r="GR96" i="5"/>
  <c r="GR95" i="5"/>
  <c r="GR94" i="5"/>
  <c r="GR93" i="5"/>
  <c r="GR92" i="5"/>
  <c r="GR91" i="5"/>
  <c r="GR90" i="5"/>
  <c r="GR89" i="5"/>
  <c r="GR88" i="5"/>
  <c r="GR87" i="5"/>
  <c r="GR86" i="5"/>
  <c r="GR85" i="5"/>
  <c r="GR84" i="5"/>
  <c r="GR83" i="5"/>
  <c r="GR82" i="5"/>
  <c r="GR81" i="5"/>
  <c r="GR80" i="5"/>
  <c r="GR79" i="5"/>
  <c r="GR78" i="5"/>
  <c r="GR77" i="5"/>
  <c r="GR76" i="5"/>
  <c r="GR75" i="5"/>
  <c r="GR74" i="5"/>
  <c r="GR73" i="5"/>
  <c r="GR72" i="5"/>
  <c r="GR71" i="5"/>
  <c r="GR70" i="5"/>
  <c r="GR69" i="5"/>
  <c r="GR68" i="5"/>
  <c r="GR67" i="5"/>
  <c r="GR66" i="5"/>
  <c r="GR65" i="5"/>
  <c r="GR64" i="5"/>
  <c r="GR63" i="5"/>
  <c r="GR62" i="5"/>
  <c r="GR61" i="5"/>
  <c r="GR60" i="5"/>
  <c r="GR59" i="5"/>
  <c r="GR58" i="5"/>
  <c r="GR57" i="5"/>
  <c r="GR56" i="5"/>
  <c r="GR55" i="5"/>
  <c r="GR54" i="5"/>
  <c r="GR53" i="5"/>
  <c r="GR52" i="5"/>
  <c r="GR51" i="5"/>
  <c r="GR50" i="5"/>
  <c r="GR49" i="5"/>
  <c r="GR48" i="5"/>
  <c r="GR47" i="5"/>
  <c r="GR46" i="5"/>
  <c r="GR45" i="5"/>
  <c r="GR44" i="5"/>
  <c r="GR43" i="5"/>
  <c r="GR42" i="5"/>
  <c r="GR41" i="5"/>
  <c r="GR40" i="5"/>
  <c r="GR39" i="5"/>
  <c r="GR38" i="5"/>
  <c r="GR37" i="5"/>
  <c r="GR36" i="5"/>
  <c r="GR35" i="5"/>
  <c r="GR34" i="5"/>
  <c r="GR33" i="5"/>
  <c r="GR32" i="5"/>
  <c r="GR31" i="5"/>
  <c r="GR30" i="5"/>
  <c r="GR29" i="5"/>
  <c r="GR28" i="5"/>
  <c r="GR27" i="5"/>
  <c r="GR26" i="5"/>
  <c r="GR25" i="5"/>
  <c r="GR24" i="5"/>
  <c r="GR23" i="5"/>
  <c r="GR22" i="5"/>
  <c r="GR21" i="5"/>
  <c r="GR20" i="5"/>
  <c r="GR19" i="5"/>
  <c r="GR18" i="5"/>
  <c r="GR17" i="5"/>
  <c r="GR16" i="5"/>
  <c r="GR15" i="5"/>
  <c r="GR14" i="5"/>
  <c r="GR13" i="5"/>
  <c r="GR12" i="5"/>
  <c r="GR11" i="5"/>
  <c r="GR10" i="5"/>
  <c r="GR9" i="5"/>
  <c r="GR8" i="5"/>
  <c r="GR7" i="5"/>
  <c r="GR6" i="5"/>
  <c r="GR5" i="5"/>
  <c r="GR4" i="5"/>
  <c r="GR3" i="5"/>
  <c r="GR99" i="5" s="1"/>
  <c r="T30" i="14"/>
  <c r="I14" i="24"/>
  <c r="GM99" i="5"/>
  <c r="GI99" i="5"/>
  <c r="GE99" i="5"/>
  <c r="GA99" i="5"/>
  <c r="FW99" i="5"/>
  <c r="FS99" i="5"/>
  <c r="FO99" i="5"/>
  <c r="FK99" i="5"/>
  <c r="B15" i="10"/>
  <c r="B14" i="10"/>
  <c r="B13" i="10"/>
  <c r="GM104" i="5"/>
  <c r="GN98" i="5"/>
  <c r="GN97" i="5"/>
  <c r="GN96" i="5"/>
  <c r="GN95" i="5"/>
  <c r="GN94" i="5"/>
  <c r="GN93" i="5"/>
  <c r="GN92" i="5"/>
  <c r="GN91" i="5"/>
  <c r="GN90" i="5"/>
  <c r="GN89" i="5"/>
  <c r="GN88" i="5"/>
  <c r="GN87" i="5"/>
  <c r="GN86" i="5"/>
  <c r="GN85" i="5"/>
  <c r="GN84" i="5"/>
  <c r="GN83" i="5"/>
  <c r="GN82" i="5"/>
  <c r="GN81" i="5"/>
  <c r="GN80" i="5"/>
  <c r="GN79" i="5"/>
  <c r="GN78" i="5"/>
  <c r="GN77" i="5"/>
  <c r="GN76" i="5"/>
  <c r="GN75" i="5"/>
  <c r="GN74" i="5"/>
  <c r="GN73" i="5"/>
  <c r="GN72" i="5"/>
  <c r="GN71" i="5"/>
  <c r="GN70" i="5"/>
  <c r="GN69" i="5"/>
  <c r="GN68" i="5"/>
  <c r="GN67" i="5"/>
  <c r="GN66" i="5"/>
  <c r="GN65" i="5"/>
  <c r="GN64" i="5"/>
  <c r="GN63" i="5"/>
  <c r="GN62" i="5"/>
  <c r="GN61" i="5"/>
  <c r="GN60" i="5"/>
  <c r="GN59" i="5"/>
  <c r="GN58" i="5"/>
  <c r="GN57" i="5"/>
  <c r="GN56" i="5"/>
  <c r="GN55" i="5"/>
  <c r="GN54" i="5"/>
  <c r="GN53" i="5"/>
  <c r="GN52" i="5"/>
  <c r="GN51" i="5"/>
  <c r="GN50" i="5"/>
  <c r="GN49" i="5"/>
  <c r="GN48" i="5"/>
  <c r="GN47" i="5"/>
  <c r="GN46" i="5"/>
  <c r="GN45" i="5"/>
  <c r="GN44" i="5"/>
  <c r="GN43" i="5"/>
  <c r="GN42" i="5"/>
  <c r="GN41" i="5"/>
  <c r="GN40" i="5"/>
  <c r="GN39" i="5"/>
  <c r="GN38" i="5"/>
  <c r="GN37" i="5"/>
  <c r="GN36" i="5"/>
  <c r="GN35" i="5"/>
  <c r="GN34" i="5"/>
  <c r="GN33" i="5"/>
  <c r="GN32" i="5"/>
  <c r="GN31" i="5"/>
  <c r="GN30" i="5"/>
  <c r="GN29" i="5"/>
  <c r="GN28" i="5"/>
  <c r="GN27" i="5"/>
  <c r="GN26" i="5"/>
  <c r="GN25" i="5"/>
  <c r="GN24" i="5"/>
  <c r="GN23" i="5"/>
  <c r="GN22" i="5"/>
  <c r="GN21" i="5"/>
  <c r="GN20" i="5"/>
  <c r="GN19" i="5"/>
  <c r="GN18" i="5"/>
  <c r="GN17" i="5"/>
  <c r="GN16" i="5"/>
  <c r="GN15" i="5"/>
  <c r="GN14" i="5"/>
  <c r="GN13" i="5"/>
  <c r="GN12" i="5"/>
  <c r="GN11" i="5"/>
  <c r="GN10" i="5"/>
  <c r="GN9" i="5"/>
  <c r="GN8" i="5"/>
  <c r="GN7" i="5"/>
  <c r="GN6" i="5"/>
  <c r="GN5" i="5"/>
  <c r="GN4" i="5"/>
  <c r="GN3" i="5"/>
  <c r="GN99" i="5" s="1"/>
  <c r="GI104" i="5"/>
  <c r="GJ98" i="5"/>
  <c r="GJ97" i="5"/>
  <c r="GJ96" i="5"/>
  <c r="GJ95" i="5"/>
  <c r="GJ94" i="5"/>
  <c r="GJ93" i="5"/>
  <c r="GJ92" i="5"/>
  <c r="GJ91" i="5"/>
  <c r="GJ90" i="5"/>
  <c r="GJ89" i="5"/>
  <c r="GJ88" i="5"/>
  <c r="GJ87" i="5"/>
  <c r="GJ86" i="5"/>
  <c r="GJ85" i="5"/>
  <c r="GJ84" i="5"/>
  <c r="GJ83" i="5"/>
  <c r="GJ82" i="5"/>
  <c r="GJ81" i="5"/>
  <c r="GJ80" i="5"/>
  <c r="GJ79" i="5"/>
  <c r="GJ78" i="5"/>
  <c r="GJ77" i="5"/>
  <c r="GJ76" i="5"/>
  <c r="GJ75" i="5"/>
  <c r="GJ74" i="5"/>
  <c r="GJ73" i="5"/>
  <c r="GJ72" i="5"/>
  <c r="GJ71" i="5"/>
  <c r="GJ70" i="5"/>
  <c r="GJ69" i="5"/>
  <c r="GJ68" i="5"/>
  <c r="GJ67" i="5"/>
  <c r="GJ66" i="5"/>
  <c r="GJ65" i="5"/>
  <c r="GJ64" i="5"/>
  <c r="GJ63" i="5"/>
  <c r="GJ62" i="5"/>
  <c r="GJ61" i="5"/>
  <c r="GJ60" i="5"/>
  <c r="GJ59" i="5"/>
  <c r="GJ58" i="5"/>
  <c r="GJ57" i="5"/>
  <c r="GJ56" i="5"/>
  <c r="GJ55" i="5"/>
  <c r="GJ54" i="5"/>
  <c r="GJ53" i="5"/>
  <c r="GJ52" i="5"/>
  <c r="GJ51" i="5"/>
  <c r="GJ50" i="5"/>
  <c r="GJ49" i="5"/>
  <c r="GJ48" i="5"/>
  <c r="GJ47" i="5"/>
  <c r="GJ46" i="5"/>
  <c r="GJ45" i="5"/>
  <c r="GJ44" i="5"/>
  <c r="GJ43" i="5"/>
  <c r="GJ42" i="5"/>
  <c r="GJ41" i="5"/>
  <c r="GJ40" i="5"/>
  <c r="GJ39" i="5"/>
  <c r="GJ38" i="5"/>
  <c r="GJ37" i="5"/>
  <c r="GJ36" i="5"/>
  <c r="GJ35" i="5"/>
  <c r="GJ34" i="5"/>
  <c r="GJ33" i="5"/>
  <c r="GJ32" i="5"/>
  <c r="GJ31" i="5"/>
  <c r="GJ30" i="5"/>
  <c r="GJ29" i="5"/>
  <c r="GJ28" i="5"/>
  <c r="GJ27" i="5"/>
  <c r="GJ26" i="5"/>
  <c r="GJ25" i="5"/>
  <c r="GJ24" i="5"/>
  <c r="GJ23" i="5"/>
  <c r="GJ22" i="5"/>
  <c r="GJ21" i="5"/>
  <c r="GJ20" i="5"/>
  <c r="GJ19" i="5"/>
  <c r="GJ18" i="5"/>
  <c r="GJ17" i="5"/>
  <c r="GJ16" i="5"/>
  <c r="GJ15" i="5"/>
  <c r="GJ14" i="5"/>
  <c r="GJ13" i="5"/>
  <c r="GJ12" i="5"/>
  <c r="GJ11" i="5"/>
  <c r="GJ10" i="5"/>
  <c r="GJ9" i="5"/>
  <c r="GJ8" i="5"/>
  <c r="GJ7" i="5"/>
  <c r="GJ6" i="5"/>
  <c r="GJ5" i="5"/>
  <c r="GJ4" i="5"/>
  <c r="GJ3" i="5"/>
  <c r="GJ99" i="5" s="1"/>
  <c r="GE104" i="5"/>
  <c r="GF98" i="5"/>
  <c r="GF97" i="5"/>
  <c r="GF96" i="5"/>
  <c r="GF95" i="5"/>
  <c r="GF94" i="5"/>
  <c r="GF93" i="5"/>
  <c r="GF92" i="5"/>
  <c r="GF91" i="5"/>
  <c r="GF90" i="5"/>
  <c r="GF89" i="5"/>
  <c r="GF88" i="5"/>
  <c r="GF87" i="5"/>
  <c r="GF86" i="5"/>
  <c r="GF85" i="5"/>
  <c r="GF84" i="5"/>
  <c r="GF83" i="5"/>
  <c r="GF82" i="5"/>
  <c r="GF81" i="5"/>
  <c r="GF80" i="5"/>
  <c r="GF79" i="5"/>
  <c r="GF78" i="5"/>
  <c r="GF77" i="5"/>
  <c r="GF76" i="5"/>
  <c r="GF75" i="5"/>
  <c r="GF74" i="5"/>
  <c r="GF73" i="5"/>
  <c r="GF72" i="5"/>
  <c r="GF71" i="5"/>
  <c r="GF70" i="5"/>
  <c r="GF69" i="5"/>
  <c r="GF68" i="5"/>
  <c r="GF67" i="5"/>
  <c r="GF66" i="5"/>
  <c r="GF65" i="5"/>
  <c r="GF64" i="5"/>
  <c r="GF63" i="5"/>
  <c r="GF62" i="5"/>
  <c r="GF61" i="5"/>
  <c r="GF60" i="5"/>
  <c r="GF59" i="5"/>
  <c r="GF58" i="5"/>
  <c r="GF57" i="5"/>
  <c r="GF56" i="5"/>
  <c r="GF55" i="5"/>
  <c r="GF54" i="5"/>
  <c r="GF53" i="5"/>
  <c r="GF52" i="5"/>
  <c r="GF51" i="5"/>
  <c r="GF50" i="5"/>
  <c r="GF49" i="5"/>
  <c r="GF48" i="5"/>
  <c r="GF47" i="5"/>
  <c r="GF46" i="5"/>
  <c r="GF45" i="5"/>
  <c r="GF44" i="5"/>
  <c r="GF43" i="5"/>
  <c r="GF42" i="5"/>
  <c r="GF41" i="5"/>
  <c r="GF40" i="5"/>
  <c r="GF39" i="5"/>
  <c r="GF38" i="5"/>
  <c r="GF37" i="5"/>
  <c r="GF36" i="5"/>
  <c r="GF35" i="5"/>
  <c r="GF34" i="5"/>
  <c r="GF33" i="5"/>
  <c r="GF32" i="5"/>
  <c r="GF31" i="5"/>
  <c r="GF30" i="5"/>
  <c r="GF29" i="5"/>
  <c r="GF28" i="5"/>
  <c r="GF27" i="5"/>
  <c r="GF26" i="5"/>
  <c r="GF25" i="5"/>
  <c r="GF24" i="5"/>
  <c r="GF23" i="5"/>
  <c r="GF22" i="5"/>
  <c r="GF21" i="5"/>
  <c r="GF20" i="5"/>
  <c r="GF19" i="5"/>
  <c r="GF18" i="5"/>
  <c r="GF17" i="5"/>
  <c r="GF16" i="5"/>
  <c r="GF15" i="5"/>
  <c r="GF14" i="5"/>
  <c r="GF13" i="5"/>
  <c r="GF12" i="5"/>
  <c r="GF11" i="5"/>
  <c r="GF10" i="5"/>
  <c r="GF9" i="5"/>
  <c r="GF8" i="5"/>
  <c r="GF7" i="5"/>
  <c r="GF6" i="5"/>
  <c r="GF5" i="5"/>
  <c r="GF4" i="5"/>
  <c r="GF3" i="5"/>
  <c r="GF99" i="5" s="1"/>
  <c r="GA104" i="5"/>
  <c r="GB98" i="5"/>
  <c r="GB97" i="5"/>
  <c r="GB96" i="5"/>
  <c r="GB95" i="5"/>
  <c r="GB94" i="5"/>
  <c r="GB93" i="5"/>
  <c r="GB92" i="5"/>
  <c r="GB91" i="5"/>
  <c r="GB90" i="5"/>
  <c r="GB89" i="5"/>
  <c r="GB88" i="5"/>
  <c r="GB87" i="5"/>
  <c r="GB86" i="5"/>
  <c r="GB85" i="5"/>
  <c r="GB84" i="5"/>
  <c r="GB83" i="5"/>
  <c r="GB82" i="5"/>
  <c r="GB81" i="5"/>
  <c r="GB80" i="5"/>
  <c r="GB79" i="5"/>
  <c r="GB78" i="5"/>
  <c r="GB77" i="5"/>
  <c r="GB76" i="5"/>
  <c r="GB75" i="5"/>
  <c r="GB74" i="5"/>
  <c r="GB73" i="5"/>
  <c r="GB72" i="5"/>
  <c r="GB71" i="5"/>
  <c r="GB70" i="5"/>
  <c r="GB69" i="5"/>
  <c r="GB68" i="5"/>
  <c r="GB67" i="5"/>
  <c r="GB66" i="5"/>
  <c r="GB65" i="5"/>
  <c r="GB64" i="5"/>
  <c r="GB63" i="5"/>
  <c r="GB62" i="5"/>
  <c r="GB61" i="5"/>
  <c r="GB60" i="5"/>
  <c r="GB59" i="5"/>
  <c r="GB58" i="5"/>
  <c r="GB57" i="5"/>
  <c r="GB56" i="5"/>
  <c r="GB55" i="5"/>
  <c r="GB54" i="5"/>
  <c r="GB53" i="5"/>
  <c r="GB52" i="5"/>
  <c r="GB51" i="5"/>
  <c r="GB50" i="5"/>
  <c r="GB49" i="5"/>
  <c r="GB48" i="5"/>
  <c r="GB47" i="5"/>
  <c r="GB46" i="5"/>
  <c r="GB45" i="5"/>
  <c r="GB44" i="5"/>
  <c r="GB43" i="5"/>
  <c r="GB42" i="5"/>
  <c r="GB41" i="5"/>
  <c r="GB40" i="5"/>
  <c r="GB39" i="5"/>
  <c r="GB38" i="5"/>
  <c r="GB37" i="5"/>
  <c r="GB36" i="5"/>
  <c r="GB35" i="5"/>
  <c r="GB34" i="5"/>
  <c r="GB33" i="5"/>
  <c r="GB32" i="5"/>
  <c r="GB31" i="5"/>
  <c r="GB30" i="5"/>
  <c r="GB29" i="5"/>
  <c r="GB28" i="5"/>
  <c r="GB27" i="5"/>
  <c r="GB26" i="5"/>
  <c r="GB25" i="5"/>
  <c r="GB24" i="5"/>
  <c r="GB23" i="5"/>
  <c r="GB22" i="5"/>
  <c r="GB21" i="5"/>
  <c r="GB20" i="5"/>
  <c r="GB19" i="5"/>
  <c r="GB18" i="5"/>
  <c r="GB17" i="5"/>
  <c r="GB16" i="5"/>
  <c r="GB15" i="5"/>
  <c r="GB14" i="5"/>
  <c r="GB13" i="5"/>
  <c r="GB12" i="5"/>
  <c r="GB11" i="5"/>
  <c r="GB10" i="5"/>
  <c r="GB9" i="5"/>
  <c r="GB8" i="5"/>
  <c r="GB7" i="5"/>
  <c r="GB6" i="5"/>
  <c r="GB5" i="5"/>
  <c r="GB4" i="5"/>
  <c r="GB3" i="5"/>
  <c r="GB99" i="5" s="1"/>
  <c r="FW104" i="5"/>
  <c r="FX98" i="5"/>
  <c r="FX97" i="5"/>
  <c r="FX96" i="5"/>
  <c r="FX95" i="5"/>
  <c r="FX94" i="5"/>
  <c r="FX93" i="5"/>
  <c r="FX92" i="5"/>
  <c r="FX91" i="5"/>
  <c r="FX90" i="5"/>
  <c r="FX89" i="5"/>
  <c r="FX88" i="5"/>
  <c r="FX87" i="5"/>
  <c r="FX86" i="5"/>
  <c r="FX85" i="5"/>
  <c r="FX84" i="5"/>
  <c r="FX83" i="5"/>
  <c r="FX82" i="5"/>
  <c r="FX81" i="5"/>
  <c r="FX80" i="5"/>
  <c r="FX79" i="5"/>
  <c r="FX78" i="5"/>
  <c r="FX77" i="5"/>
  <c r="FX76" i="5"/>
  <c r="FX75" i="5"/>
  <c r="FX74" i="5"/>
  <c r="FX73" i="5"/>
  <c r="FX72" i="5"/>
  <c r="FX71" i="5"/>
  <c r="FX70" i="5"/>
  <c r="FX69" i="5"/>
  <c r="FX68" i="5"/>
  <c r="FX67" i="5"/>
  <c r="FX66" i="5"/>
  <c r="FX65" i="5"/>
  <c r="FX64" i="5"/>
  <c r="FX63" i="5"/>
  <c r="FX62" i="5"/>
  <c r="FX61" i="5"/>
  <c r="FX60" i="5"/>
  <c r="FX59" i="5"/>
  <c r="FX58" i="5"/>
  <c r="FX57" i="5"/>
  <c r="FX56" i="5"/>
  <c r="FX55" i="5"/>
  <c r="FX54" i="5"/>
  <c r="FX53" i="5"/>
  <c r="FX52" i="5"/>
  <c r="FX51" i="5"/>
  <c r="FX50" i="5"/>
  <c r="FX49" i="5"/>
  <c r="FX48" i="5"/>
  <c r="FX47" i="5"/>
  <c r="FX46" i="5"/>
  <c r="FX45" i="5"/>
  <c r="FX44" i="5"/>
  <c r="FX43" i="5"/>
  <c r="FX42" i="5"/>
  <c r="FX41" i="5"/>
  <c r="FX40" i="5"/>
  <c r="FX39" i="5"/>
  <c r="FX38" i="5"/>
  <c r="FX37" i="5"/>
  <c r="FX36" i="5"/>
  <c r="FX35" i="5"/>
  <c r="FX34" i="5"/>
  <c r="FX33" i="5"/>
  <c r="FX32" i="5"/>
  <c r="FX31" i="5"/>
  <c r="FX30" i="5"/>
  <c r="FX29" i="5"/>
  <c r="FX28" i="5"/>
  <c r="FX27" i="5"/>
  <c r="FX26" i="5"/>
  <c r="FX25" i="5"/>
  <c r="FX24" i="5"/>
  <c r="FX23" i="5"/>
  <c r="FX22" i="5"/>
  <c r="FX21" i="5"/>
  <c r="FX20" i="5"/>
  <c r="FX19" i="5"/>
  <c r="FX18" i="5"/>
  <c r="FX17" i="5"/>
  <c r="FX16" i="5"/>
  <c r="FX15" i="5"/>
  <c r="FX14" i="5"/>
  <c r="FX13" i="5"/>
  <c r="FX12" i="5"/>
  <c r="FX11" i="5"/>
  <c r="FX10" i="5"/>
  <c r="FX9" i="5"/>
  <c r="FX8" i="5"/>
  <c r="FX7" i="5"/>
  <c r="FX6" i="5"/>
  <c r="FX5" i="5"/>
  <c r="FX4" i="5"/>
  <c r="FX3" i="5"/>
  <c r="FX99" i="5" s="1"/>
  <c r="FS104" i="5"/>
  <c r="FT98" i="5"/>
  <c r="FT97" i="5"/>
  <c r="FT96" i="5"/>
  <c r="FT95" i="5"/>
  <c r="FT94" i="5"/>
  <c r="FT93" i="5"/>
  <c r="FT92" i="5"/>
  <c r="FT91" i="5"/>
  <c r="FT90" i="5"/>
  <c r="FT89" i="5"/>
  <c r="FT88" i="5"/>
  <c r="FT87" i="5"/>
  <c r="FT86" i="5"/>
  <c r="FT85" i="5"/>
  <c r="FT84" i="5"/>
  <c r="FT83" i="5"/>
  <c r="FT82" i="5"/>
  <c r="FT81" i="5"/>
  <c r="FT80" i="5"/>
  <c r="FT79" i="5"/>
  <c r="FT78" i="5"/>
  <c r="FT77" i="5"/>
  <c r="FT76" i="5"/>
  <c r="FT75" i="5"/>
  <c r="FT74" i="5"/>
  <c r="FT73" i="5"/>
  <c r="FT72" i="5"/>
  <c r="FT71" i="5"/>
  <c r="FT70" i="5"/>
  <c r="FT69" i="5"/>
  <c r="FT68" i="5"/>
  <c r="FT67" i="5"/>
  <c r="FT66" i="5"/>
  <c r="FT65" i="5"/>
  <c r="FT64" i="5"/>
  <c r="FT63" i="5"/>
  <c r="FT62" i="5"/>
  <c r="FT61" i="5"/>
  <c r="FT60" i="5"/>
  <c r="FT59" i="5"/>
  <c r="FT58" i="5"/>
  <c r="FT57" i="5"/>
  <c r="FT56" i="5"/>
  <c r="FT55" i="5"/>
  <c r="FT54" i="5"/>
  <c r="FT53" i="5"/>
  <c r="FT52" i="5"/>
  <c r="FT51" i="5"/>
  <c r="FT50" i="5"/>
  <c r="FT49" i="5"/>
  <c r="FT48" i="5"/>
  <c r="FT47" i="5"/>
  <c r="FT46" i="5"/>
  <c r="FT45" i="5"/>
  <c r="FT44" i="5"/>
  <c r="FT43" i="5"/>
  <c r="FT42" i="5"/>
  <c r="FT41" i="5"/>
  <c r="FT40" i="5"/>
  <c r="FT39" i="5"/>
  <c r="FT38" i="5"/>
  <c r="FT37" i="5"/>
  <c r="FT36" i="5"/>
  <c r="FT35" i="5"/>
  <c r="FT34" i="5"/>
  <c r="FT33" i="5"/>
  <c r="FT32" i="5"/>
  <c r="FT31" i="5"/>
  <c r="FT30" i="5"/>
  <c r="FT29" i="5"/>
  <c r="FT28" i="5"/>
  <c r="FT27" i="5"/>
  <c r="FT26" i="5"/>
  <c r="FT25" i="5"/>
  <c r="FT24" i="5"/>
  <c r="FT23" i="5"/>
  <c r="FT22" i="5"/>
  <c r="FT21" i="5"/>
  <c r="FT20" i="5"/>
  <c r="FT19" i="5"/>
  <c r="FT18" i="5"/>
  <c r="FT17" i="5"/>
  <c r="FT16" i="5"/>
  <c r="FT15" i="5"/>
  <c r="FT14" i="5"/>
  <c r="FT13" i="5"/>
  <c r="FT12" i="5"/>
  <c r="FT11" i="5"/>
  <c r="FT10" i="5"/>
  <c r="FT9" i="5"/>
  <c r="FT8" i="5"/>
  <c r="FT7" i="5"/>
  <c r="FT6" i="5"/>
  <c r="FT5" i="5"/>
  <c r="FT4" i="5"/>
  <c r="FT3" i="5"/>
  <c r="FT99" i="5" s="1"/>
  <c r="FO104" i="5"/>
  <c r="FP98" i="5"/>
  <c r="FP97" i="5"/>
  <c r="FP96" i="5"/>
  <c r="FP95" i="5"/>
  <c r="FP94" i="5"/>
  <c r="FP93" i="5"/>
  <c r="FP92" i="5"/>
  <c r="FP91" i="5"/>
  <c r="FP90" i="5"/>
  <c r="FP89" i="5"/>
  <c r="FP88" i="5"/>
  <c r="FP87" i="5"/>
  <c r="FP86" i="5"/>
  <c r="FP85" i="5"/>
  <c r="FP84" i="5"/>
  <c r="FP83" i="5"/>
  <c r="FP82" i="5"/>
  <c r="FP81" i="5"/>
  <c r="FP80" i="5"/>
  <c r="FP79" i="5"/>
  <c r="FP78" i="5"/>
  <c r="FP77" i="5"/>
  <c r="FP76" i="5"/>
  <c r="FP75" i="5"/>
  <c r="FP74" i="5"/>
  <c r="FP73" i="5"/>
  <c r="FP72" i="5"/>
  <c r="FP71" i="5"/>
  <c r="FP70" i="5"/>
  <c r="FP69" i="5"/>
  <c r="FP68" i="5"/>
  <c r="FP67" i="5"/>
  <c r="FP66" i="5"/>
  <c r="FP65" i="5"/>
  <c r="FP64" i="5"/>
  <c r="FP63" i="5"/>
  <c r="FP62" i="5"/>
  <c r="FP61" i="5"/>
  <c r="FP60" i="5"/>
  <c r="FP59" i="5"/>
  <c r="FP58" i="5"/>
  <c r="FP57" i="5"/>
  <c r="FP56" i="5"/>
  <c r="FP55" i="5"/>
  <c r="FP54" i="5"/>
  <c r="FP53" i="5"/>
  <c r="FP52" i="5"/>
  <c r="FP51" i="5"/>
  <c r="FP50" i="5"/>
  <c r="FP49" i="5"/>
  <c r="FP48" i="5"/>
  <c r="FP47" i="5"/>
  <c r="FP46" i="5"/>
  <c r="FP45" i="5"/>
  <c r="FP44" i="5"/>
  <c r="FP43" i="5"/>
  <c r="FP42" i="5"/>
  <c r="FP41" i="5"/>
  <c r="FP40" i="5"/>
  <c r="FP39" i="5"/>
  <c r="FP38" i="5"/>
  <c r="FP37" i="5"/>
  <c r="FP36" i="5"/>
  <c r="FP35" i="5"/>
  <c r="FP34" i="5"/>
  <c r="FP33" i="5"/>
  <c r="FP32" i="5"/>
  <c r="FP31" i="5"/>
  <c r="FP30" i="5"/>
  <c r="FP29" i="5"/>
  <c r="FP28" i="5"/>
  <c r="FP27" i="5"/>
  <c r="FP26" i="5"/>
  <c r="FP25" i="5"/>
  <c r="FP24" i="5"/>
  <c r="FP23" i="5"/>
  <c r="FP22" i="5"/>
  <c r="FP21" i="5"/>
  <c r="FP20" i="5"/>
  <c r="FP19" i="5"/>
  <c r="FP18" i="5"/>
  <c r="FP17" i="5"/>
  <c r="FP16" i="5"/>
  <c r="FP15" i="5"/>
  <c r="FP14" i="5"/>
  <c r="FP13" i="5"/>
  <c r="FP12" i="5"/>
  <c r="FP11" i="5"/>
  <c r="FP10" i="5"/>
  <c r="FP9" i="5"/>
  <c r="FP8" i="5"/>
  <c r="FP7" i="5"/>
  <c r="FP6" i="5"/>
  <c r="FP5" i="5"/>
  <c r="FP4" i="5"/>
  <c r="FP3" i="5"/>
  <c r="FP99" i="5" s="1"/>
  <c r="FK104" i="5"/>
  <c r="FL98" i="5"/>
  <c r="FL97" i="5"/>
  <c r="FL96" i="5"/>
  <c r="FL95" i="5"/>
  <c r="FL94" i="5"/>
  <c r="FL93" i="5"/>
  <c r="FL92" i="5"/>
  <c r="FL91" i="5"/>
  <c r="FL90" i="5"/>
  <c r="FL89" i="5"/>
  <c r="FL88" i="5"/>
  <c r="FL87" i="5"/>
  <c r="FL86" i="5"/>
  <c r="FL85" i="5"/>
  <c r="FL84" i="5"/>
  <c r="FL83" i="5"/>
  <c r="FL82" i="5"/>
  <c r="FL81" i="5"/>
  <c r="FL80" i="5"/>
  <c r="FL79" i="5"/>
  <c r="FL78" i="5"/>
  <c r="FL77" i="5"/>
  <c r="FL76" i="5"/>
  <c r="FL75" i="5"/>
  <c r="FL74" i="5"/>
  <c r="FL73" i="5"/>
  <c r="FL72" i="5"/>
  <c r="FL71" i="5"/>
  <c r="FL70" i="5"/>
  <c r="FL69" i="5"/>
  <c r="FL68" i="5"/>
  <c r="FL67" i="5"/>
  <c r="FL66" i="5"/>
  <c r="FL65" i="5"/>
  <c r="FL64" i="5"/>
  <c r="FL63" i="5"/>
  <c r="FL62" i="5"/>
  <c r="FL61" i="5"/>
  <c r="FL60" i="5"/>
  <c r="FL59" i="5"/>
  <c r="FL58" i="5"/>
  <c r="FL57" i="5"/>
  <c r="FL56" i="5"/>
  <c r="FL55" i="5"/>
  <c r="FL54" i="5"/>
  <c r="FL53" i="5"/>
  <c r="FL52" i="5"/>
  <c r="FL51" i="5"/>
  <c r="FL50" i="5"/>
  <c r="FL49" i="5"/>
  <c r="FL48" i="5"/>
  <c r="FL47" i="5"/>
  <c r="FL46" i="5"/>
  <c r="FL45" i="5"/>
  <c r="FL44" i="5"/>
  <c r="FL43" i="5"/>
  <c r="FL42" i="5"/>
  <c r="FL41" i="5"/>
  <c r="FL40" i="5"/>
  <c r="FL39" i="5"/>
  <c r="FL38" i="5"/>
  <c r="FL37" i="5"/>
  <c r="FL36" i="5"/>
  <c r="FL35" i="5"/>
  <c r="FL34" i="5"/>
  <c r="FL33" i="5"/>
  <c r="FL32" i="5"/>
  <c r="FL31" i="5"/>
  <c r="FL30" i="5"/>
  <c r="FL29" i="5"/>
  <c r="FL28" i="5"/>
  <c r="FL27" i="5"/>
  <c r="FL26" i="5"/>
  <c r="FL25" i="5"/>
  <c r="FL24" i="5"/>
  <c r="FL23" i="5"/>
  <c r="FL22" i="5"/>
  <c r="FL21" i="5"/>
  <c r="FL20" i="5"/>
  <c r="FL19" i="5"/>
  <c r="FL18" i="5"/>
  <c r="FL17" i="5"/>
  <c r="FL16" i="5"/>
  <c r="FL15" i="5"/>
  <c r="FL14" i="5"/>
  <c r="FL13" i="5"/>
  <c r="FL12" i="5"/>
  <c r="FL11" i="5"/>
  <c r="FL10" i="5"/>
  <c r="FL9" i="5"/>
  <c r="FL8" i="5"/>
  <c r="FL7" i="5"/>
  <c r="FL6" i="5"/>
  <c r="FL5" i="5"/>
  <c r="FL4" i="5"/>
  <c r="FL3" i="5"/>
  <c r="FL99" i="5" s="1"/>
  <c r="FG104" i="5"/>
  <c r="FC104" i="5"/>
  <c r="FC99" i="5"/>
  <c r="FG99" i="5"/>
  <c r="FH98" i="5"/>
  <c r="FH97" i="5"/>
  <c r="FH96" i="5"/>
  <c r="FH95" i="5"/>
  <c r="FH94" i="5"/>
  <c r="FH93" i="5"/>
  <c r="FH92" i="5"/>
  <c r="FH91" i="5"/>
  <c r="FH90" i="5"/>
  <c r="FH89" i="5"/>
  <c r="FH88" i="5"/>
  <c r="FH87" i="5"/>
  <c r="FH86" i="5"/>
  <c r="FH85" i="5"/>
  <c r="FH84" i="5"/>
  <c r="FH83" i="5"/>
  <c r="FH82" i="5"/>
  <c r="FH81" i="5"/>
  <c r="FH80" i="5"/>
  <c r="FH79" i="5"/>
  <c r="FH78" i="5"/>
  <c r="FH77" i="5"/>
  <c r="FH76" i="5"/>
  <c r="FH75" i="5"/>
  <c r="FH74" i="5"/>
  <c r="FH73" i="5"/>
  <c r="FH72" i="5"/>
  <c r="FH71" i="5"/>
  <c r="FH70" i="5"/>
  <c r="FH69" i="5"/>
  <c r="FH68" i="5"/>
  <c r="FH67" i="5"/>
  <c r="FH66" i="5"/>
  <c r="FH65" i="5"/>
  <c r="FH64" i="5"/>
  <c r="FH63" i="5"/>
  <c r="FH62" i="5"/>
  <c r="FH61" i="5"/>
  <c r="FH60" i="5"/>
  <c r="FH59" i="5"/>
  <c r="FH58" i="5"/>
  <c r="FH57" i="5"/>
  <c r="FH56" i="5"/>
  <c r="FH55" i="5"/>
  <c r="FH54" i="5"/>
  <c r="FH53" i="5"/>
  <c r="FH52" i="5"/>
  <c r="FH51" i="5"/>
  <c r="FH50" i="5"/>
  <c r="FH49" i="5"/>
  <c r="FH48" i="5"/>
  <c r="FH47" i="5"/>
  <c r="FH46" i="5"/>
  <c r="FH45" i="5"/>
  <c r="FH44" i="5"/>
  <c r="FH43" i="5"/>
  <c r="FH42" i="5"/>
  <c r="FH41" i="5"/>
  <c r="FH40" i="5"/>
  <c r="FH39" i="5"/>
  <c r="FH38" i="5"/>
  <c r="FH37" i="5"/>
  <c r="FH36" i="5"/>
  <c r="FH35" i="5"/>
  <c r="FH34" i="5"/>
  <c r="FH33" i="5"/>
  <c r="FH32" i="5"/>
  <c r="FH31" i="5"/>
  <c r="FH30" i="5"/>
  <c r="FH29" i="5"/>
  <c r="FH28" i="5"/>
  <c r="FH27" i="5"/>
  <c r="FH26" i="5"/>
  <c r="FH25" i="5"/>
  <c r="FH24" i="5"/>
  <c r="FH23" i="5"/>
  <c r="FH22" i="5"/>
  <c r="FH21" i="5"/>
  <c r="FH20" i="5"/>
  <c r="FH19" i="5"/>
  <c r="FH18" i="5"/>
  <c r="FH17" i="5"/>
  <c r="FH16" i="5"/>
  <c r="FH15" i="5"/>
  <c r="FH14" i="5"/>
  <c r="FH13" i="5"/>
  <c r="FH12" i="5"/>
  <c r="FH11" i="5"/>
  <c r="FH10" i="5"/>
  <c r="FH9" i="5"/>
  <c r="FH8" i="5"/>
  <c r="FH7" i="5"/>
  <c r="FH6" i="5"/>
  <c r="FH5" i="5"/>
  <c r="FH4" i="5"/>
  <c r="FH3" i="5"/>
  <c r="FH99" i="5" s="1"/>
  <c r="IZ102" i="5" l="1"/>
  <c r="IZ101" i="5"/>
  <c r="IZ100" i="5" s="1"/>
  <c r="IV102" i="5"/>
  <c r="IV101" i="5"/>
  <c r="IV100" i="5" s="1"/>
  <c r="IR102" i="5"/>
  <c r="IR101" i="5"/>
  <c r="IR100" i="5" s="1"/>
  <c r="IN102" i="5"/>
  <c r="IN101" i="5"/>
  <c r="IN100" i="5" s="1"/>
  <c r="IJ102" i="5"/>
  <c r="IJ101" i="5"/>
  <c r="IJ100" i="5" s="1"/>
  <c r="IF102" i="5"/>
  <c r="IF101" i="5"/>
  <c r="IF100" i="5" s="1"/>
  <c r="IB102" i="5"/>
  <c r="IB101" i="5"/>
  <c r="IB100" i="5" s="1"/>
  <c r="HX102" i="5"/>
  <c r="HX101" i="5"/>
  <c r="HX100" i="5" s="1"/>
  <c r="HT102" i="5"/>
  <c r="HT101" i="5"/>
  <c r="HT100" i="5" s="1"/>
  <c r="HP102" i="5"/>
  <c r="HP101" i="5"/>
  <c r="HP100" i="5" s="1"/>
  <c r="HL102" i="5"/>
  <c r="HL101" i="5"/>
  <c r="HL100" i="5" s="1"/>
  <c r="HH102" i="5"/>
  <c r="HH101" i="5"/>
  <c r="HH100" i="5" s="1"/>
  <c r="HD102" i="5"/>
  <c r="HD101" i="5"/>
  <c r="HD100" i="5" s="1"/>
  <c r="GZ102" i="5"/>
  <c r="GZ101" i="5"/>
  <c r="GZ100" i="5" s="1"/>
  <c r="GV102" i="5"/>
  <c r="GV101" i="5"/>
  <c r="GV100" i="5" s="1"/>
  <c r="GR102" i="5"/>
  <c r="GR101" i="5"/>
  <c r="GR100" i="5" s="1"/>
  <c r="GN102" i="5"/>
  <c r="GN101" i="5"/>
  <c r="GN100" i="5" s="1"/>
  <c r="GJ102" i="5"/>
  <c r="GJ101" i="5"/>
  <c r="GJ100" i="5" s="1"/>
  <c r="GF102" i="5"/>
  <c r="GF101" i="5"/>
  <c r="GF100" i="5" s="1"/>
  <c r="GB102" i="5"/>
  <c r="GB101" i="5"/>
  <c r="GB100" i="5" s="1"/>
  <c r="FX102" i="5"/>
  <c r="FX101" i="5"/>
  <c r="FX100" i="5" s="1"/>
  <c r="FT102" i="5"/>
  <c r="FT101" i="5"/>
  <c r="FT100" i="5" s="1"/>
  <c r="FP102" i="5"/>
  <c r="FP101" i="5"/>
  <c r="FP100" i="5" s="1"/>
  <c r="FL102" i="5"/>
  <c r="FL101" i="5"/>
  <c r="FL100" i="5" s="1"/>
  <c r="FD98" i="5"/>
  <c r="FD97" i="5"/>
  <c r="FD96" i="5"/>
  <c r="FD95" i="5"/>
  <c r="FD94" i="5"/>
  <c r="FD93" i="5"/>
  <c r="FD92" i="5"/>
  <c r="FD91" i="5"/>
  <c r="FD90" i="5"/>
  <c r="FD89" i="5"/>
  <c r="FD88" i="5"/>
  <c r="FD87" i="5"/>
  <c r="FD86" i="5"/>
  <c r="FD85" i="5"/>
  <c r="FD84" i="5"/>
  <c r="FD83" i="5"/>
  <c r="FD82" i="5"/>
  <c r="FD81" i="5"/>
  <c r="FD80" i="5"/>
  <c r="FD79" i="5"/>
  <c r="FD78" i="5"/>
  <c r="FD77" i="5"/>
  <c r="FD76" i="5"/>
  <c r="FD75" i="5"/>
  <c r="FD74" i="5"/>
  <c r="FD73" i="5"/>
  <c r="FD72" i="5"/>
  <c r="FD71" i="5"/>
  <c r="FD70" i="5"/>
  <c r="FD69" i="5"/>
  <c r="FD68" i="5"/>
  <c r="FD67" i="5"/>
  <c r="FD66" i="5"/>
  <c r="FD65" i="5"/>
  <c r="FD64" i="5"/>
  <c r="FD63" i="5"/>
  <c r="FD62" i="5"/>
  <c r="FD61" i="5"/>
  <c r="FD60" i="5"/>
  <c r="FD59" i="5"/>
  <c r="FD58" i="5"/>
  <c r="FD57" i="5"/>
  <c r="FD56" i="5"/>
  <c r="FD55" i="5"/>
  <c r="FD54" i="5"/>
  <c r="FD53" i="5"/>
  <c r="FD52" i="5"/>
  <c r="FD51" i="5"/>
  <c r="FD50" i="5"/>
  <c r="FD49" i="5"/>
  <c r="FD48" i="5"/>
  <c r="FD47" i="5"/>
  <c r="FD46" i="5"/>
  <c r="FD45" i="5"/>
  <c r="FD44" i="5"/>
  <c r="FD43" i="5"/>
  <c r="FD42" i="5"/>
  <c r="FD41" i="5"/>
  <c r="FD40" i="5"/>
  <c r="FD39" i="5"/>
  <c r="FD38" i="5"/>
  <c r="FD37" i="5"/>
  <c r="FD36" i="5"/>
  <c r="FD35" i="5"/>
  <c r="FD34" i="5"/>
  <c r="FD33" i="5"/>
  <c r="FD32" i="5"/>
  <c r="FD31" i="5"/>
  <c r="FD30" i="5"/>
  <c r="FD29" i="5"/>
  <c r="FD28" i="5"/>
  <c r="FD27" i="5"/>
  <c r="FD26" i="5"/>
  <c r="FD25" i="5"/>
  <c r="FD24" i="5"/>
  <c r="FD23" i="5"/>
  <c r="FD22" i="5"/>
  <c r="FD21" i="5"/>
  <c r="FD20" i="5"/>
  <c r="FD19" i="5"/>
  <c r="FD18" i="5"/>
  <c r="FD17" i="5"/>
  <c r="FD16" i="5"/>
  <c r="FD15" i="5"/>
  <c r="FD14" i="5"/>
  <c r="FD13" i="5"/>
  <c r="FD12" i="5"/>
  <c r="FD11" i="5"/>
  <c r="FD10" i="5"/>
  <c r="FD9" i="5"/>
  <c r="FD8" i="5"/>
  <c r="FD7" i="5"/>
  <c r="FD6" i="5"/>
  <c r="FD5" i="5"/>
  <c r="FD4" i="5"/>
  <c r="FD3" i="5"/>
  <c r="FD99" i="5" s="1"/>
  <c r="EZ98" i="5"/>
  <c r="EZ97" i="5"/>
  <c r="EZ96" i="5"/>
  <c r="EZ95" i="5"/>
  <c r="EZ94" i="5"/>
  <c r="EZ93" i="5"/>
  <c r="EZ92" i="5"/>
  <c r="EZ91" i="5"/>
  <c r="EZ90" i="5"/>
  <c r="EZ89" i="5"/>
  <c r="EZ88" i="5"/>
  <c r="EZ87" i="5"/>
  <c r="EZ86" i="5"/>
  <c r="EZ85" i="5"/>
  <c r="EZ84" i="5"/>
  <c r="EZ83" i="5"/>
  <c r="EZ82" i="5"/>
  <c r="EZ81" i="5"/>
  <c r="EZ80" i="5"/>
  <c r="EZ79" i="5"/>
  <c r="EZ78" i="5"/>
  <c r="EZ77" i="5"/>
  <c r="EZ76" i="5"/>
  <c r="EZ75" i="5"/>
  <c r="EZ74" i="5"/>
  <c r="EZ73" i="5"/>
  <c r="EZ72" i="5"/>
  <c r="EZ71" i="5"/>
  <c r="EZ70" i="5"/>
  <c r="EZ69" i="5"/>
  <c r="EZ68" i="5"/>
  <c r="EZ67" i="5"/>
  <c r="EZ66" i="5"/>
  <c r="EZ65" i="5"/>
  <c r="EZ64" i="5"/>
  <c r="EZ63" i="5"/>
  <c r="EZ62" i="5"/>
  <c r="EZ61" i="5"/>
  <c r="EZ60" i="5"/>
  <c r="EZ59" i="5"/>
  <c r="EZ58" i="5"/>
  <c r="EZ57" i="5"/>
  <c r="EZ56" i="5"/>
  <c r="EZ55" i="5"/>
  <c r="EZ54" i="5"/>
  <c r="EZ53" i="5"/>
  <c r="EZ52" i="5"/>
  <c r="EZ51" i="5"/>
  <c r="EZ50" i="5"/>
  <c r="EZ49" i="5"/>
  <c r="EZ48" i="5"/>
  <c r="EZ47" i="5"/>
  <c r="EZ46" i="5"/>
  <c r="EZ45" i="5"/>
  <c r="EZ44" i="5"/>
  <c r="EZ43" i="5"/>
  <c r="EZ42" i="5"/>
  <c r="EZ41" i="5"/>
  <c r="EZ40" i="5"/>
  <c r="EZ39" i="5"/>
  <c r="EZ38" i="5"/>
  <c r="EZ37" i="5"/>
  <c r="EZ36" i="5"/>
  <c r="EZ35" i="5"/>
  <c r="EZ34" i="5"/>
  <c r="EZ33" i="5"/>
  <c r="EZ32" i="5"/>
  <c r="EZ31" i="5"/>
  <c r="EZ30" i="5"/>
  <c r="EZ29" i="5"/>
  <c r="EZ28" i="5"/>
  <c r="EZ27" i="5"/>
  <c r="EZ26" i="5"/>
  <c r="EZ25" i="5"/>
  <c r="EZ24" i="5"/>
  <c r="EZ23" i="5"/>
  <c r="EZ22" i="5"/>
  <c r="EZ21" i="5"/>
  <c r="EZ20" i="5"/>
  <c r="EZ19" i="5"/>
  <c r="EZ18" i="5"/>
  <c r="EZ17" i="5"/>
  <c r="EZ16" i="5"/>
  <c r="EZ15" i="5"/>
  <c r="EZ14" i="5"/>
  <c r="EZ13" i="5"/>
  <c r="EZ12" i="5"/>
  <c r="EZ11" i="5"/>
  <c r="EZ10" i="5"/>
  <c r="EZ9" i="5"/>
  <c r="EZ8" i="5"/>
  <c r="EZ7" i="5"/>
  <c r="EZ6" i="5"/>
  <c r="EZ5" i="5"/>
  <c r="EZ4" i="5"/>
  <c r="EZ3" i="5"/>
  <c r="EZ99" i="5" s="1"/>
  <c r="EV98" i="5"/>
  <c r="EV97" i="5"/>
  <c r="EV96" i="5"/>
  <c r="EV95" i="5"/>
  <c r="EV94" i="5"/>
  <c r="EV93" i="5"/>
  <c r="EV92" i="5"/>
  <c r="EV91" i="5"/>
  <c r="EV90" i="5"/>
  <c r="EV89" i="5"/>
  <c r="EV88" i="5"/>
  <c r="EV87" i="5"/>
  <c r="EV86" i="5"/>
  <c r="EV85" i="5"/>
  <c r="EV84" i="5"/>
  <c r="EV83" i="5"/>
  <c r="EV82" i="5"/>
  <c r="EV81" i="5"/>
  <c r="EV80" i="5"/>
  <c r="EV79" i="5"/>
  <c r="EV78" i="5"/>
  <c r="EV77" i="5"/>
  <c r="EV76" i="5"/>
  <c r="EV75" i="5"/>
  <c r="EV74" i="5"/>
  <c r="EV73" i="5"/>
  <c r="EV72" i="5"/>
  <c r="EV71" i="5"/>
  <c r="EV70" i="5"/>
  <c r="EV69" i="5"/>
  <c r="EV68" i="5"/>
  <c r="EV67" i="5"/>
  <c r="EV66" i="5"/>
  <c r="EV65" i="5"/>
  <c r="EV64" i="5"/>
  <c r="EV63" i="5"/>
  <c r="EV62" i="5"/>
  <c r="EV61" i="5"/>
  <c r="EV60" i="5"/>
  <c r="EV59" i="5"/>
  <c r="EV58" i="5"/>
  <c r="EV57" i="5"/>
  <c r="EV56" i="5"/>
  <c r="EV55" i="5"/>
  <c r="EV54" i="5"/>
  <c r="EV53" i="5"/>
  <c r="EV52" i="5"/>
  <c r="EV51" i="5"/>
  <c r="EV50" i="5"/>
  <c r="EV49" i="5"/>
  <c r="EV48" i="5"/>
  <c r="EV47" i="5"/>
  <c r="EV46" i="5"/>
  <c r="EV45" i="5"/>
  <c r="EV44" i="5"/>
  <c r="EV43" i="5"/>
  <c r="EV42" i="5"/>
  <c r="EV41" i="5"/>
  <c r="EV40" i="5"/>
  <c r="EV39" i="5"/>
  <c r="EV38" i="5"/>
  <c r="EV37" i="5"/>
  <c r="EV36" i="5"/>
  <c r="EV35" i="5"/>
  <c r="EV34" i="5"/>
  <c r="EV33" i="5"/>
  <c r="EV32" i="5"/>
  <c r="EV31" i="5"/>
  <c r="EV30" i="5"/>
  <c r="EV29" i="5"/>
  <c r="EV28" i="5"/>
  <c r="EV27" i="5"/>
  <c r="EV26" i="5"/>
  <c r="EV25" i="5"/>
  <c r="EV24" i="5"/>
  <c r="EV23" i="5"/>
  <c r="EV22" i="5"/>
  <c r="EV21" i="5"/>
  <c r="EV20" i="5"/>
  <c r="EV19" i="5"/>
  <c r="EV18" i="5"/>
  <c r="EV17" i="5"/>
  <c r="EV16" i="5"/>
  <c r="EV15" i="5"/>
  <c r="EV14" i="5"/>
  <c r="EV13" i="5"/>
  <c r="EV12" i="5"/>
  <c r="EV11" i="5"/>
  <c r="EV10" i="5"/>
  <c r="EV9" i="5"/>
  <c r="EV8" i="5"/>
  <c r="EV7" i="5"/>
  <c r="EV6" i="5"/>
  <c r="EV5" i="5"/>
  <c r="EV4" i="5"/>
  <c r="EV3" i="5"/>
  <c r="EV99" i="5" s="1"/>
  <c r="T4" i="14"/>
  <c r="U4" i="14"/>
  <c r="T5" i="14"/>
  <c r="U5" i="14"/>
  <c r="T6" i="14"/>
  <c r="U6" i="14"/>
  <c r="T7" i="14"/>
  <c r="U7" i="14"/>
  <c r="T8" i="14"/>
  <c r="U8" i="14"/>
  <c r="T9" i="14"/>
  <c r="U9" i="14"/>
  <c r="T10" i="14"/>
  <c r="U10" i="14"/>
  <c r="T11" i="14"/>
  <c r="U11" i="14"/>
  <c r="T12" i="14"/>
  <c r="U12" i="14"/>
  <c r="T13" i="14"/>
  <c r="U13" i="14"/>
  <c r="T14" i="14"/>
  <c r="U14" i="14"/>
  <c r="T15" i="14"/>
  <c r="U15" i="14"/>
  <c r="U16" i="14"/>
  <c r="T17" i="14"/>
  <c r="U17" i="14"/>
  <c r="T18" i="14"/>
  <c r="U18" i="14"/>
  <c r="T19" i="14"/>
  <c r="U19" i="14"/>
  <c r="U20" i="14"/>
  <c r="T21" i="14"/>
  <c r="U21" i="14"/>
  <c r="U22" i="14"/>
  <c r="T23" i="14"/>
  <c r="U23" i="14"/>
  <c r="T24" i="14"/>
  <c r="U24" i="14"/>
  <c r="U25" i="14"/>
  <c r="T26" i="14"/>
  <c r="U26" i="14"/>
  <c r="T27" i="14"/>
  <c r="U27" i="14"/>
  <c r="T28" i="14"/>
  <c r="U28" i="14"/>
  <c r="T29" i="14"/>
  <c r="U29" i="14"/>
  <c r="EQ99" i="5"/>
  <c r="EM99" i="5"/>
  <c r="EI99" i="5"/>
  <c r="EE99" i="5"/>
  <c r="EA99" i="5"/>
  <c r="DW99" i="5"/>
  <c r="D32" i="24" s="1"/>
  <c r="ER98" i="5"/>
  <c r="ER97" i="5"/>
  <c r="ER96" i="5"/>
  <c r="ER95" i="5"/>
  <c r="ER94" i="5"/>
  <c r="ER93" i="5"/>
  <c r="ER92" i="5"/>
  <c r="ER91" i="5"/>
  <c r="ER90" i="5"/>
  <c r="ER89" i="5"/>
  <c r="ER88" i="5"/>
  <c r="ER87" i="5"/>
  <c r="ER86" i="5"/>
  <c r="ER85" i="5"/>
  <c r="ER84" i="5"/>
  <c r="ER83" i="5"/>
  <c r="ER82" i="5"/>
  <c r="ER81" i="5"/>
  <c r="ER80" i="5"/>
  <c r="ER79" i="5"/>
  <c r="ER78" i="5"/>
  <c r="ER77" i="5"/>
  <c r="ER76" i="5"/>
  <c r="ER75" i="5"/>
  <c r="ER74" i="5"/>
  <c r="ER73" i="5"/>
  <c r="ER72" i="5"/>
  <c r="ER71" i="5"/>
  <c r="ER70" i="5"/>
  <c r="ER69" i="5"/>
  <c r="ER68" i="5"/>
  <c r="ER67" i="5"/>
  <c r="ER66" i="5"/>
  <c r="ER65" i="5"/>
  <c r="ER64" i="5"/>
  <c r="ER63" i="5"/>
  <c r="ER62" i="5"/>
  <c r="ER61" i="5"/>
  <c r="ER60" i="5"/>
  <c r="ER59" i="5"/>
  <c r="ER58" i="5"/>
  <c r="ER57" i="5"/>
  <c r="ER56" i="5"/>
  <c r="ER55" i="5"/>
  <c r="ER54" i="5"/>
  <c r="ER53" i="5"/>
  <c r="ER52" i="5"/>
  <c r="ER51" i="5"/>
  <c r="ER50" i="5"/>
  <c r="ER49" i="5"/>
  <c r="ER48" i="5"/>
  <c r="ER47" i="5"/>
  <c r="ER46" i="5"/>
  <c r="ER45" i="5"/>
  <c r="ER44" i="5"/>
  <c r="ER43" i="5"/>
  <c r="ER42" i="5"/>
  <c r="ER41" i="5"/>
  <c r="ER40" i="5"/>
  <c r="ER39" i="5"/>
  <c r="ER38" i="5"/>
  <c r="ER37" i="5"/>
  <c r="ER36" i="5"/>
  <c r="ER35" i="5"/>
  <c r="ER34" i="5"/>
  <c r="ER33" i="5"/>
  <c r="ER32" i="5"/>
  <c r="ER31" i="5"/>
  <c r="ER30" i="5"/>
  <c r="ER29" i="5"/>
  <c r="ER28" i="5"/>
  <c r="ER27" i="5"/>
  <c r="ER26" i="5"/>
  <c r="ER25" i="5"/>
  <c r="ER24" i="5"/>
  <c r="ER23" i="5"/>
  <c r="ER22" i="5"/>
  <c r="ER21" i="5"/>
  <c r="ER20" i="5"/>
  <c r="ER19" i="5"/>
  <c r="ER18" i="5"/>
  <c r="ER17" i="5"/>
  <c r="ER16" i="5"/>
  <c r="ER15" i="5"/>
  <c r="ER14" i="5"/>
  <c r="ER13" i="5"/>
  <c r="ER12" i="5"/>
  <c r="ER11" i="5"/>
  <c r="ER10" i="5"/>
  <c r="ER9" i="5"/>
  <c r="ER8" i="5"/>
  <c r="ER7" i="5"/>
  <c r="ER6" i="5"/>
  <c r="ER5" i="5"/>
  <c r="ER4" i="5"/>
  <c r="ER3" i="5"/>
  <c r="ER99" i="5" s="1"/>
  <c r="EN98" i="5"/>
  <c r="EN97" i="5"/>
  <c r="EN96" i="5"/>
  <c r="EN95" i="5"/>
  <c r="EN94" i="5"/>
  <c r="EN93" i="5"/>
  <c r="EN92" i="5"/>
  <c r="EN91" i="5"/>
  <c r="EN90" i="5"/>
  <c r="EN89" i="5"/>
  <c r="EN88" i="5"/>
  <c r="EN87" i="5"/>
  <c r="EN86" i="5"/>
  <c r="EN85" i="5"/>
  <c r="EN84" i="5"/>
  <c r="EN83" i="5"/>
  <c r="EN82" i="5"/>
  <c r="EN81" i="5"/>
  <c r="EN80" i="5"/>
  <c r="EN79" i="5"/>
  <c r="EN78" i="5"/>
  <c r="EN77" i="5"/>
  <c r="EN76" i="5"/>
  <c r="EN75" i="5"/>
  <c r="EN74" i="5"/>
  <c r="EN73" i="5"/>
  <c r="EN72" i="5"/>
  <c r="EN71" i="5"/>
  <c r="EN70" i="5"/>
  <c r="EN69" i="5"/>
  <c r="EN68" i="5"/>
  <c r="EN67" i="5"/>
  <c r="EN66" i="5"/>
  <c r="EN65" i="5"/>
  <c r="EN64" i="5"/>
  <c r="EN63" i="5"/>
  <c r="EN62" i="5"/>
  <c r="EN61" i="5"/>
  <c r="EN60" i="5"/>
  <c r="EN59" i="5"/>
  <c r="EN58" i="5"/>
  <c r="EN57" i="5"/>
  <c r="EN56" i="5"/>
  <c r="EN55" i="5"/>
  <c r="EN54" i="5"/>
  <c r="EN53" i="5"/>
  <c r="EN52" i="5"/>
  <c r="EN51" i="5"/>
  <c r="EN50" i="5"/>
  <c r="EN49" i="5"/>
  <c r="EN48" i="5"/>
  <c r="EN47" i="5"/>
  <c r="EN46" i="5"/>
  <c r="EN45" i="5"/>
  <c r="EN44" i="5"/>
  <c r="EN43" i="5"/>
  <c r="EN42" i="5"/>
  <c r="EN41" i="5"/>
  <c r="EN40" i="5"/>
  <c r="EN39" i="5"/>
  <c r="EN38" i="5"/>
  <c r="EN37" i="5"/>
  <c r="EN36" i="5"/>
  <c r="EN35" i="5"/>
  <c r="EN34" i="5"/>
  <c r="EN33" i="5"/>
  <c r="EN32" i="5"/>
  <c r="EN31" i="5"/>
  <c r="EN30" i="5"/>
  <c r="EN29" i="5"/>
  <c r="EN28" i="5"/>
  <c r="EN27" i="5"/>
  <c r="EN26" i="5"/>
  <c r="EN25" i="5"/>
  <c r="EN24" i="5"/>
  <c r="EN23" i="5"/>
  <c r="EN22" i="5"/>
  <c r="EN21" i="5"/>
  <c r="EN20" i="5"/>
  <c r="EN19" i="5"/>
  <c r="EN18" i="5"/>
  <c r="EN17" i="5"/>
  <c r="EN16" i="5"/>
  <c r="EN15" i="5"/>
  <c r="EN14" i="5"/>
  <c r="EN13" i="5"/>
  <c r="EN12" i="5"/>
  <c r="EN11" i="5"/>
  <c r="EN10" i="5"/>
  <c r="EN9" i="5"/>
  <c r="EN8" i="5"/>
  <c r="EN7" i="5"/>
  <c r="EN6" i="5"/>
  <c r="EN5" i="5"/>
  <c r="EN4" i="5"/>
  <c r="EN3" i="5"/>
  <c r="EN99" i="5" s="1"/>
  <c r="R15" i="18"/>
  <c r="R16" i="18"/>
  <c r="T21" i="18"/>
  <c r="BO99" i="5"/>
  <c r="BK99" i="5"/>
  <c r="BG99" i="5"/>
  <c r="BD99" i="5"/>
  <c r="BL98" i="5"/>
  <c r="BH98" i="5"/>
  <c r="BL97" i="5"/>
  <c r="BH97" i="5"/>
  <c r="BL96" i="5"/>
  <c r="BH96" i="5"/>
  <c r="BL95" i="5"/>
  <c r="BH95" i="5"/>
  <c r="BL94" i="5"/>
  <c r="BH94" i="5"/>
  <c r="BL93" i="5"/>
  <c r="BH93" i="5"/>
  <c r="BL92" i="5"/>
  <c r="BH92" i="5"/>
  <c r="BL91" i="5"/>
  <c r="BH91" i="5"/>
  <c r="BL90" i="5"/>
  <c r="BH90" i="5"/>
  <c r="BL89" i="5"/>
  <c r="BH89" i="5"/>
  <c r="BL88" i="5"/>
  <c r="BH88" i="5"/>
  <c r="BL87" i="5"/>
  <c r="BH87" i="5"/>
  <c r="BL86" i="5"/>
  <c r="BH86" i="5"/>
  <c r="BL85" i="5"/>
  <c r="BH85" i="5"/>
  <c r="BL84" i="5"/>
  <c r="BH84" i="5"/>
  <c r="BL83" i="5"/>
  <c r="BH83" i="5"/>
  <c r="BL82" i="5"/>
  <c r="BH82" i="5"/>
  <c r="BL81" i="5"/>
  <c r="BH81" i="5"/>
  <c r="BL80" i="5"/>
  <c r="BH80" i="5"/>
  <c r="BL79" i="5"/>
  <c r="BH79" i="5"/>
  <c r="BL78" i="5"/>
  <c r="BH78" i="5"/>
  <c r="BL77" i="5"/>
  <c r="BH77" i="5"/>
  <c r="BL76" i="5"/>
  <c r="BH76" i="5"/>
  <c r="BL75" i="5"/>
  <c r="BH75" i="5"/>
  <c r="BL74" i="5"/>
  <c r="BH74" i="5"/>
  <c r="BL73" i="5"/>
  <c r="BH73" i="5"/>
  <c r="BL72" i="5"/>
  <c r="BH72" i="5"/>
  <c r="BL71" i="5"/>
  <c r="BH71" i="5"/>
  <c r="BL70" i="5"/>
  <c r="BH70" i="5"/>
  <c r="BL69" i="5"/>
  <c r="BH69" i="5"/>
  <c r="BL68" i="5"/>
  <c r="BH68" i="5"/>
  <c r="BL67" i="5"/>
  <c r="BH67" i="5"/>
  <c r="BL66" i="5"/>
  <c r="BH66" i="5"/>
  <c r="BL65" i="5"/>
  <c r="BH65" i="5"/>
  <c r="BL64" i="5"/>
  <c r="BH64" i="5"/>
  <c r="BL63" i="5"/>
  <c r="BH63" i="5"/>
  <c r="BL62" i="5"/>
  <c r="BH62" i="5"/>
  <c r="BL61" i="5"/>
  <c r="BH61" i="5"/>
  <c r="BL60" i="5"/>
  <c r="BH60" i="5"/>
  <c r="BL59" i="5"/>
  <c r="BH59" i="5"/>
  <c r="BL58" i="5"/>
  <c r="BH58" i="5"/>
  <c r="BL57" i="5"/>
  <c r="BH57" i="5"/>
  <c r="BL56" i="5"/>
  <c r="BH56" i="5"/>
  <c r="BL55" i="5"/>
  <c r="BH55" i="5"/>
  <c r="BL54" i="5"/>
  <c r="BH54" i="5"/>
  <c r="BL53" i="5"/>
  <c r="BH53" i="5"/>
  <c r="BL52" i="5"/>
  <c r="BH52" i="5"/>
  <c r="BL51" i="5"/>
  <c r="BH51" i="5"/>
  <c r="BL50" i="5"/>
  <c r="BH50" i="5"/>
  <c r="BL49" i="5"/>
  <c r="BH49" i="5"/>
  <c r="BL48" i="5"/>
  <c r="BH48" i="5"/>
  <c r="BL47" i="5"/>
  <c r="BH47" i="5"/>
  <c r="BL46" i="5"/>
  <c r="BH46" i="5"/>
  <c r="BL45" i="5"/>
  <c r="BH45" i="5"/>
  <c r="BL44" i="5"/>
  <c r="BH44" i="5"/>
  <c r="BL43" i="5"/>
  <c r="BH43" i="5"/>
  <c r="BL42" i="5"/>
  <c r="BH42" i="5"/>
  <c r="BL41" i="5"/>
  <c r="BH41" i="5"/>
  <c r="BL40" i="5"/>
  <c r="BH40" i="5"/>
  <c r="BL39" i="5"/>
  <c r="BH39" i="5"/>
  <c r="BL38" i="5"/>
  <c r="BH38" i="5"/>
  <c r="BL37" i="5"/>
  <c r="BH37" i="5"/>
  <c r="BL36" i="5"/>
  <c r="BH36" i="5"/>
  <c r="BL35" i="5"/>
  <c r="BH35" i="5"/>
  <c r="BL34" i="5"/>
  <c r="BH34" i="5"/>
  <c r="BL33" i="5"/>
  <c r="BH33" i="5"/>
  <c r="BL32" i="5"/>
  <c r="BH32" i="5"/>
  <c r="BL31" i="5"/>
  <c r="BH31" i="5"/>
  <c r="BL30" i="5"/>
  <c r="BH30" i="5"/>
  <c r="BL29" i="5"/>
  <c r="BH29" i="5"/>
  <c r="BL28" i="5"/>
  <c r="BH28" i="5"/>
  <c r="BL27" i="5"/>
  <c r="BH27" i="5"/>
  <c r="BL26" i="5"/>
  <c r="BH26" i="5"/>
  <c r="BL25" i="5"/>
  <c r="BH25" i="5"/>
  <c r="BL24" i="5"/>
  <c r="BH24" i="5"/>
  <c r="BL23" i="5"/>
  <c r="BH23" i="5"/>
  <c r="BL22" i="5"/>
  <c r="BH22" i="5"/>
  <c r="BL21" i="5"/>
  <c r="BH21" i="5"/>
  <c r="BL20" i="5"/>
  <c r="BH20" i="5"/>
  <c r="BL19" i="5"/>
  <c r="BH19" i="5"/>
  <c r="BL18" i="5"/>
  <c r="BH18" i="5"/>
  <c r="BL17" i="5"/>
  <c r="BH17" i="5"/>
  <c r="BL16" i="5"/>
  <c r="BH16" i="5"/>
  <c r="BL15" i="5"/>
  <c r="BH15" i="5"/>
  <c r="BL14" i="5"/>
  <c r="BH14" i="5"/>
  <c r="BL13" i="5"/>
  <c r="BH13" i="5"/>
  <c r="BL12" i="5"/>
  <c r="BH12" i="5"/>
  <c r="BL11" i="5"/>
  <c r="BH11" i="5"/>
  <c r="BL10" i="5"/>
  <c r="BH10" i="5"/>
  <c r="BL9" i="5"/>
  <c r="BH9" i="5"/>
  <c r="BL8" i="5"/>
  <c r="BH8" i="5"/>
  <c r="BL7" i="5"/>
  <c r="BH7" i="5"/>
  <c r="BL6" i="5"/>
  <c r="BH6" i="5"/>
  <c r="BL5" i="5"/>
  <c r="BH5" i="5"/>
  <c r="BL4" i="5"/>
  <c r="BH4" i="5"/>
  <c r="BL3" i="5"/>
  <c r="BL99" i="5" s="1"/>
  <c r="BH3" i="5"/>
  <c r="BH99" i="5" s="1"/>
  <c r="DS99" i="5"/>
  <c r="DO99" i="5"/>
  <c r="DK99" i="5"/>
  <c r="DG99" i="5"/>
  <c r="DC99" i="5"/>
  <c r="CY99" i="5"/>
  <c r="CU99" i="5"/>
  <c r="CQ99" i="5"/>
  <c r="CM99" i="5"/>
  <c r="CI99" i="5"/>
  <c r="CE99" i="5"/>
  <c r="CA99" i="5"/>
  <c r="BW99" i="5"/>
  <c r="BS99" i="5"/>
  <c r="EJ98" i="5"/>
  <c r="EF98" i="5"/>
  <c r="EB98" i="5"/>
  <c r="DX98" i="5"/>
  <c r="DT98" i="5"/>
  <c r="DP98" i="5"/>
  <c r="DL98" i="5"/>
  <c r="DH98" i="5"/>
  <c r="DD98" i="5"/>
  <c r="CZ98" i="5"/>
  <c r="CV98" i="5"/>
  <c r="CR98" i="5"/>
  <c r="CN98" i="5"/>
  <c r="CJ98" i="5"/>
  <c r="CF98" i="5"/>
  <c r="CB98" i="5"/>
  <c r="BX98" i="5"/>
  <c r="BT98" i="5"/>
  <c r="EJ97" i="5"/>
  <c r="EF97" i="5"/>
  <c r="EB97" i="5"/>
  <c r="DX97" i="5"/>
  <c r="DT97" i="5"/>
  <c r="DP97" i="5"/>
  <c r="DL97" i="5"/>
  <c r="DH97" i="5"/>
  <c r="DD97" i="5"/>
  <c r="CZ97" i="5"/>
  <c r="CV97" i="5"/>
  <c r="CR97" i="5"/>
  <c r="CN97" i="5"/>
  <c r="CJ97" i="5"/>
  <c r="CF97" i="5"/>
  <c r="CB97" i="5"/>
  <c r="BX97" i="5"/>
  <c r="BT97" i="5"/>
  <c r="EJ96" i="5"/>
  <c r="EF96" i="5"/>
  <c r="EB96" i="5"/>
  <c r="DX96" i="5"/>
  <c r="DT96" i="5"/>
  <c r="DP96" i="5"/>
  <c r="DL96" i="5"/>
  <c r="DH96" i="5"/>
  <c r="DD96" i="5"/>
  <c r="CZ96" i="5"/>
  <c r="CV96" i="5"/>
  <c r="CR96" i="5"/>
  <c r="CN96" i="5"/>
  <c r="CJ96" i="5"/>
  <c r="CF96" i="5"/>
  <c r="CB96" i="5"/>
  <c r="BX96" i="5"/>
  <c r="BT96" i="5"/>
  <c r="EJ95" i="5"/>
  <c r="EF95" i="5"/>
  <c r="EB95" i="5"/>
  <c r="DX95" i="5"/>
  <c r="DT95" i="5"/>
  <c r="DP95" i="5"/>
  <c r="DL95" i="5"/>
  <c r="DH95" i="5"/>
  <c r="DD95" i="5"/>
  <c r="CZ95" i="5"/>
  <c r="CV95" i="5"/>
  <c r="CR95" i="5"/>
  <c r="CN95" i="5"/>
  <c r="CJ95" i="5"/>
  <c r="CF95" i="5"/>
  <c r="CB95" i="5"/>
  <c r="BX95" i="5"/>
  <c r="BT95" i="5"/>
  <c r="EJ94" i="5"/>
  <c r="EF94" i="5"/>
  <c r="EB94" i="5"/>
  <c r="DX94" i="5"/>
  <c r="DT94" i="5"/>
  <c r="DP94" i="5"/>
  <c r="DL94" i="5"/>
  <c r="DH94" i="5"/>
  <c r="DD94" i="5"/>
  <c r="CZ94" i="5"/>
  <c r="CV94" i="5"/>
  <c r="CR94" i="5"/>
  <c r="CN94" i="5"/>
  <c r="CJ94" i="5"/>
  <c r="CF94" i="5"/>
  <c r="CB94" i="5"/>
  <c r="BX94" i="5"/>
  <c r="BT94" i="5"/>
  <c r="EJ93" i="5"/>
  <c r="EF93" i="5"/>
  <c r="EB93" i="5"/>
  <c r="DX93" i="5"/>
  <c r="DT93" i="5"/>
  <c r="DP93" i="5"/>
  <c r="DL93" i="5"/>
  <c r="DH93" i="5"/>
  <c r="DD93" i="5"/>
  <c r="CZ93" i="5"/>
  <c r="CV93" i="5"/>
  <c r="CR93" i="5"/>
  <c r="CN93" i="5"/>
  <c r="CJ93" i="5"/>
  <c r="CF93" i="5"/>
  <c r="CB93" i="5"/>
  <c r="BX93" i="5"/>
  <c r="BT93" i="5"/>
  <c r="EJ92" i="5"/>
  <c r="EF92" i="5"/>
  <c r="EB92" i="5"/>
  <c r="DX92" i="5"/>
  <c r="DT92" i="5"/>
  <c r="DP92" i="5"/>
  <c r="DL92" i="5"/>
  <c r="DH92" i="5"/>
  <c r="DD92" i="5"/>
  <c r="CZ92" i="5"/>
  <c r="CV92" i="5"/>
  <c r="CR92" i="5"/>
  <c r="CN92" i="5"/>
  <c r="CJ92" i="5"/>
  <c r="CF92" i="5"/>
  <c r="CB92" i="5"/>
  <c r="BX92" i="5"/>
  <c r="BT92" i="5"/>
  <c r="EJ91" i="5"/>
  <c r="EF91" i="5"/>
  <c r="EB91" i="5"/>
  <c r="DX91" i="5"/>
  <c r="DT91" i="5"/>
  <c r="DP91" i="5"/>
  <c r="DL91" i="5"/>
  <c r="DH91" i="5"/>
  <c r="DD91" i="5"/>
  <c r="CZ91" i="5"/>
  <c r="CV91" i="5"/>
  <c r="CR91" i="5"/>
  <c r="CN91" i="5"/>
  <c r="CJ91" i="5"/>
  <c r="CF91" i="5"/>
  <c r="CB91" i="5"/>
  <c r="BX91" i="5"/>
  <c r="BT91" i="5"/>
  <c r="EJ90" i="5"/>
  <c r="EF90" i="5"/>
  <c r="EB90" i="5"/>
  <c r="DX90" i="5"/>
  <c r="DT90" i="5"/>
  <c r="DP90" i="5"/>
  <c r="DL90" i="5"/>
  <c r="DH90" i="5"/>
  <c r="DD90" i="5"/>
  <c r="CZ90" i="5"/>
  <c r="CV90" i="5"/>
  <c r="CR90" i="5"/>
  <c r="CN90" i="5"/>
  <c r="CJ90" i="5"/>
  <c r="CF90" i="5"/>
  <c r="CB90" i="5"/>
  <c r="BX90" i="5"/>
  <c r="BT90" i="5"/>
  <c r="EJ89" i="5"/>
  <c r="EF89" i="5"/>
  <c r="EB89" i="5"/>
  <c r="DX89" i="5"/>
  <c r="DT89" i="5"/>
  <c r="DP89" i="5"/>
  <c r="DL89" i="5"/>
  <c r="DH89" i="5"/>
  <c r="DD89" i="5"/>
  <c r="CZ89" i="5"/>
  <c r="CV89" i="5"/>
  <c r="CR89" i="5"/>
  <c r="CN89" i="5"/>
  <c r="CJ89" i="5"/>
  <c r="CF89" i="5"/>
  <c r="CB89" i="5"/>
  <c r="BX89" i="5"/>
  <c r="BT89" i="5"/>
  <c r="EJ88" i="5"/>
  <c r="EF88" i="5"/>
  <c r="EB88" i="5"/>
  <c r="DX88" i="5"/>
  <c r="DT88" i="5"/>
  <c r="DP88" i="5"/>
  <c r="DL88" i="5"/>
  <c r="DH88" i="5"/>
  <c r="DD88" i="5"/>
  <c r="CZ88" i="5"/>
  <c r="CV88" i="5"/>
  <c r="CR88" i="5"/>
  <c r="CN88" i="5"/>
  <c r="CJ88" i="5"/>
  <c r="CF88" i="5"/>
  <c r="CB88" i="5"/>
  <c r="BX88" i="5"/>
  <c r="BT88" i="5"/>
  <c r="EJ87" i="5"/>
  <c r="EF87" i="5"/>
  <c r="EB87" i="5"/>
  <c r="DX87" i="5"/>
  <c r="DT87" i="5"/>
  <c r="DP87" i="5"/>
  <c r="DL87" i="5"/>
  <c r="DH87" i="5"/>
  <c r="DD87" i="5"/>
  <c r="CZ87" i="5"/>
  <c r="CV87" i="5"/>
  <c r="CR87" i="5"/>
  <c r="CN87" i="5"/>
  <c r="CJ87" i="5"/>
  <c r="CF87" i="5"/>
  <c r="CB87" i="5"/>
  <c r="BX87" i="5"/>
  <c r="BT87" i="5"/>
  <c r="EJ86" i="5"/>
  <c r="EF86" i="5"/>
  <c r="EB86" i="5"/>
  <c r="DX86" i="5"/>
  <c r="DT86" i="5"/>
  <c r="DP86" i="5"/>
  <c r="DL86" i="5"/>
  <c r="DH86" i="5"/>
  <c r="DD86" i="5"/>
  <c r="CZ86" i="5"/>
  <c r="CV86" i="5"/>
  <c r="CR86" i="5"/>
  <c r="CN86" i="5"/>
  <c r="CJ86" i="5"/>
  <c r="CF86" i="5"/>
  <c r="CB86" i="5"/>
  <c r="BX86" i="5"/>
  <c r="BT86" i="5"/>
  <c r="EJ85" i="5"/>
  <c r="EF85" i="5"/>
  <c r="EB85" i="5"/>
  <c r="DX85" i="5"/>
  <c r="DT85" i="5"/>
  <c r="DP85" i="5"/>
  <c r="DL85" i="5"/>
  <c r="DH85" i="5"/>
  <c r="DD85" i="5"/>
  <c r="CZ85" i="5"/>
  <c r="CV85" i="5"/>
  <c r="CR85" i="5"/>
  <c r="CN85" i="5"/>
  <c r="CJ85" i="5"/>
  <c r="CF85" i="5"/>
  <c r="CB85" i="5"/>
  <c r="BX85" i="5"/>
  <c r="BT85" i="5"/>
  <c r="EJ84" i="5"/>
  <c r="EF84" i="5"/>
  <c r="EB84" i="5"/>
  <c r="DX84" i="5"/>
  <c r="DT84" i="5"/>
  <c r="DP84" i="5"/>
  <c r="DL84" i="5"/>
  <c r="DH84" i="5"/>
  <c r="DD84" i="5"/>
  <c r="CZ84" i="5"/>
  <c r="CV84" i="5"/>
  <c r="CR84" i="5"/>
  <c r="CN84" i="5"/>
  <c r="CJ84" i="5"/>
  <c r="CF84" i="5"/>
  <c r="CB84" i="5"/>
  <c r="BX84" i="5"/>
  <c r="BT84" i="5"/>
  <c r="EJ83" i="5"/>
  <c r="EF83" i="5"/>
  <c r="EB83" i="5"/>
  <c r="DX83" i="5"/>
  <c r="DT83" i="5"/>
  <c r="DP83" i="5"/>
  <c r="DL83" i="5"/>
  <c r="DH83" i="5"/>
  <c r="DD83" i="5"/>
  <c r="CZ83" i="5"/>
  <c r="CV83" i="5"/>
  <c r="CR83" i="5"/>
  <c r="CN83" i="5"/>
  <c r="CJ83" i="5"/>
  <c r="CF83" i="5"/>
  <c r="CB83" i="5"/>
  <c r="BX83" i="5"/>
  <c r="BT83" i="5"/>
  <c r="EJ82" i="5"/>
  <c r="EF82" i="5"/>
  <c r="EB82" i="5"/>
  <c r="DX82" i="5"/>
  <c r="DT82" i="5"/>
  <c r="DP82" i="5"/>
  <c r="DL82" i="5"/>
  <c r="DH82" i="5"/>
  <c r="DD82" i="5"/>
  <c r="CZ82" i="5"/>
  <c r="CV82" i="5"/>
  <c r="CR82" i="5"/>
  <c r="CN82" i="5"/>
  <c r="CJ82" i="5"/>
  <c r="CF82" i="5"/>
  <c r="CB82" i="5"/>
  <c r="BX82" i="5"/>
  <c r="BT82" i="5"/>
  <c r="EJ81" i="5"/>
  <c r="EF81" i="5"/>
  <c r="EB81" i="5"/>
  <c r="DX81" i="5"/>
  <c r="DT81" i="5"/>
  <c r="DP81" i="5"/>
  <c r="DL81" i="5"/>
  <c r="DH81" i="5"/>
  <c r="DD81" i="5"/>
  <c r="CZ81" i="5"/>
  <c r="CV81" i="5"/>
  <c r="CR81" i="5"/>
  <c r="CN81" i="5"/>
  <c r="CJ81" i="5"/>
  <c r="CF81" i="5"/>
  <c r="CB81" i="5"/>
  <c r="BX81" i="5"/>
  <c r="BT81" i="5"/>
  <c r="EJ80" i="5"/>
  <c r="EF80" i="5"/>
  <c r="EB80" i="5"/>
  <c r="DX80" i="5"/>
  <c r="DT80" i="5"/>
  <c r="DP80" i="5"/>
  <c r="DL80" i="5"/>
  <c r="DH80" i="5"/>
  <c r="DD80" i="5"/>
  <c r="CZ80" i="5"/>
  <c r="CV80" i="5"/>
  <c r="CR80" i="5"/>
  <c r="CN80" i="5"/>
  <c r="CJ80" i="5"/>
  <c r="CF80" i="5"/>
  <c r="CB80" i="5"/>
  <c r="BX80" i="5"/>
  <c r="BT80" i="5"/>
  <c r="EJ79" i="5"/>
  <c r="EF79" i="5"/>
  <c r="EB79" i="5"/>
  <c r="DX79" i="5"/>
  <c r="DT79" i="5"/>
  <c r="DP79" i="5"/>
  <c r="DL79" i="5"/>
  <c r="DH79" i="5"/>
  <c r="DD79" i="5"/>
  <c r="CZ79" i="5"/>
  <c r="CV79" i="5"/>
  <c r="CR79" i="5"/>
  <c r="CN79" i="5"/>
  <c r="CJ79" i="5"/>
  <c r="CF79" i="5"/>
  <c r="CB79" i="5"/>
  <c r="BX79" i="5"/>
  <c r="BT79" i="5"/>
  <c r="EJ78" i="5"/>
  <c r="EF78" i="5"/>
  <c r="EB78" i="5"/>
  <c r="DX78" i="5"/>
  <c r="DT78" i="5"/>
  <c r="DP78" i="5"/>
  <c r="DL78" i="5"/>
  <c r="DH78" i="5"/>
  <c r="DD78" i="5"/>
  <c r="CZ78" i="5"/>
  <c r="CV78" i="5"/>
  <c r="CR78" i="5"/>
  <c r="CN78" i="5"/>
  <c r="CJ78" i="5"/>
  <c r="CF78" i="5"/>
  <c r="CB78" i="5"/>
  <c r="BX78" i="5"/>
  <c r="BT78" i="5"/>
  <c r="EJ77" i="5"/>
  <c r="EF77" i="5"/>
  <c r="EB77" i="5"/>
  <c r="DX77" i="5"/>
  <c r="DT77" i="5"/>
  <c r="DP77" i="5"/>
  <c r="DL77" i="5"/>
  <c r="DH77" i="5"/>
  <c r="DD77" i="5"/>
  <c r="CZ77" i="5"/>
  <c r="CV77" i="5"/>
  <c r="CR77" i="5"/>
  <c r="CN77" i="5"/>
  <c r="CJ77" i="5"/>
  <c r="CF77" i="5"/>
  <c r="CB77" i="5"/>
  <c r="BX77" i="5"/>
  <c r="BT77" i="5"/>
  <c r="EJ76" i="5"/>
  <c r="EF76" i="5"/>
  <c r="EB76" i="5"/>
  <c r="DX76" i="5"/>
  <c r="DT76" i="5"/>
  <c r="DP76" i="5"/>
  <c r="DL76" i="5"/>
  <c r="DH76" i="5"/>
  <c r="DD76" i="5"/>
  <c r="CZ76" i="5"/>
  <c r="CV76" i="5"/>
  <c r="CR76" i="5"/>
  <c r="CN76" i="5"/>
  <c r="CJ76" i="5"/>
  <c r="CF76" i="5"/>
  <c r="CB76" i="5"/>
  <c r="BX76" i="5"/>
  <c r="BT76" i="5"/>
  <c r="EJ75" i="5"/>
  <c r="EF75" i="5"/>
  <c r="EB75" i="5"/>
  <c r="DX75" i="5"/>
  <c r="DT75" i="5"/>
  <c r="DP75" i="5"/>
  <c r="DL75" i="5"/>
  <c r="DH75" i="5"/>
  <c r="DD75" i="5"/>
  <c r="CZ75" i="5"/>
  <c r="CV75" i="5"/>
  <c r="CR75" i="5"/>
  <c r="CN75" i="5"/>
  <c r="CJ75" i="5"/>
  <c r="CF75" i="5"/>
  <c r="CB75" i="5"/>
  <c r="BX75" i="5"/>
  <c r="BT75" i="5"/>
  <c r="EJ74" i="5"/>
  <c r="EF74" i="5"/>
  <c r="EB74" i="5"/>
  <c r="DX74" i="5"/>
  <c r="DT74" i="5"/>
  <c r="DP74" i="5"/>
  <c r="DL74" i="5"/>
  <c r="DH74" i="5"/>
  <c r="DD74" i="5"/>
  <c r="CZ74" i="5"/>
  <c r="CV74" i="5"/>
  <c r="CR74" i="5"/>
  <c r="CN74" i="5"/>
  <c r="CJ74" i="5"/>
  <c r="CF74" i="5"/>
  <c r="CB74" i="5"/>
  <c r="BX74" i="5"/>
  <c r="BT74" i="5"/>
  <c r="EJ73" i="5"/>
  <c r="EF73" i="5"/>
  <c r="EB73" i="5"/>
  <c r="DX73" i="5"/>
  <c r="DT73" i="5"/>
  <c r="DP73" i="5"/>
  <c r="DL73" i="5"/>
  <c r="DH73" i="5"/>
  <c r="DD73" i="5"/>
  <c r="CZ73" i="5"/>
  <c r="CV73" i="5"/>
  <c r="CR73" i="5"/>
  <c r="CN73" i="5"/>
  <c r="CJ73" i="5"/>
  <c r="CF73" i="5"/>
  <c r="CB73" i="5"/>
  <c r="BX73" i="5"/>
  <c r="BT73" i="5"/>
  <c r="EJ72" i="5"/>
  <c r="EF72" i="5"/>
  <c r="EB72" i="5"/>
  <c r="DX72" i="5"/>
  <c r="DT72" i="5"/>
  <c r="DP72" i="5"/>
  <c r="DL72" i="5"/>
  <c r="DH72" i="5"/>
  <c r="DD72" i="5"/>
  <c r="CZ72" i="5"/>
  <c r="CV72" i="5"/>
  <c r="CR72" i="5"/>
  <c r="CN72" i="5"/>
  <c r="CJ72" i="5"/>
  <c r="CF72" i="5"/>
  <c r="CB72" i="5"/>
  <c r="BX72" i="5"/>
  <c r="BT72" i="5"/>
  <c r="EJ71" i="5"/>
  <c r="EF71" i="5"/>
  <c r="EB71" i="5"/>
  <c r="DX71" i="5"/>
  <c r="DT71" i="5"/>
  <c r="DP71" i="5"/>
  <c r="DL71" i="5"/>
  <c r="DH71" i="5"/>
  <c r="DD71" i="5"/>
  <c r="CZ71" i="5"/>
  <c r="CV71" i="5"/>
  <c r="CR71" i="5"/>
  <c r="CN71" i="5"/>
  <c r="CJ71" i="5"/>
  <c r="CF71" i="5"/>
  <c r="CB71" i="5"/>
  <c r="BX71" i="5"/>
  <c r="BT71" i="5"/>
  <c r="EJ70" i="5"/>
  <c r="EF70" i="5"/>
  <c r="EB70" i="5"/>
  <c r="DX70" i="5"/>
  <c r="DT70" i="5"/>
  <c r="DP70" i="5"/>
  <c r="DL70" i="5"/>
  <c r="DH70" i="5"/>
  <c r="DD70" i="5"/>
  <c r="CZ70" i="5"/>
  <c r="CV70" i="5"/>
  <c r="CR70" i="5"/>
  <c r="CN70" i="5"/>
  <c r="CJ70" i="5"/>
  <c r="CF70" i="5"/>
  <c r="CB70" i="5"/>
  <c r="BX70" i="5"/>
  <c r="BT70" i="5"/>
  <c r="EJ69" i="5"/>
  <c r="EF69" i="5"/>
  <c r="EB69" i="5"/>
  <c r="DX69" i="5"/>
  <c r="DT69" i="5"/>
  <c r="DP69" i="5"/>
  <c r="DL69" i="5"/>
  <c r="DH69" i="5"/>
  <c r="DD69" i="5"/>
  <c r="CZ69" i="5"/>
  <c r="CV69" i="5"/>
  <c r="CR69" i="5"/>
  <c r="CN69" i="5"/>
  <c r="CJ69" i="5"/>
  <c r="CF69" i="5"/>
  <c r="CB69" i="5"/>
  <c r="BX69" i="5"/>
  <c r="BT69" i="5"/>
  <c r="EJ68" i="5"/>
  <c r="EF68" i="5"/>
  <c r="EB68" i="5"/>
  <c r="DX68" i="5"/>
  <c r="DT68" i="5"/>
  <c r="DP68" i="5"/>
  <c r="DL68" i="5"/>
  <c r="DH68" i="5"/>
  <c r="DD68" i="5"/>
  <c r="CZ68" i="5"/>
  <c r="CV68" i="5"/>
  <c r="CR68" i="5"/>
  <c r="CN68" i="5"/>
  <c r="CJ68" i="5"/>
  <c r="CF68" i="5"/>
  <c r="CB68" i="5"/>
  <c r="BX68" i="5"/>
  <c r="BT68" i="5"/>
  <c r="EJ67" i="5"/>
  <c r="EF67" i="5"/>
  <c r="EB67" i="5"/>
  <c r="DX67" i="5"/>
  <c r="DT67" i="5"/>
  <c r="DP67" i="5"/>
  <c r="DL67" i="5"/>
  <c r="DH67" i="5"/>
  <c r="DD67" i="5"/>
  <c r="CZ67" i="5"/>
  <c r="CV67" i="5"/>
  <c r="CR67" i="5"/>
  <c r="CN67" i="5"/>
  <c r="CJ67" i="5"/>
  <c r="CF67" i="5"/>
  <c r="CB67" i="5"/>
  <c r="BX67" i="5"/>
  <c r="BT67" i="5"/>
  <c r="EJ66" i="5"/>
  <c r="EF66" i="5"/>
  <c r="EB66" i="5"/>
  <c r="DX66" i="5"/>
  <c r="DT66" i="5"/>
  <c r="DP66" i="5"/>
  <c r="DL66" i="5"/>
  <c r="DH66" i="5"/>
  <c r="DD66" i="5"/>
  <c r="CZ66" i="5"/>
  <c r="CV66" i="5"/>
  <c r="CR66" i="5"/>
  <c r="CN66" i="5"/>
  <c r="CJ66" i="5"/>
  <c r="CF66" i="5"/>
  <c r="CB66" i="5"/>
  <c r="BX66" i="5"/>
  <c r="BT66" i="5"/>
  <c r="EJ65" i="5"/>
  <c r="EF65" i="5"/>
  <c r="EB65" i="5"/>
  <c r="DX65" i="5"/>
  <c r="DT65" i="5"/>
  <c r="DP65" i="5"/>
  <c r="DL65" i="5"/>
  <c r="DH65" i="5"/>
  <c r="DD65" i="5"/>
  <c r="CZ65" i="5"/>
  <c r="CV65" i="5"/>
  <c r="CR65" i="5"/>
  <c r="CN65" i="5"/>
  <c r="CJ65" i="5"/>
  <c r="CF65" i="5"/>
  <c r="CB65" i="5"/>
  <c r="BX65" i="5"/>
  <c r="BT65" i="5"/>
  <c r="EJ64" i="5"/>
  <c r="EF64" i="5"/>
  <c r="EB64" i="5"/>
  <c r="DX64" i="5"/>
  <c r="DT64" i="5"/>
  <c r="DP64" i="5"/>
  <c r="DL64" i="5"/>
  <c r="DH64" i="5"/>
  <c r="DD64" i="5"/>
  <c r="CZ64" i="5"/>
  <c r="CV64" i="5"/>
  <c r="CR64" i="5"/>
  <c r="CN64" i="5"/>
  <c r="CJ64" i="5"/>
  <c r="CF64" i="5"/>
  <c r="CB64" i="5"/>
  <c r="BX64" i="5"/>
  <c r="BT64" i="5"/>
  <c r="EJ63" i="5"/>
  <c r="EF63" i="5"/>
  <c r="EB63" i="5"/>
  <c r="DX63" i="5"/>
  <c r="DT63" i="5"/>
  <c r="DP63" i="5"/>
  <c r="DL63" i="5"/>
  <c r="DH63" i="5"/>
  <c r="DD63" i="5"/>
  <c r="CZ63" i="5"/>
  <c r="CV63" i="5"/>
  <c r="CR63" i="5"/>
  <c r="CN63" i="5"/>
  <c r="CJ63" i="5"/>
  <c r="CF63" i="5"/>
  <c r="CB63" i="5"/>
  <c r="BX63" i="5"/>
  <c r="BT63" i="5"/>
  <c r="EJ62" i="5"/>
  <c r="EF62" i="5"/>
  <c r="EB62" i="5"/>
  <c r="DX62" i="5"/>
  <c r="DT62" i="5"/>
  <c r="DP62" i="5"/>
  <c r="DL62" i="5"/>
  <c r="DH62" i="5"/>
  <c r="DD62" i="5"/>
  <c r="CZ62" i="5"/>
  <c r="CV62" i="5"/>
  <c r="CR62" i="5"/>
  <c r="CN62" i="5"/>
  <c r="CJ62" i="5"/>
  <c r="CF62" i="5"/>
  <c r="CB62" i="5"/>
  <c r="BX62" i="5"/>
  <c r="BT62" i="5"/>
  <c r="EJ61" i="5"/>
  <c r="EF61" i="5"/>
  <c r="EB61" i="5"/>
  <c r="DX61" i="5"/>
  <c r="DT61" i="5"/>
  <c r="DP61" i="5"/>
  <c r="DL61" i="5"/>
  <c r="DH61" i="5"/>
  <c r="DD61" i="5"/>
  <c r="CZ61" i="5"/>
  <c r="CV61" i="5"/>
  <c r="CR61" i="5"/>
  <c r="CN61" i="5"/>
  <c r="CJ61" i="5"/>
  <c r="CF61" i="5"/>
  <c r="CB61" i="5"/>
  <c r="BX61" i="5"/>
  <c r="BT61" i="5"/>
  <c r="EJ60" i="5"/>
  <c r="EF60" i="5"/>
  <c r="EB60" i="5"/>
  <c r="DX60" i="5"/>
  <c r="DT60" i="5"/>
  <c r="DP60" i="5"/>
  <c r="DL60" i="5"/>
  <c r="DH60" i="5"/>
  <c r="DD60" i="5"/>
  <c r="CZ60" i="5"/>
  <c r="CV60" i="5"/>
  <c r="CR60" i="5"/>
  <c r="CN60" i="5"/>
  <c r="CJ60" i="5"/>
  <c r="CF60" i="5"/>
  <c r="CB60" i="5"/>
  <c r="BX60" i="5"/>
  <c r="BT60" i="5"/>
  <c r="EJ59" i="5"/>
  <c r="EF59" i="5"/>
  <c r="EB59" i="5"/>
  <c r="DX59" i="5"/>
  <c r="DT59" i="5"/>
  <c r="DP59" i="5"/>
  <c r="DL59" i="5"/>
  <c r="DH59" i="5"/>
  <c r="DD59" i="5"/>
  <c r="CZ59" i="5"/>
  <c r="CV59" i="5"/>
  <c r="CR59" i="5"/>
  <c r="CN59" i="5"/>
  <c r="CJ59" i="5"/>
  <c r="CF59" i="5"/>
  <c r="CB59" i="5"/>
  <c r="BX59" i="5"/>
  <c r="BT59" i="5"/>
  <c r="EJ58" i="5"/>
  <c r="EF58" i="5"/>
  <c r="EB58" i="5"/>
  <c r="DX58" i="5"/>
  <c r="DT58" i="5"/>
  <c r="DP58" i="5"/>
  <c r="DL58" i="5"/>
  <c r="DH58" i="5"/>
  <c r="DD58" i="5"/>
  <c r="CZ58" i="5"/>
  <c r="CV58" i="5"/>
  <c r="CR58" i="5"/>
  <c r="CN58" i="5"/>
  <c r="CJ58" i="5"/>
  <c r="CF58" i="5"/>
  <c r="CB58" i="5"/>
  <c r="BX58" i="5"/>
  <c r="BT58" i="5"/>
  <c r="EJ57" i="5"/>
  <c r="EF57" i="5"/>
  <c r="EB57" i="5"/>
  <c r="DX57" i="5"/>
  <c r="DT57" i="5"/>
  <c r="DP57" i="5"/>
  <c r="DL57" i="5"/>
  <c r="DH57" i="5"/>
  <c r="DD57" i="5"/>
  <c r="CZ57" i="5"/>
  <c r="CV57" i="5"/>
  <c r="CR57" i="5"/>
  <c r="CN57" i="5"/>
  <c r="CJ57" i="5"/>
  <c r="CF57" i="5"/>
  <c r="CB57" i="5"/>
  <c r="BX57" i="5"/>
  <c r="BT57" i="5"/>
  <c r="EJ56" i="5"/>
  <c r="EF56" i="5"/>
  <c r="EB56" i="5"/>
  <c r="DX56" i="5"/>
  <c r="DT56" i="5"/>
  <c r="DP56" i="5"/>
  <c r="DL56" i="5"/>
  <c r="DH56" i="5"/>
  <c r="DD56" i="5"/>
  <c r="CZ56" i="5"/>
  <c r="CV56" i="5"/>
  <c r="CR56" i="5"/>
  <c r="CN56" i="5"/>
  <c r="CJ56" i="5"/>
  <c r="CF56" i="5"/>
  <c r="CB56" i="5"/>
  <c r="BX56" i="5"/>
  <c r="BT56" i="5"/>
  <c r="EJ55" i="5"/>
  <c r="EF55" i="5"/>
  <c r="EB55" i="5"/>
  <c r="DX55" i="5"/>
  <c r="DT55" i="5"/>
  <c r="DP55" i="5"/>
  <c r="DL55" i="5"/>
  <c r="DH55" i="5"/>
  <c r="DD55" i="5"/>
  <c r="CZ55" i="5"/>
  <c r="CV55" i="5"/>
  <c r="CR55" i="5"/>
  <c r="CN55" i="5"/>
  <c r="CJ55" i="5"/>
  <c r="CF55" i="5"/>
  <c r="CB55" i="5"/>
  <c r="BX55" i="5"/>
  <c r="BT55" i="5"/>
  <c r="EJ54" i="5"/>
  <c r="EF54" i="5"/>
  <c r="EB54" i="5"/>
  <c r="DX54" i="5"/>
  <c r="DT54" i="5"/>
  <c r="DP54" i="5"/>
  <c r="DL54" i="5"/>
  <c r="DH54" i="5"/>
  <c r="DD54" i="5"/>
  <c r="CZ54" i="5"/>
  <c r="CV54" i="5"/>
  <c r="CR54" i="5"/>
  <c r="CN54" i="5"/>
  <c r="CJ54" i="5"/>
  <c r="CF54" i="5"/>
  <c r="CB54" i="5"/>
  <c r="BX54" i="5"/>
  <c r="BT54" i="5"/>
  <c r="EJ53" i="5"/>
  <c r="EF53" i="5"/>
  <c r="EB53" i="5"/>
  <c r="DX53" i="5"/>
  <c r="DT53" i="5"/>
  <c r="DP53" i="5"/>
  <c r="DL53" i="5"/>
  <c r="DH53" i="5"/>
  <c r="DD53" i="5"/>
  <c r="CZ53" i="5"/>
  <c r="CV53" i="5"/>
  <c r="CR53" i="5"/>
  <c r="CN53" i="5"/>
  <c r="CJ53" i="5"/>
  <c r="CF53" i="5"/>
  <c r="CB53" i="5"/>
  <c r="BX53" i="5"/>
  <c r="BT53" i="5"/>
  <c r="EJ52" i="5"/>
  <c r="EF52" i="5"/>
  <c r="EB52" i="5"/>
  <c r="DX52" i="5"/>
  <c r="DT52" i="5"/>
  <c r="DP52" i="5"/>
  <c r="DL52" i="5"/>
  <c r="DH52" i="5"/>
  <c r="DD52" i="5"/>
  <c r="CZ52" i="5"/>
  <c r="CV52" i="5"/>
  <c r="CR52" i="5"/>
  <c r="CN52" i="5"/>
  <c r="CJ52" i="5"/>
  <c r="CF52" i="5"/>
  <c r="CB52" i="5"/>
  <c r="BX52" i="5"/>
  <c r="BT52" i="5"/>
  <c r="EJ51" i="5"/>
  <c r="EF51" i="5"/>
  <c r="EB51" i="5"/>
  <c r="DX51" i="5"/>
  <c r="DT51" i="5"/>
  <c r="DP51" i="5"/>
  <c r="DL51" i="5"/>
  <c r="DH51" i="5"/>
  <c r="DD51" i="5"/>
  <c r="CZ51" i="5"/>
  <c r="CV51" i="5"/>
  <c r="CR51" i="5"/>
  <c r="CN51" i="5"/>
  <c r="CJ51" i="5"/>
  <c r="CF51" i="5"/>
  <c r="CB51" i="5"/>
  <c r="BX51" i="5"/>
  <c r="BT51" i="5"/>
  <c r="EJ50" i="5"/>
  <c r="EF50" i="5"/>
  <c r="EB50" i="5"/>
  <c r="DX50" i="5"/>
  <c r="DT50" i="5"/>
  <c r="DP50" i="5"/>
  <c r="DL50" i="5"/>
  <c r="DH50" i="5"/>
  <c r="DD50" i="5"/>
  <c r="CZ50" i="5"/>
  <c r="CV50" i="5"/>
  <c r="CR50" i="5"/>
  <c r="CN50" i="5"/>
  <c r="CJ50" i="5"/>
  <c r="CF50" i="5"/>
  <c r="CB50" i="5"/>
  <c r="BX50" i="5"/>
  <c r="BT50" i="5"/>
  <c r="EJ49" i="5"/>
  <c r="EF49" i="5"/>
  <c r="EB49" i="5"/>
  <c r="DX49" i="5"/>
  <c r="DT49" i="5"/>
  <c r="DP49" i="5"/>
  <c r="DL49" i="5"/>
  <c r="DH49" i="5"/>
  <c r="DD49" i="5"/>
  <c r="CZ49" i="5"/>
  <c r="CV49" i="5"/>
  <c r="CR49" i="5"/>
  <c r="CN49" i="5"/>
  <c r="CJ49" i="5"/>
  <c r="CF49" i="5"/>
  <c r="CB49" i="5"/>
  <c r="BX49" i="5"/>
  <c r="BT49" i="5"/>
  <c r="EJ48" i="5"/>
  <c r="EF48" i="5"/>
  <c r="EB48" i="5"/>
  <c r="DX48" i="5"/>
  <c r="DT48" i="5"/>
  <c r="DP48" i="5"/>
  <c r="DL48" i="5"/>
  <c r="DH48" i="5"/>
  <c r="DD48" i="5"/>
  <c r="CZ48" i="5"/>
  <c r="CV48" i="5"/>
  <c r="CR48" i="5"/>
  <c r="CN48" i="5"/>
  <c r="CJ48" i="5"/>
  <c r="CF48" i="5"/>
  <c r="CB48" i="5"/>
  <c r="BX48" i="5"/>
  <c r="BT48" i="5"/>
  <c r="EJ47" i="5"/>
  <c r="EF47" i="5"/>
  <c r="EB47" i="5"/>
  <c r="DX47" i="5"/>
  <c r="DT47" i="5"/>
  <c r="DP47" i="5"/>
  <c r="DL47" i="5"/>
  <c r="DH47" i="5"/>
  <c r="DD47" i="5"/>
  <c r="CZ47" i="5"/>
  <c r="CV47" i="5"/>
  <c r="CR47" i="5"/>
  <c r="CN47" i="5"/>
  <c r="CJ47" i="5"/>
  <c r="CF47" i="5"/>
  <c r="CB47" i="5"/>
  <c r="BX47" i="5"/>
  <c r="BT47" i="5"/>
  <c r="EJ46" i="5"/>
  <c r="EF46" i="5"/>
  <c r="EB46" i="5"/>
  <c r="DX46" i="5"/>
  <c r="DT46" i="5"/>
  <c r="DP46" i="5"/>
  <c r="DL46" i="5"/>
  <c r="DH46" i="5"/>
  <c r="DD46" i="5"/>
  <c r="CZ46" i="5"/>
  <c r="CV46" i="5"/>
  <c r="CR46" i="5"/>
  <c r="CN46" i="5"/>
  <c r="CJ46" i="5"/>
  <c r="CF46" i="5"/>
  <c r="CB46" i="5"/>
  <c r="BX46" i="5"/>
  <c r="BT46" i="5"/>
  <c r="EJ45" i="5"/>
  <c r="EF45" i="5"/>
  <c r="EB45" i="5"/>
  <c r="DX45" i="5"/>
  <c r="DT45" i="5"/>
  <c r="DP45" i="5"/>
  <c r="DL45" i="5"/>
  <c r="DH45" i="5"/>
  <c r="DD45" i="5"/>
  <c r="CZ45" i="5"/>
  <c r="CV45" i="5"/>
  <c r="CR45" i="5"/>
  <c r="CN45" i="5"/>
  <c r="CJ45" i="5"/>
  <c r="CF45" i="5"/>
  <c r="CB45" i="5"/>
  <c r="BX45" i="5"/>
  <c r="BT45" i="5"/>
  <c r="EJ44" i="5"/>
  <c r="EF44" i="5"/>
  <c r="EB44" i="5"/>
  <c r="DX44" i="5"/>
  <c r="DT44" i="5"/>
  <c r="DP44" i="5"/>
  <c r="DL44" i="5"/>
  <c r="DH44" i="5"/>
  <c r="DD44" i="5"/>
  <c r="CZ44" i="5"/>
  <c r="CV44" i="5"/>
  <c r="CR44" i="5"/>
  <c r="CN44" i="5"/>
  <c r="CJ44" i="5"/>
  <c r="CF44" i="5"/>
  <c r="CB44" i="5"/>
  <c r="BX44" i="5"/>
  <c r="BT44" i="5"/>
  <c r="EJ43" i="5"/>
  <c r="EF43" i="5"/>
  <c r="EB43" i="5"/>
  <c r="DX43" i="5"/>
  <c r="DT43" i="5"/>
  <c r="DP43" i="5"/>
  <c r="DL43" i="5"/>
  <c r="DH43" i="5"/>
  <c r="DD43" i="5"/>
  <c r="CZ43" i="5"/>
  <c r="CV43" i="5"/>
  <c r="CR43" i="5"/>
  <c r="CN43" i="5"/>
  <c r="CJ43" i="5"/>
  <c r="CF43" i="5"/>
  <c r="CB43" i="5"/>
  <c r="BX43" i="5"/>
  <c r="BT43" i="5"/>
  <c r="EJ42" i="5"/>
  <c r="EF42" i="5"/>
  <c r="EB42" i="5"/>
  <c r="DX42" i="5"/>
  <c r="DT42" i="5"/>
  <c r="DP42" i="5"/>
  <c r="DL42" i="5"/>
  <c r="DH42" i="5"/>
  <c r="DD42" i="5"/>
  <c r="CZ42" i="5"/>
  <c r="CV42" i="5"/>
  <c r="CR42" i="5"/>
  <c r="CN42" i="5"/>
  <c r="CJ42" i="5"/>
  <c r="CF42" i="5"/>
  <c r="CB42" i="5"/>
  <c r="BX42" i="5"/>
  <c r="BT42" i="5"/>
  <c r="EJ41" i="5"/>
  <c r="EF41" i="5"/>
  <c r="EB41" i="5"/>
  <c r="DX41" i="5"/>
  <c r="DT41" i="5"/>
  <c r="DP41" i="5"/>
  <c r="DL41" i="5"/>
  <c r="DH41" i="5"/>
  <c r="DD41" i="5"/>
  <c r="CZ41" i="5"/>
  <c r="CV41" i="5"/>
  <c r="CR41" i="5"/>
  <c r="CN41" i="5"/>
  <c r="CJ41" i="5"/>
  <c r="CF41" i="5"/>
  <c r="CB41" i="5"/>
  <c r="BX41" i="5"/>
  <c r="BT41" i="5"/>
  <c r="EJ40" i="5"/>
  <c r="EF40" i="5"/>
  <c r="EB40" i="5"/>
  <c r="DX40" i="5"/>
  <c r="DT40" i="5"/>
  <c r="DP40" i="5"/>
  <c r="DL40" i="5"/>
  <c r="DH40" i="5"/>
  <c r="DD40" i="5"/>
  <c r="CZ40" i="5"/>
  <c r="CV40" i="5"/>
  <c r="CR40" i="5"/>
  <c r="CN40" i="5"/>
  <c r="CJ40" i="5"/>
  <c r="CF40" i="5"/>
  <c r="CB40" i="5"/>
  <c r="BX40" i="5"/>
  <c r="BT40" i="5"/>
  <c r="EJ39" i="5"/>
  <c r="EF39" i="5"/>
  <c r="EB39" i="5"/>
  <c r="DX39" i="5"/>
  <c r="DT39" i="5"/>
  <c r="DP39" i="5"/>
  <c r="DL39" i="5"/>
  <c r="DH39" i="5"/>
  <c r="DD39" i="5"/>
  <c r="CZ39" i="5"/>
  <c r="CV39" i="5"/>
  <c r="CR39" i="5"/>
  <c r="CN39" i="5"/>
  <c r="CJ39" i="5"/>
  <c r="CF39" i="5"/>
  <c r="CB39" i="5"/>
  <c r="BX39" i="5"/>
  <c r="BT39" i="5"/>
  <c r="EJ38" i="5"/>
  <c r="EF38" i="5"/>
  <c r="EB38" i="5"/>
  <c r="DX38" i="5"/>
  <c r="DT38" i="5"/>
  <c r="DP38" i="5"/>
  <c r="DL38" i="5"/>
  <c r="DH38" i="5"/>
  <c r="DD38" i="5"/>
  <c r="CZ38" i="5"/>
  <c r="CV38" i="5"/>
  <c r="CR38" i="5"/>
  <c r="CN38" i="5"/>
  <c r="CJ38" i="5"/>
  <c r="CF38" i="5"/>
  <c r="CB38" i="5"/>
  <c r="BX38" i="5"/>
  <c r="BT38" i="5"/>
  <c r="EJ37" i="5"/>
  <c r="EF37" i="5"/>
  <c r="EB37" i="5"/>
  <c r="DX37" i="5"/>
  <c r="DT37" i="5"/>
  <c r="DP37" i="5"/>
  <c r="DL37" i="5"/>
  <c r="DH37" i="5"/>
  <c r="DD37" i="5"/>
  <c r="CZ37" i="5"/>
  <c r="CV37" i="5"/>
  <c r="CR37" i="5"/>
  <c r="CN37" i="5"/>
  <c r="CJ37" i="5"/>
  <c r="CF37" i="5"/>
  <c r="CB37" i="5"/>
  <c r="BX37" i="5"/>
  <c r="BT37" i="5"/>
  <c r="EJ36" i="5"/>
  <c r="EF36" i="5"/>
  <c r="EB36" i="5"/>
  <c r="DX36" i="5"/>
  <c r="DT36" i="5"/>
  <c r="DP36" i="5"/>
  <c r="DL36" i="5"/>
  <c r="DH36" i="5"/>
  <c r="DD36" i="5"/>
  <c r="CZ36" i="5"/>
  <c r="CV36" i="5"/>
  <c r="CR36" i="5"/>
  <c r="CN36" i="5"/>
  <c r="CJ36" i="5"/>
  <c r="CF36" i="5"/>
  <c r="CB36" i="5"/>
  <c r="BX36" i="5"/>
  <c r="BT36" i="5"/>
  <c r="EJ35" i="5"/>
  <c r="EF35" i="5"/>
  <c r="EB35" i="5"/>
  <c r="DX35" i="5"/>
  <c r="DT35" i="5"/>
  <c r="DP35" i="5"/>
  <c r="DL35" i="5"/>
  <c r="DH35" i="5"/>
  <c r="DD35" i="5"/>
  <c r="CZ35" i="5"/>
  <c r="CV35" i="5"/>
  <c r="CR35" i="5"/>
  <c r="CN35" i="5"/>
  <c r="CJ35" i="5"/>
  <c r="CF35" i="5"/>
  <c r="CB35" i="5"/>
  <c r="BX35" i="5"/>
  <c r="BT35" i="5"/>
  <c r="EJ34" i="5"/>
  <c r="EF34" i="5"/>
  <c r="EB34" i="5"/>
  <c r="DX34" i="5"/>
  <c r="DT34" i="5"/>
  <c r="DP34" i="5"/>
  <c r="DL34" i="5"/>
  <c r="DH34" i="5"/>
  <c r="DD34" i="5"/>
  <c r="CZ34" i="5"/>
  <c r="CV34" i="5"/>
  <c r="CR34" i="5"/>
  <c r="CN34" i="5"/>
  <c r="CJ34" i="5"/>
  <c r="CF34" i="5"/>
  <c r="CB34" i="5"/>
  <c r="BX34" i="5"/>
  <c r="BT34" i="5"/>
  <c r="EJ33" i="5"/>
  <c r="EF33" i="5"/>
  <c r="EB33" i="5"/>
  <c r="DX33" i="5"/>
  <c r="DT33" i="5"/>
  <c r="DP33" i="5"/>
  <c r="DL33" i="5"/>
  <c r="DH33" i="5"/>
  <c r="DD33" i="5"/>
  <c r="CZ33" i="5"/>
  <c r="CV33" i="5"/>
  <c r="CR33" i="5"/>
  <c r="CN33" i="5"/>
  <c r="CJ33" i="5"/>
  <c r="CF33" i="5"/>
  <c r="CB33" i="5"/>
  <c r="BX33" i="5"/>
  <c r="BT33" i="5"/>
  <c r="EJ32" i="5"/>
  <c r="EF32" i="5"/>
  <c r="EB32" i="5"/>
  <c r="DX32" i="5"/>
  <c r="DT32" i="5"/>
  <c r="DP32" i="5"/>
  <c r="DL32" i="5"/>
  <c r="DH32" i="5"/>
  <c r="DD32" i="5"/>
  <c r="CZ32" i="5"/>
  <c r="CV32" i="5"/>
  <c r="CR32" i="5"/>
  <c r="CN32" i="5"/>
  <c r="CJ32" i="5"/>
  <c r="CF32" i="5"/>
  <c r="CB32" i="5"/>
  <c r="BX32" i="5"/>
  <c r="BT32" i="5"/>
  <c r="EJ31" i="5"/>
  <c r="EF31" i="5"/>
  <c r="EB31" i="5"/>
  <c r="DX31" i="5"/>
  <c r="DT31" i="5"/>
  <c r="DP31" i="5"/>
  <c r="DL31" i="5"/>
  <c r="DH31" i="5"/>
  <c r="DD31" i="5"/>
  <c r="CZ31" i="5"/>
  <c r="CV31" i="5"/>
  <c r="CR31" i="5"/>
  <c r="CN31" i="5"/>
  <c r="CJ31" i="5"/>
  <c r="CF31" i="5"/>
  <c r="CB31" i="5"/>
  <c r="BX31" i="5"/>
  <c r="BT31" i="5"/>
  <c r="EJ30" i="5"/>
  <c r="EF30" i="5"/>
  <c r="EB30" i="5"/>
  <c r="DX30" i="5"/>
  <c r="DT30" i="5"/>
  <c r="DP30" i="5"/>
  <c r="DL30" i="5"/>
  <c r="DH30" i="5"/>
  <c r="DD30" i="5"/>
  <c r="CZ30" i="5"/>
  <c r="CV30" i="5"/>
  <c r="CR30" i="5"/>
  <c r="CN30" i="5"/>
  <c r="CJ30" i="5"/>
  <c r="CF30" i="5"/>
  <c r="CB30" i="5"/>
  <c r="BX30" i="5"/>
  <c r="BT30" i="5"/>
  <c r="EJ29" i="5"/>
  <c r="EF29" i="5"/>
  <c r="EB29" i="5"/>
  <c r="DX29" i="5"/>
  <c r="DT29" i="5"/>
  <c r="DP29" i="5"/>
  <c r="DL29" i="5"/>
  <c r="DH29" i="5"/>
  <c r="DD29" i="5"/>
  <c r="CZ29" i="5"/>
  <c r="CV29" i="5"/>
  <c r="CR29" i="5"/>
  <c r="CN29" i="5"/>
  <c r="CJ29" i="5"/>
  <c r="CF29" i="5"/>
  <c r="CB29" i="5"/>
  <c r="BX29" i="5"/>
  <c r="BT29" i="5"/>
  <c r="EJ28" i="5"/>
  <c r="EF28" i="5"/>
  <c r="EB28" i="5"/>
  <c r="DX28" i="5"/>
  <c r="DT28" i="5"/>
  <c r="DP28" i="5"/>
  <c r="DL28" i="5"/>
  <c r="DH28" i="5"/>
  <c r="DD28" i="5"/>
  <c r="CZ28" i="5"/>
  <c r="CV28" i="5"/>
  <c r="CR28" i="5"/>
  <c r="CN28" i="5"/>
  <c r="CJ28" i="5"/>
  <c r="CF28" i="5"/>
  <c r="CB28" i="5"/>
  <c r="BX28" i="5"/>
  <c r="BT28" i="5"/>
  <c r="EJ27" i="5"/>
  <c r="EF27" i="5"/>
  <c r="EB27" i="5"/>
  <c r="DX27" i="5"/>
  <c r="DT27" i="5"/>
  <c r="DP27" i="5"/>
  <c r="DL27" i="5"/>
  <c r="DH27" i="5"/>
  <c r="DD27" i="5"/>
  <c r="CZ27" i="5"/>
  <c r="CV27" i="5"/>
  <c r="CR27" i="5"/>
  <c r="CN27" i="5"/>
  <c r="CJ27" i="5"/>
  <c r="CF27" i="5"/>
  <c r="CB27" i="5"/>
  <c r="BX27" i="5"/>
  <c r="BT27" i="5"/>
  <c r="EJ26" i="5"/>
  <c r="EF26" i="5"/>
  <c r="EB26" i="5"/>
  <c r="DX26" i="5"/>
  <c r="DT26" i="5"/>
  <c r="DP26" i="5"/>
  <c r="DL26" i="5"/>
  <c r="DH26" i="5"/>
  <c r="DD26" i="5"/>
  <c r="CZ26" i="5"/>
  <c r="CV26" i="5"/>
  <c r="CR26" i="5"/>
  <c r="CN26" i="5"/>
  <c r="CJ26" i="5"/>
  <c r="CF26" i="5"/>
  <c r="CB26" i="5"/>
  <c r="BX26" i="5"/>
  <c r="BT26" i="5"/>
  <c r="EJ25" i="5"/>
  <c r="EF25" i="5"/>
  <c r="EB25" i="5"/>
  <c r="DX25" i="5"/>
  <c r="DT25" i="5"/>
  <c r="DP25" i="5"/>
  <c r="DL25" i="5"/>
  <c r="DH25" i="5"/>
  <c r="DD25" i="5"/>
  <c r="CZ25" i="5"/>
  <c r="CV25" i="5"/>
  <c r="CR25" i="5"/>
  <c r="CN25" i="5"/>
  <c r="CJ25" i="5"/>
  <c r="CF25" i="5"/>
  <c r="CB25" i="5"/>
  <c r="BX25" i="5"/>
  <c r="BT25" i="5"/>
  <c r="EJ24" i="5"/>
  <c r="EF24" i="5"/>
  <c r="EB24" i="5"/>
  <c r="DX24" i="5"/>
  <c r="DT24" i="5"/>
  <c r="DP24" i="5"/>
  <c r="DL24" i="5"/>
  <c r="DH24" i="5"/>
  <c r="DD24" i="5"/>
  <c r="CZ24" i="5"/>
  <c r="CV24" i="5"/>
  <c r="CR24" i="5"/>
  <c r="CN24" i="5"/>
  <c r="CJ24" i="5"/>
  <c r="CF24" i="5"/>
  <c r="CB24" i="5"/>
  <c r="BX24" i="5"/>
  <c r="BT24" i="5"/>
  <c r="EJ23" i="5"/>
  <c r="EF23" i="5"/>
  <c r="EB23" i="5"/>
  <c r="DX23" i="5"/>
  <c r="DT23" i="5"/>
  <c r="DP23" i="5"/>
  <c r="DL23" i="5"/>
  <c r="DH23" i="5"/>
  <c r="DD23" i="5"/>
  <c r="CZ23" i="5"/>
  <c r="CV23" i="5"/>
  <c r="CR23" i="5"/>
  <c r="CN23" i="5"/>
  <c r="CJ23" i="5"/>
  <c r="CF23" i="5"/>
  <c r="CB23" i="5"/>
  <c r="BX23" i="5"/>
  <c r="BT23" i="5"/>
  <c r="EJ22" i="5"/>
  <c r="EF22" i="5"/>
  <c r="EB22" i="5"/>
  <c r="DX22" i="5"/>
  <c r="DT22" i="5"/>
  <c r="DP22" i="5"/>
  <c r="DL22" i="5"/>
  <c r="DH22" i="5"/>
  <c r="DD22" i="5"/>
  <c r="CZ22" i="5"/>
  <c r="CV22" i="5"/>
  <c r="CR22" i="5"/>
  <c r="CN22" i="5"/>
  <c r="CJ22" i="5"/>
  <c r="CF22" i="5"/>
  <c r="CB22" i="5"/>
  <c r="BX22" i="5"/>
  <c r="BT22" i="5"/>
  <c r="EJ21" i="5"/>
  <c r="EF21" i="5"/>
  <c r="EB21" i="5"/>
  <c r="DX21" i="5"/>
  <c r="DT21" i="5"/>
  <c r="DP21" i="5"/>
  <c r="DL21" i="5"/>
  <c r="DH21" i="5"/>
  <c r="DD21" i="5"/>
  <c r="CZ21" i="5"/>
  <c r="CV21" i="5"/>
  <c r="CR21" i="5"/>
  <c r="CN21" i="5"/>
  <c r="CJ21" i="5"/>
  <c r="CF21" i="5"/>
  <c r="CB21" i="5"/>
  <c r="BX21" i="5"/>
  <c r="BT21" i="5"/>
  <c r="EJ20" i="5"/>
  <c r="EF20" i="5"/>
  <c r="EB20" i="5"/>
  <c r="DX20" i="5"/>
  <c r="DT20" i="5"/>
  <c r="DP20" i="5"/>
  <c r="DL20" i="5"/>
  <c r="DH20" i="5"/>
  <c r="DD20" i="5"/>
  <c r="CZ20" i="5"/>
  <c r="CV20" i="5"/>
  <c r="CR20" i="5"/>
  <c r="CN20" i="5"/>
  <c r="CJ20" i="5"/>
  <c r="CF20" i="5"/>
  <c r="CB20" i="5"/>
  <c r="BX20" i="5"/>
  <c r="BT20" i="5"/>
  <c r="EJ19" i="5"/>
  <c r="EF19" i="5"/>
  <c r="EB19" i="5"/>
  <c r="DX19" i="5"/>
  <c r="DT19" i="5"/>
  <c r="DP19" i="5"/>
  <c r="DL19" i="5"/>
  <c r="DH19" i="5"/>
  <c r="DD19" i="5"/>
  <c r="CZ19" i="5"/>
  <c r="CV19" i="5"/>
  <c r="CR19" i="5"/>
  <c r="CN19" i="5"/>
  <c r="CJ19" i="5"/>
  <c r="CF19" i="5"/>
  <c r="CB19" i="5"/>
  <c r="BX19" i="5"/>
  <c r="BT19" i="5"/>
  <c r="EJ18" i="5"/>
  <c r="EF18" i="5"/>
  <c r="EB18" i="5"/>
  <c r="DX18" i="5"/>
  <c r="DT18" i="5"/>
  <c r="DP18" i="5"/>
  <c r="DL18" i="5"/>
  <c r="DH18" i="5"/>
  <c r="DD18" i="5"/>
  <c r="CZ18" i="5"/>
  <c r="CV18" i="5"/>
  <c r="CR18" i="5"/>
  <c r="CN18" i="5"/>
  <c r="CJ18" i="5"/>
  <c r="CF18" i="5"/>
  <c r="CB18" i="5"/>
  <c r="BX18" i="5"/>
  <c r="BT18" i="5"/>
  <c r="EJ17" i="5"/>
  <c r="EF17" i="5"/>
  <c r="EB17" i="5"/>
  <c r="DX17" i="5"/>
  <c r="DT17" i="5"/>
  <c r="DP17" i="5"/>
  <c r="DL17" i="5"/>
  <c r="DH17" i="5"/>
  <c r="DD17" i="5"/>
  <c r="CZ17" i="5"/>
  <c r="CV17" i="5"/>
  <c r="CR17" i="5"/>
  <c r="CN17" i="5"/>
  <c r="CJ17" i="5"/>
  <c r="CF17" i="5"/>
  <c r="CB17" i="5"/>
  <c r="BX17" i="5"/>
  <c r="BT17" i="5"/>
  <c r="EJ16" i="5"/>
  <c r="EF16" i="5"/>
  <c r="EB16" i="5"/>
  <c r="DX16" i="5"/>
  <c r="DT16" i="5"/>
  <c r="DP16" i="5"/>
  <c r="DL16" i="5"/>
  <c r="DH16" i="5"/>
  <c r="DD16" i="5"/>
  <c r="CZ16" i="5"/>
  <c r="CV16" i="5"/>
  <c r="CR16" i="5"/>
  <c r="CN16" i="5"/>
  <c r="CJ16" i="5"/>
  <c r="CF16" i="5"/>
  <c r="CB16" i="5"/>
  <c r="BX16" i="5"/>
  <c r="BT16" i="5"/>
  <c r="EJ15" i="5"/>
  <c r="EF15" i="5"/>
  <c r="EB15" i="5"/>
  <c r="DX15" i="5"/>
  <c r="DT15" i="5"/>
  <c r="DP15" i="5"/>
  <c r="DL15" i="5"/>
  <c r="DH15" i="5"/>
  <c r="DD15" i="5"/>
  <c r="CZ15" i="5"/>
  <c r="CV15" i="5"/>
  <c r="CR15" i="5"/>
  <c r="CN15" i="5"/>
  <c r="CJ15" i="5"/>
  <c r="CF15" i="5"/>
  <c r="CB15" i="5"/>
  <c r="BX15" i="5"/>
  <c r="BT15" i="5"/>
  <c r="EJ14" i="5"/>
  <c r="EF14" i="5"/>
  <c r="EB14" i="5"/>
  <c r="DX14" i="5"/>
  <c r="DT14" i="5"/>
  <c r="DP14" i="5"/>
  <c r="DL14" i="5"/>
  <c r="DH14" i="5"/>
  <c r="DD14" i="5"/>
  <c r="CZ14" i="5"/>
  <c r="CV14" i="5"/>
  <c r="CR14" i="5"/>
  <c r="CN14" i="5"/>
  <c r="CJ14" i="5"/>
  <c r="CF14" i="5"/>
  <c r="CB14" i="5"/>
  <c r="BX14" i="5"/>
  <c r="BT14" i="5"/>
  <c r="EJ13" i="5"/>
  <c r="EF13" i="5"/>
  <c r="EB13" i="5"/>
  <c r="DX13" i="5"/>
  <c r="DT13" i="5"/>
  <c r="DP13" i="5"/>
  <c r="DL13" i="5"/>
  <c r="DH13" i="5"/>
  <c r="DD13" i="5"/>
  <c r="CZ13" i="5"/>
  <c r="CV13" i="5"/>
  <c r="CR13" i="5"/>
  <c r="CN13" i="5"/>
  <c r="CJ13" i="5"/>
  <c r="CF13" i="5"/>
  <c r="CB13" i="5"/>
  <c r="BX13" i="5"/>
  <c r="BT13" i="5"/>
  <c r="EJ12" i="5"/>
  <c r="EF12" i="5"/>
  <c r="EB12" i="5"/>
  <c r="DX12" i="5"/>
  <c r="DT12" i="5"/>
  <c r="DP12" i="5"/>
  <c r="DL12" i="5"/>
  <c r="DH12" i="5"/>
  <c r="DD12" i="5"/>
  <c r="CZ12" i="5"/>
  <c r="CV12" i="5"/>
  <c r="CR12" i="5"/>
  <c r="CN12" i="5"/>
  <c r="CJ12" i="5"/>
  <c r="CF12" i="5"/>
  <c r="CB12" i="5"/>
  <c r="BX12" i="5"/>
  <c r="BT12" i="5"/>
  <c r="EJ11" i="5"/>
  <c r="EF11" i="5"/>
  <c r="EB11" i="5"/>
  <c r="DX11" i="5"/>
  <c r="DT11" i="5"/>
  <c r="DP11" i="5"/>
  <c r="DL11" i="5"/>
  <c r="DH11" i="5"/>
  <c r="DD11" i="5"/>
  <c r="CZ11" i="5"/>
  <c r="CV11" i="5"/>
  <c r="CR11" i="5"/>
  <c r="CN11" i="5"/>
  <c r="CJ11" i="5"/>
  <c r="CF11" i="5"/>
  <c r="CB11" i="5"/>
  <c r="BX11" i="5"/>
  <c r="BT11" i="5"/>
  <c r="EJ10" i="5"/>
  <c r="EF10" i="5"/>
  <c r="EB10" i="5"/>
  <c r="DX10" i="5"/>
  <c r="DT10" i="5"/>
  <c r="DP10" i="5"/>
  <c r="DL10" i="5"/>
  <c r="DH10" i="5"/>
  <c r="DD10" i="5"/>
  <c r="CZ10" i="5"/>
  <c r="CV10" i="5"/>
  <c r="CR10" i="5"/>
  <c r="CN10" i="5"/>
  <c r="CJ10" i="5"/>
  <c r="CF10" i="5"/>
  <c r="CB10" i="5"/>
  <c r="BX10" i="5"/>
  <c r="BT10" i="5"/>
  <c r="EJ9" i="5"/>
  <c r="EF9" i="5"/>
  <c r="EB9" i="5"/>
  <c r="DX9" i="5"/>
  <c r="DT9" i="5"/>
  <c r="DP9" i="5"/>
  <c r="DL9" i="5"/>
  <c r="DH9" i="5"/>
  <c r="DD9" i="5"/>
  <c r="CZ9" i="5"/>
  <c r="CV9" i="5"/>
  <c r="CR9" i="5"/>
  <c r="CN9" i="5"/>
  <c r="CJ9" i="5"/>
  <c r="CF9" i="5"/>
  <c r="CB9" i="5"/>
  <c r="BX9" i="5"/>
  <c r="BT9" i="5"/>
  <c r="EJ8" i="5"/>
  <c r="EF8" i="5"/>
  <c r="EB8" i="5"/>
  <c r="DX8" i="5"/>
  <c r="DT8" i="5"/>
  <c r="DP8" i="5"/>
  <c r="DL8" i="5"/>
  <c r="DH8" i="5"/>
  <c r="DD8" i="5"/>
  <c r="CZ8" i="5"/>
  <c r="CV8" i="5"/>
  <c r="CR8" i="5"/>
  <c r="CN8" i="5"/>
  <c r="CJ8" i="5"/>
  <c r="CF8" i="5"/>
  <c r="CB8" i="5"/>
  <c r="BX8" i="5"/>
  <c r="BT8" i="5"/>
  <c r="EJ7" i="5"/>
  <c r="EF7" i="5"/>
  <c r="EB7" i="5"/>
  <c r="DX7" i="5"/>
  <c r="DT7" i="5"/>
  <c r="DP7" i="5"/>
  <c r="DL7" i="5"/>
  <c r="DH7" i="5"/>
  <c r="DD7" i="5"/>
  <c r="CZ7" i="5"/>
  <c r="CV7" i="5"/>
  <c r="CR7" i="5"/>
  <c r="CN7" i="5"/>
  <c r="CJ7" i="5"/>
  <c r="CF7" i="5"/>
  <c r="CB7" i="5"/>
  <c r="BX7" i="5"/>
  <c r="BT7" i="5"/>
  <c r="EJ6" i="5"/>
  <c r="EF6" i="5"/>
  <c r="EB6" i="5"/>
  <c r="DX6" i="5"/>
  <c r="DT6" i="5"/>
  <c r="DP6" i="5"/>
  <c r="DL6" i="5"/>
  <c r="DH6" i="5"/>
  <c r="DD6" i="5"/>
  <c r="CZ6" i="5"/>
  <c r="CV6" i="5"/>
  <c r="CR6" i="5"/>
  <c r="CN6" i="5"/>
  <c r="CJ6" i="5"/>
  <c r="CF6" i="5"/>
  <c r="CB6" i="5"/>
  <c r="BX6" i="5"/>
  <c r="BT6" i="5"/>
  <c r="EJ5" i="5"/>
  <c r="EF5" i="5"/>
  <c r="EB5" i="5"/>
  <c r="DX5" i="5"/>
  <c r="DT5" i="5"/>
  <c r="DP5" i="5"/>
  <c r="DL5" i="5"/>
  <c r="DH5" i="5"/>
  <c r="DD5" i="5"/>
  <c r="CZ5" i="5"/>
  <c r="CV5" i="5"/>
  <c r="CR5" i="5"/>
  <c r="CN5" i="5"/>
  <c r="CJ5" i="5"/>
  <c r="CF5" i="5"/>
  <c r="CB5" i="5"/>
  <c r="BX5" i="5"/>
  <c r="BT5" i="5"/>
  <c r="EJ4" i="5"/>
  <c r="EF4" i="5"/>
  <c r="EB4" i="5"/>
  <c r="DX4" i="5"/>
  <c r="DT4" i="5"/>
  <c r="DP4" i="5"/>
  <c r="DL4" i="5"/>
  <c r="DH4" i="5"/>
  <c r="DD4" i="5"/>
  <c r="CZ4" i="5"/>
  <c r="CV4" i="5"/>
  <c r="CR4" i="5"/>
  <c r="CN4" i="5"/>
  <c r="CJ4" i="5"/>
  <c r="CF4" i="5"/>
  <c r="CB4" i="5"/>
  <c r="BX4" i="5"/>
  <c r="BT4" i="5"/>
  <c r="EJ3" i="5"/>
  <c r="EJ99" i="5" s="1"/>
  <c r="EF3" i="5"/>
  <c r="EF99" i="5" s="1"/>
  <c r="EB3" i="5"/>
  <c r="EB99" i="5" s="1"/>
  <c r="DX3" i="5"/>
  <c r="DX99" i="5" s="1"/>
  <c r="DT3" i="5"/>
  <c r="DT99" i="5" s="1"/>
  <c r="DP3" i="5"/>
  <c r="DL3" i="5"/>
  <c r="DL99" i="5" s="1"/>
  <c r="DH3" i="5"/>
  <c r="DH99" i="5" s="1"/>
  <c r="DD3" i="5"/>
  <c r="DD99" i="5" s="1"/>
  <c r="CZ3" i="5"/>
  <c r="CZ99" i="5" s="1"/>
  <c r="CV3" i="5"/>
  <c r="CV99" i="5" s="1"/>
  <c r="CR3" i="5"/>
  <c r="CR99" i="5" s="1"/>
  <c r="CN3" i="5"/>
  <c r="CN99" i="5" s="1"/>
  <c r="CJ3" i="5"/>
  <c r="CF3" i="5"/>
  <c r="CF99" i="5" s="1"/>
  <c r="CB3" i="5"/>
  <c r="CB99" i="5" s="1"/>
  <c r="BX3" i="5"/>
  <c r="BX99" i="5" s="1"/>
  <c r="BT3" i="5"/>
  <c r="EY99" i="5" l="1"/>
  <c r="EU99" i="5"/>
  <c r="FD102" i="5"/>
  <c r="FD101" i="5"/>
  <c r="FD100" i="5" s="1"/>
  <c r="EZ102" i="5"/>
  <c r="EZ101" i="5"/>
  <c r="EZ100" i="5" s="1"/>
  <c r="EV102" i="5"/>
  <c r="EV101" i="5"/>
  <c r="EV100" i="5" s="1"/>
  <c r="ER102" i="5"/>
  <c r="ER101" i="5"/>
  <c r="ER100" i="5" s="1"/>
  <c r="EN102" i="5"/>
  <c r="EN101" i="5"/>
  <c r="EN100" i="5" s="1"/>
  <c r="CJ99" i="5"/>
  <c r="DP99" i="5"/>
  <c r="BT101" i="5"/>
  <c r="BT100" i="5" s="1"/>
  <c r="BX102" i="5"/>
  <c r="BX101" i="5"/>
  <c r="BX100" i="5" s="1"/>
  <c r="CB102" i="5"/>
  <c r="CB101" i="5"/>
  <c r="CB100" i="5" s="1"/>
  <c r="CF102" i="5"/>
  <c r="CF101" i="5"/>
  <c r="CF100" i="5" s="1"/>
  <c r="CJ101" i="5"/>
  <c r="CJ100" i="5" s="1"/>
  <c r="CN102" i="5"/>
  <c r="CR101" i="5"/>
  <c r="CR100" i="5" s="1"/>
  <c r="CV101" i="5"/>
  <c r="CV100" i="5" s="1"/>
  <c r="CZ101" i="5"/>
  <c r="CZ100" i="5" s="1"/>
  <c r="DD102" i="5"/>
  <c r="DD101" i="5"/>
  <c r="DD100" i="5" s="1"/>
  <c r="DH102" i="5"/>
  <c r="DH101" i="5"/>
  <c r="DH100" i="5" s="1"/>
  <c r="DL101" i="5"/>
  <c r="DL100" i="5" s="1"/>
  <c r="DP101" i="5"/>
  <c r="DP100" i="5" s="1"/>
  <c r="DX101" i="5"/>
  <c r="DX100" i="5" s="1"/>
  <c r="E4" i="24"/>
  <c r="I13" i="24" s="1"/>
  <c r="EB101" i="5"/>
  <c r="EB100" i="5" s="1"/>
  <c r="EF102" i="5"/>
  <c r="EJ101" i="5"/>
  <c r="EJ100" i="5" s="1"/>
  <c r="C32" i="24"/>
  <c r="D4" i="24"/>
  <c r="BH101" i="5"/>
  <c r="BH100" i="5" s="1"/>
  <c r="BL102" i="5"/>
  <c r="BL101" i="5"/>
  <c r="BL100" i="5" s="1"/>
  <c r="BT102" i="5"/>
  <c r="BT99" i="5"/>
  <c r="EJ102" i="5"/>
  <c r="EB102" i="5"/>
  <c r="EF101" i="5"/>
  <c r="EF100" i="5" s="1"/>
  <c r="DX102" i="5"/>
  <c r="DT102" i="5"/>
  <c r="DP102" i="5"/>
  <c r="DT101" i="5"/>
  <c r="DT100" i="5" s="1"/>
  <c r="DL102" i="5"/>
  <c r="CZ102" i="5"/>
  <c r="CV102" i="5"/>
  <c r="CR102" i="5"/>
  <c r="CJ102" i="5"/>
  <c r="CN101" i="5"/>
  <c r="CN100" i="5" s="1"/>
  <c r="FH102" i="5" l="1"/>
  <c r="FH101" i="5"/>
  <c r="FH100" i="5" s="1"/>
  <c r="E45" i="24"/>
  <c r="D45" i="24"/>
  <c r="C78" i="7"/>
  <c r="H13" i="24" l="1"/>
  <c r="S5" i="10"/>
  <c r="B10" i="10" s="1"/>
  <c r="J98" i="5"/>
  <c r="I97" i="5"/>
  <c r="I98" i="5"/>
  <c r="I96" i="5"/>
  <c r="BA99" i="5" l="1"/>
  <c r="K98" i="5"/>
  <c r="Z40" i="18"/>
  <c r="AC40" i="18" s="1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D46" i="24"/>
  <c r="AL99" i="5"/>
  <c r="AI99" i="5"/>
  <c r="AF99" i="5"/>
  <c r="Z99" i="5"/>
  <c r="W99" i="5"/>
  <c r="T99" i="5"/>
  <c r="Q99" i="5"/>
  <c r="N99" i="5"/>
  <c r="C46" i="24" l="1"/>
  <c r="D4" i="22"/>
  <c r="R17" i="18" l="1"/>
  <c r="B6" i="24" s="1"/>
  <c r="R19" i="18"/>
  <c r="R20" i="18"/>
  <c r="R23" i="18"/>
  <c r="R24" i="18"/>
  <c r="R25" i="18"/>
  <c r="R26" i="18"/>
  <c r="R27" i="18"/>
  <c r="R30" i="18"/>
  <c r="R34" i="18"/>
  <c r="R37" i="18"/>
  <c r="R21" i="18" l="1"/>
  <c r="R28" i="18"/>
  <c r="G80" i="22"/>
  <c r="Q38" i="22"/>
  <c r="P38" i="22"/>
  <c r="Q37" i="22"/>
  <c r="P37" i="22"/>
  <c r="X32" i="22"/>
  <c r="W31" i="22"/>
  <c r="V31" i="22"/>
  <c r="W30" i="22"/>
  <c r="V30" i="22"/>
  <c r="W29" i="22"/>
  <c r="V29" i="22"/>
  <c r="W28" i="22"/>
  <c r="V28" i="22"/>
  <c r="W27" i="22"/>
  <c r="V27" i="22"/>
  <c r="W26" i="22"/>
  <c r="V26" i="22"/>
  <c r="W25" i="22"/>
  <c r="V25" i="22"/>
  <c r="W24" i="22"/>
  <c r="V24" i="22"/>
  <c r="W23" i="22"/>
  <c r="V23" i="22"/>
  <c r="V6" i="22"/>
  <c r="X5" i="22"/>
  <c r="W5" i="22"/>
  <c r="V5" i="22"/>
  <c r="X4" i="22"/>
  <c r="W4" i="22"/>
  <c r="V4" i="22"/>
  <c r="AM38" i="21"/>
  <c r="AL38" i="21"/>
  <c r="AM37" i="21"/>
  <c r="AL37" i="21"/>
  <c r="AT32" i="21"/>
  <c r="AS31" i="21"/>
  <c r="AR31" i="21"/>
  <c r="AS30" i="21"/>
  <c r="AR30" i="21"/>
  <c r="AS29" i="21"/>
  <c r="AR29" i="21"/>
  <c r="AS28" i="21"/>
  <c r="AR28" i="21"/>
  <c r="AS27" i="21"/>
  <c r="AR27" i="21"/>
  <c r="AS26" i="21"/>
  <c r="AR26" i="21"/>
  <c r="AS25" i="21"/>
  <c r="AR25" i="21"/>
  <c r="AS24" i="21"/>
  <c r="AR24" i="21"/>
  <c r="AS23" i="21"/>
  <c r="AR23" i="21"/>
  <c r="AR6" i="21"/>
  <c r="AT5" i="21"/>
  <c r="AS5" i="21"/>
  <c r="AR5" i="21"/>
  <c r="AT4" i="21"/>
  <c r="AS4" i="21"/>
  <c r="AR4" i="21"/>
  <c r="F80" i="2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AM40" i="19"/>
  <c r="AL40" i="19"/>
  <c r="AM39" i="19"/>
  <c r="AL39" i="19"/>
  <c r="AT34" i="19"/>
  <c r="AS33" i="19"/>
  <c r="AR33" i="19"/>
  <c r="AS32" i="19"/>
  <c r="AR32" i="19"/>
  <c r="AS31" i="19"/>
  <c r="AR31" i="19"/>
  <c r="AS30" i="19"/>
  <c r="AR30" i="19"/>
  <c r="AS29" i="19"/>
  <c r="AR29" i="19"/>
  <c r="AS28" i="19"/>
  <c r="AR28" i="19"/>
  <c r="AS27" i="19"/>
  <c r="AR27" i="19"/>
  <c r="AS26" i="19"/>
  <c r="AR26" i="19"/>
  <c r="AS25" i="19"/>
  <c r="AR25" i="19"/>
  <c r="AR7" i="19"/>
  <c r="AT6" i="19"/>
  <c r="AS6" i="19"/>
  <c r="AR6" i="19"/>
  <c r="AT5" i="19"/>
  <c r="AS5" i="19"/>
  <c r="AR5" i="19"/>
  <c r="B4" i="19"/>
  <c r="AC80" i="18"/>
  <c r="AC79" i="18"/>
  <c r="AC78" i="18"/>
  <c r="AC77" i="18"/>
  <c r="AC76" i="18"/>
  <c r="AC75" i="18"/>
  <c r="W21" i="18"/>
  <c r="V21" i="18"/>
  <c r="AD66" i="18"/>
  <c r="AB57" i="18"/>
  <c r="Z57" i="18"/>
  <c r="X57" i="18"/>
  <c r="U57" i="18"/>
  <c r="R64" i="18"/>
  <c r="R57" i="18" s="1"/>
  <c r="AC63" i="18"/>
  <c r="AC62" i="18" s="1"/>
  <c r="AB63" i="18"/>
  <c r="AB62" i="18" s="1"/>
  <c r="AA63" i="18"/>
  <c r="AA62" i="18" s="1"/>
  <c r="Z63" i="18"/>
  <c r="Z62" i="18" s="1"/>
  <c r="Y63" i="18"/>
  <c r="Y62" i="18" s="1"/>
  <c r="X63" i="18"/>
  <c r="X62" i="18" s="1"/>
  <c r="W63" i="18"/>
  <c r="W62" i="18" s="1"/>
  <c r="V63" i="18"/>
  <c r="V62" i="18" s="1"/>
  <c r="U63" i="18"/>
  <c r="U62" i="18" s="1"/>
  <c r="T63" i="18"/>
  <c r="T62" i="18" s="1"/>
  <c r="S63" i="18"/>
  <c r="S62" i="18" s="1"/>
  <c r="R63" i="18"/>
  <c r="R60" i="18"/>
  <c r="AD60" i="18" s="1"/>
  <c r="AC57" i="18"/>
  <c r="AA57" i="18"/>
  <c r="Y57" i="18"/>
  <c r="W57" i="18"/>
  <c r="V57" i="18"/>
  <c r="S57" i="18"/>
  <c r="AD54" i="18"/>
  <c r="AC53" i="18"/>
  <c r="AB53" i="18"/>
  <c r="AA53" i="18"/>
  <c r="Z53" i="18"/>
  <c r="Y53" i="18"/>
  <c r="X53" i="18"/>
  <c r="W53" i="18"/>
  <c r="V53" i="18"/>
  <c r="U53" i="18"/>
  <c r="R53" i="18"/>
  <c r="AC52" i="18"/>
  <c r="AB52" i="18"/>
  <c r="AA52" i="18"/>
  <c r="Z52" i="18"/>
  <c r="Y52" i="18"/>
  <c r="X52" i="18"/>
  <c r="W52" i="18"/>
  <c r="V52" i="18"/>
  <c r="U52" i="18"/>
  <c r="R52" i="18"/>
  <c r="AC50" i="18"/>
  <c r="AB50" i="18"/>
  <c r="AA50" i="18"/>
  <c r="Z50" i="18"/>
  <c r="Y50" i="18"/>
  <c r="X50" i="18"/>
  <c r="R50" i="18"/>
  <c r="AC48" i="18"/>
  <c r="AB48" i="18"/>
  <c r="AA48" i="18"/>
  <c r="Z48" i="18"/>
  <c r="Y48" i="18"/>
  <c r="X48" i="18"/>
  <c r="W48" i="18"/>
  <c r="V48" i="18"/>
  <c r="U48" i="18"/>
  <c r="R48" i="18"/>
  <c r="AC39" i="18"/>
  <c r="AB40" i="18"/>
  <c r="AA40" i="18"/>
  <c r="AA39" i="18" s="1"/>
  <c r="Z39" i="18"/>
  <c r="Y40" i="18"/>
  <c r="Y39" i="18" s="1"/>
  <c r="X40" i="18"/>
  <c r="X39" i="18" s="1"/>
  <c r="V40" i="18"/>
  <c r="V39" i="18" s="1"/>
  <c r="U40" i="18"/>
  <c r="U39" i="18" s="1"/>
  <c r="R40" i="18"/>
  <c r="R39" i="18" s="1"/>
  <c r="W39" i="18"/>
  <c r="T39" i="18"/>
  <c r="S39" i="18"/>
  <c r="AC38" i="18"/>
  <c r="AC36" i="18" s="1"/>
  <c r="AB38" i="18"/>
  <c r="AA38" i="18"/>
  <c r="Z38" i="18"/>
  <c r="Z36" i="18" s="1"/>
  <c r="Y38" i="18"/>
  <c r="X38" i="18"/>
  <c r="W38" i="18"/>
  <c r="W36" i="18" s="1"/>
  <c r="V38" i="18"/>
  <c r="U38" i="18"/>
  <c r="R38" i="18"/>
  <c r="R36" i="18" s="1"/>
  <c r="AB37" i="18"/>
  <c r="AA37" i="18"/>
  <c r="Y37" i="18"/>
  <c r="X37" i="18"/>
  <c r="V37" i="18"/>
  <c r="U37" i="18"/>
  <c r="T36" i="18"/>
  <c r="S36" i="18"/>
  <c r="AD34" i="18"/>
  <c r="AC27" i="18"/>
  <c r="AB27" i="18"/>
  <c r="AA27" i="18"/>
  <c r="Z27" i="18"/>
  <c r="Y27" i="18"/>
  <c r="X27" i="18"/>
  <c r="V27" i="18"/>
  <c r="W27" i="18" s="1"/>
  <c r="AC26" i="18"/>
  <c r="AB26" i="18"/>
  <c r="AA26" i="18"/>
  <c r="Z26" i="18"/>
  <c r="Y26" i="18"/>
  <c r="X26" i="18"/>
  <c r="V26" i="18"/>
  <c r="W26" i="18" s="1"/>
  <c r="S25" i="18"/>
  <c r="S24" i="18"/>
  <c r="AC25" i="18"/>
  <c r="Z25" i="18"/>
  <c r="Y25" i="18"/>
  <c r="U25" i="18"/>
  <c r="U21" i="18"/>
  <c r="S21" i="18"/>
  <c r="AD20" i="18"/>
  <c r="AC19" i="18"/>
  <c r="AC21" i="18" s="1"/>
  <c r="AB19" i="18"/>
  <c r="AB21" i="18" s="1"/>
  <c r="AA19" i="18"/>
  <c r="AA21" i="18" s="1"/>
  <c r="Z19" i="18"/>
  <c r="Z21" i="18" s="1"/>
  <c r="Y19" i="18"/>
  <c r="Y21" i="18" s="1"/>
  <c r="X19" i="18"/>
  <c r="X21" i="18" s="1"/>
  <c r="T17" i="18"/>
  <c r="D6" i="24" s="1"/>
  <c r="S17" i="18"/>
  <c r="R71" i="18"/>
  <c r="AA75" i="18" s="1"/>
  <c r="AC16" i="18"/>
  <c r="AB16" i="18"/>
  <c r="AA16" i="18"/>
  <c r="Z16" i="18"/>
  <c r="Y16" i="18"/>
  <c r="X16" i="18"/>
  <c r="W17" i="18"/>
  <c r="V17" i="18"/>
  <c r="F6" i="24" s="1"/>
  <c r="U17" i="18"/>
  <c r="AM40" i="17"/>
  <c r="AL40" i="17"/>
  <c r="AM39" i="17"/>
  <c r="AL39" i="17"/>
  <c r="AT34" i="17"/>
  <c r="AS33" i="17"/>
  <c r="AR33" i="17"/>
  <c r="AS32" i="17"/>
  <c r="AR32" i="17"/>
  <c r="AS31" i="17"/>
  <c r="AR31" i="17"/>
  <c r="AS30" i="17"/>
  <c r="AR30" i="17"/>
  <c r="AS29" i="17"/>
  <c r="AR29" i="17"/>
  <c r="AS28" i="17"/>
  <c r="AR28" i="17"/>
  <c r="AS27" i="17"/>
  <c r="AR27" i="17"/>
  <c r="AS26" i="17"/>
  <c r="AR26" i="17"/>
  <c r="AS25" i="17"/>
  <c r="AR25" i="17"/>
  <c r="AR7" i="17"/>
  <c r="AT6" i="17"/>
  <c r="AS6" i="17"/>
  <c r="AR6" i="17"/>
  <c r="AT5" i="17"/>
  <c r="AS5" i="17"/>
  <c r="AR5" i="17"/>
  <c r="B4" i="17"/>
  <c r="R69" i="18" s="1"/>
  <c r="S69" i="18" s="1"/>
  <c r="T69" i="18" s="1"/>
  <c r="U69" i="18" s="1"/>
  <c r="V69" i="18" s="1"/>
  <c r="W69" i="18" s="1"/>
  <c r="V34" i="16"/>
  <c r="U34" i="16"/>
  <c r="V33" i="16"/>
  <c r="U33" i="16"/>
  <c r="AC28" i="16"/>
  <c r="AB27" i="16"/>
  <c r="AA27" i="16"/>
  <c r="AB26" i="16"/>
  <c r="AA26" i="16"/>
  <c r="AB25" i="16"/>
  <c r="AA25" i="16"/>
  <c r="AB24" i="16"/>
  <c r="AA24" i="16"/>
  <c r="AB23" i="16"/>
  <c r="AA23" i="16"/>
  <c r="AB22" i="16"/>
  <c r="AA22" i="16"/>
  <c r="AB21" i="16"/>
  <c r="AA21" i="16"/>
  <c r="AB20" i="16"/>
  <c r="AA20" i="16"/>
  <c r="AB19" i="16"/>
  <c r="AA19" i="16"/>
  <c r="AA7" i="16"/>
  <c r="AC6" i="16"/>
  <c r="AB6" i="16"/>
  <c r="AA6" i="16"/>
  <c r="AC5" i="16"/>
  <c r="AB5" i="16"/>
  <c r="AA5" i="16"/>
  <c r="B4" i="16"/>
  <c r="BP96" i="5"/>
  <c r="BP99" i="5" s="1"/>
  <c r="M53" i="14"/>
  <c r="M54" i="14" s="1"/>
  <c r="M56" i="14" s="1"/>
  <c r="M47" i="14"/>
  <c r="M48" i="14" s="1"/>
  <c r="M50" i="14" s="1"/>
  <c r="M41" i="14"/>
  <c r="M42" i="14" s="1"/>
  <c r="M44" i="14" s="1"/>
  <c r="M35" i="14"/>
  <c r="M36" i="14" s="1"/>
  <c r="M38" i="14" s="1"/>
  <c r="M29" i="14"/>
  <c r="M23" i="14"/>
  <c r="M24" i="14" s="1"/>
  <c r="M26" i="14" s="1"/>
  <c r="M6" i="14"/>
  <c r="M7" i="14" s="1"/>
  <c r="M9" i="14" s="1"/>
  <c r="T7" i="13"/>
  <c r="C4" i="13"/>
  <c r="U34" i="13"/>
  <c r="T34" i="13"/>
  <c r="U33" i="13"/>
  <c r="T33" i="13"/>
  <c r="V6" i="13"/>
  <c r="U6" i="13"/>
  <c r="T6" i="13"/>
  <c r="V5" i="13"/>
  <c r="U5" i="13"/>
  <c r="T5" i="13"/>
  <c r="E1" i="11"/>
  <c r="Q6" i="10"/>
  <c r="R32" i="18" l="1"/>
  <c r="X36" i="18"/>
  <c r="X42" i="18" s="1"/>
  <c r="U35" i="13"/>
  <c r="AS34" i="17"/>
  <c r="BP98" i="5"/>
  <c r="BP101" i="5" s="1"/>
  <c r="S71" i="18"/>
  <c r="AA76" i="18" s="1"/>
  <c r="C6" i="24"/>
  <c r="AM41" i="19"/>
  <c r="R6" i="10"/>
  <c r="AC99" i="5"/>
  <c r="A32" i="24" s="1"/>
  <c r="W71" i="18"/>
  <c r="AA80" i="18" s="1"/>
  <c r="G6" i="24"/>
  <c r="V71" i="18"/>
  <c r="AA79" i="18" s="1"/>
  <c r="U71" i="18"/>
  <c r="AA78" i="18" s="1"/>
  <c r="E6" i="24"/>
  <c r="W32" i="22"/>
  <c r="Q39" i="22"/>
  <c r="T42" i="18"/>
  <c r="R55" i="18"/>
  <c r="AC17" i="18"/>
  <c r="M6" i="24" s="1"/>
  <c r="Y55" i="18"/>
  <c r="T28" i="18"/>
  <c r="T72" i="18" s="1"/>
  <c r="T73" i="18" s="1"/>
  <c r="AB77" i="18" s="1"/>
  <c r="X55" i="18"/>
  <c r="Z17" i="18"/>
  <c r="J6" i="24" s="1"/>
  <c r="AD53" i="18"/>
  <c r="T71" i="18"/>
  <c r="AA77" i="18" s="1"/>
  <c r="AM39" i="21"/>
  <c r="AS32" i="21"/>
  <c r="AS34" i="19"/>
  <c r="AA17" i="18"/>
  <c r="K6" i="24" s="1"/>
  <c r="AD30" i="18"/>
  <c r="AB17" i="18"/>
  <c r="L6" i="24" s="1"/>
  <c r="S28" i="18"/>
  <c r="S72" i="18" s="1"/>
  <c r="S73" i="18" s="1"/>
  <c r="AB76" i="18" s="1"/>
  <c r="AB36" i="18"/>
  <c r="Y17" i="18"/>
  <c r="I6" i="24" s="1"/>
  <c r="S42" i="18"/>
  <c r="AD37" i="18"/>
  <c r="AD27" i="18"/>
  <c r="V36" i="18"/>
  <c r="V42" i="18" s="1"/>
  <c r="X17" i="18"/>
  <c r="H6" i="24" s="1"/>
  <c r="AD38" i="18"/>
  <c r="R41" i="18"/>
  <c r="AD41" i="18" s="1"/>
  <c r="Y36" i="18"/>
  <c r="Y42" i="18" s="1"/>
  <c r="AC42" i="18"/>
  <c r="Z42" i="18"/>
  <c r="AD63" i="18"/>
  <c r="AD62" i="18" s="1"/>
  <c r="AD15" i="18"/>
  <c r="AA36" i="18"/>
  <c r="AA42" i="18" s="1"/>
  <c r="Z55" i="18"/>
  <c r="AD57" i="18"/>
  <c r="AD40" i="18"/>
  <c r="AD50" i="18"/>
  <c r="AA55" i="18"/>
  <c r="R62" i="18"/>
  <c r="AD48" i="18"/>
  <c r="AB55" i="18"/>
  <c r="AD16" i="18"/>
  <c r="W42" i="18"/>
  <c r="AD26" i="18"/>
  <c r="W23" i="18"/>
  <c r="X23" i="18" s="1"/>
  <c r="U24" i="18"/>
  <c r="U36" i="18"/>
  <c r="U42" i="18" s="1"/>
  <c r="AC55" i="18"/>
  <c r="AB39" i="18"/>
  <c r="Y24" i="18"/>
  <c r="Y28" i="18" s="1"/>
  <c r="AD52" i="18"/>
  <c r="Z24" i="18"/>
  <c r="Z28" i="18" s="1"/>
  <c r="AD19" i="18"/>
  <c r="AD21" i="18" s="1"/>
  <c r="AC24" i="18"/>
  <c r="AC28" i="18" s="1"/>
  <c r="X24" i="18"/>
  <c r="AM41" i="17"/>
  <c r="AB28" i="16"/>
  <c r="V35" i="16"/>
  <c r="M30" i="14"/>
  <c r="M32" i="14" s="1"/>
  <c r="AA23" i="18" l="1"/>
  <c r="X25" i="18"/>
  <c r="X28" i="18" s="1"/>
  <c r="X32" i="18" s="1"/>
  <c r="X59" i="18" s="1"/>
  <c r="B4" i="24"/>
  <c r="F13" i="24" s="1"/>
  <c r="AO99" i="5"/>
  <c r="B32" i="24" s="1"/>
  <c r="S6" i="10"/>
  <c r="M7" i="24"/>
  <c r="J7" i="24"/>
  <c r="I7" i="24"/>
  <c r="AC32" i="18"/>
  <c r="AC59" i="18" s="1"/>
  <c r="T32" i="18"/>
  <c r="T59" i="18" s="1"/>
  <c r="D5" i="24" s="1"/>
  <c r="D7" i="24"/>
  <c r="C7" i="24"/>
  <c r="AD17" i="18"/>
  <c r="AB42" i="18"/>
  <c r="S32" i="18"/>
  <c r="S59" i="18" s="1"/>
  <c r="C5" i="24" s="1"/>
  <c r="AD55" i="18"/>
  <c r="AD36" i="18"/>
  <c r="R72" i="18"/>
  <c r="R73" i="18" s="1"/>
  <c r="AB75" i="18" s="1"/>
  <c r="AD75" i="18" s="1"/>
  <c r="W25" i="18"/>
  <c r="W24" i="18"/>
  <c r="Z32" i="18"/>
  <c r="Z59" i="18" s="1"/>
  <c r="Y32" i="18"/>
  <c r="Y59" i="18" s="1"/>
  <c r="V25" i="18"/>
  <c r="V24" i="18"/>
  <c r="AD39" i="18"/>
  <c r="R42" i="18"/>
  <c r="B7" i="24" s="1"/>
  <c r="U28" i="18"/>
  <c r="E7" i="24" s="1"/>
  <c r="H7" i="24" l="1"/>
  <c r="AB23" i="18"/>
  <c r="AA25" i="18"/>
  <c r="AA24" i="18"/>
  <c r="AA28" i="18" s="1"/>
  <c r="AU99" i="5"/>
  <c r="AX99" i="5"/>
  <c r="AR99" i="5"/>
  <c r="C4" i="24"/>
  <c r="G13" i="24" s="1"/>
  <c r="Y70" i="18"/>
  <c r="I5" i="24"/>
  <c r="Z70" i="18"/>
  <c r="J5" i="24"/>
  <c r="AC70" i="18"/>
  <c r="M5" i="24"/>
  <c r="X70" i="18"/>
  <c r="H5" i="24"/>
  <c r="AD42" i="18"/>
  <c r="R59" i="18"/>
  <c r="B5" i="24" s="1"/>
  <c r="U32" i="18"/>
  <c r="U59" i="18" s="1"/>
  <c r="E5" i="24" s="1"/>
  <c r="U72" i="18"/>
  <c r="U73" i="18" s="1"/>
  <c r="AB78" i="18" s="1"/>
  <c r="AD78" i="18" s="1"/>
  <c r="W28" i="18"/>
  <c r="G7" i="24" s="1"/>
  <c r="V28" i="18"/>
  <c r="K7" i="24" l="1"/>
  <c r="AA32" i="18"/>
  <c r="AA59" i="18" s="1"/>
  <c r="AB25" i="18"/>
  <c r="AD25" i="18" s="1"/>
  <c r="AB24" i="18"/>
  <c r="AD23" i="18"/>
  <c r="V72" i="18"/>
  <c r="V73" i="18" s="1"/>
  <c r="AB79" i="18" s="1"/>
  <c r="AD79" i="18" s="1"/>
  <c r="F7" i="24"/>
  <c r="W32" i="18"/>
  <c r="W59" i="18" s="1"/>
  <c r="G5" i="24" s="1"/>
  <c r="W72" i="18"/>
  <c r="W73" i="18" s="1"/>
  <c r="AB80" i="18" s="1"/>
  <c r="AD80" i="18" s="1"/>
  <c r="V32" i="18"/>
  <c r="V59" i="18" s="1"/>
  <c r="F5" i="24" s="1"/>
  <c r="AB28" i="18" l="1"/>
  <c r="AD24" i="18"/>
  <c r="AA70" i="18"/>
  <c r="K5" i="24"/>
  <c r="AB32" i="18" l="1"/>
  <c r="AB59" i="18" s="1"/>
  <c r="L7" i="24"/>
  <c r="AD28" i="18"/>
  <c r="AD32" i="18" s="1"/>
  <c r="O1" i="11"/>
  <c r="L1" i="11"/>
  <c r="B1" i="11"/>
  <c r="J4" i="10"/>
  <c r="AB70" i="18" l="1"/>
  <c r="L5" i="24"/>
  <c r="AD59" i="18"/>
  <c r="AD5" i="16"/>
  <c r="AU5" i="17"/>
  <c r="AU4" i="21"/>
  <c r="W5" i="13"/>
  <c r="AU5" i="19"/>
  <c r="Y4" i="22"/>
  <c r="AM1" i="5"/>
  <c r="AP1" i="5" s="1"/>
  <c r="AS1" i="5" s="1"/>
  <c r="F81" i="21" l="1"/>
  <c r="AV4" i="21"/>
  <c r="AU5" i="21"/>
  <c r="AV5" i="21" s="1"/>
  <c r="F82" i="21" s="1"/>
  <c r="Y5" i="22"/>
  <c r="Z5" i="22" s="1"/>
  <c r="G82" i="22" s="1"/>
  <c r="AD77" i="18" s="1"/>
  <c r="Z4" i="22"/>
  <c r="G81" i="22"/>
  <c r="AD76" i="18" s="1"/>
  <c r="AU6" i="19"/>
  <c r="AV6" i="19" s="1"/>
  <c r="B6" i="19" s="1"/>
  <c r="B5" i="19"/>
  <c r="AV5" i="19"/>
  <c r="W6" i="13"/>
  <c r="X6" i="13" s="1"/>
  <c r="C6" i="13" s="1"/>
  <c r="X5" i="13"/>
  <c r="C5" i="13"/>
  <c r="AU6" i="17"/>
  <c r="AV6" i="17" s="1"/>
  <c r="B6" i="17" s="1"/>
  <c r="B5" i="17"/>
  <c r="AV5" i="17"/>
  <c r="AD6" i="16"/>
  <c r="AE6" i="16" s="1"/>
  <c r="B6" i="16" s="1"/>
  <c r="AE5" i="16"/>
  <c r="B5" i="16"/>
  <c r="I88" i="5"/>
  <c r="I87" i="5"/>
  <c r="I86" i="5"/>
  <c r="I85" i="5"/>
  <c r="I84" i="5"/>
  <c r="I83" i="5"/>
  <c r="I15" i="5"/>
  <c r="I14" i="5"/>
  <c r="I13" i="5"/>
  <c r="I12" i="5"/>
  <c r="I52" i="5" l="1"/>
  <c r="R31" i="7" l="1"/>
  <c r="R35" i="7" l="1"/>
  <c r="R33" i="7"/>
  <c r="J93" i="5" l="1"/>
  <c r="J91" i="5"/>
  <c r="J90" i="5"/>
  <c r="J89" i="5"/>
  <c r="J86" i="5"/>
  <c r="J81" i="5"/>
  <c r="J78" i="5"/>
  <c r="J77" i="5"/>
  <c r="J76" i="5"/>
  <c r="J69" i="5"/>
  <c r="J68" i="5"/>
  <c r="J67" i="5"/>
  <c r="J66" i="5"/>
  <c r="J65" i="5"/>
  <c r="J62" i="5"/>
  <c r="J59" i="5"/>
  <c r="J57" i="5"/>
  <c r="J56" i="5"/>
  <c r="J52" i="5"/>
  <c r="J47" i="5"/>
  <c r="J46" i="5"/>
  <c r="J45" i="5"/>
  <c r="J44" i="5"/>
  <c r="J40" i="5"/>
  <c r="J38" i="5"/>
  <c r="J37" i="5"/>
  <c r="J33" i="5"/>
  <c r="J30" i="5"/>
  <c r="J29" i="5"/>
  <c r="J23" i="5"/>
  <c r="J21" i="5"/>
  <c r="J16" i="5"/>
  <c r="J14" i="5"/>
  <c r="I50" i="5"/>
  <c r="I42" i="5"/>
  <c r="I41" i="5"/>
  <c r="P65" i="7" s="1"/>
  <c r="I40" i="5"/>
  <c r="I39" i="5"/>
  <c r="I38" i="5"/>
  <c r="I37" i="5"/>
  <c r="I36" i="5"/>
  <c r="I35" i="5"/>
  <c r="J8" i="7" s="1"/>
  <c r="I34" i="5"/>
  <c r="I33" i="5"/>
  <c r="I32" i="5"/>
  <c r="I31" i="5"/>
  <c r="I29" i="5"/>
  <c r="I28" i="5"/>
  <c r="I27" i="5"/>
  <c r="I26" i="5"/>
  <c r="I25" i="5"/>
  <c r="I24" i="5"/>
  <c r="V65" i="7"/>
  <c r="T65" i="7"/>
  <c r="R65" i="7"/>
  <c r="K40" i="5" l="1"/>
  <c r="K29" i="5"/>
  <c r="K33" i="5"/>
  <c r="K37" i="5"/>
  <c r="K38" i="5"/>
  <c r="P29" i="7" l="1"/>
  <c r="U29" i="7" s="1"/>
  <c r="P31" i="7"/>
  <c r="U31" i="7" s="1"/>
  <c r="P33" i="7"/>
  <c r="U33" i="7" s="1"/>
  <c r="P35" i="7"/>
  <c r="U35" i="7" s="1"/>
  <c r="P36" i="7"/>
  <c r="U36" i="7" s="1"/>
  <c r="N16" i="7"/>
  <c r="M16" i="7"/>
  <c r="K16" i="7"/>
  <c r="I16" i="7"/>
  <c r="G16" i="7"/>
  <c r="I94" i="5"/>
  <c r="I93" i="5"/>
  <c r="I92" i="5"/>
  <c r="I89" i="5"/>
  <c r="F8" i="7"/>
  <c r="D65" i="7"/>
  <c r="B65" i="7"/>
  <c r="B8" i="7"/>
  <c r="K8" i="7"/>
  <c r="I3" i="5"/>
  <c r="I16" i="5"/>
  <c r="I23" i="5"/>
  <c r="I68" i="5"/>
  <c r="K68" i="5" s="1"/>
  <c r="I63" i="5"/>
  <c r="I51" i="5"/>
  <c r="I64" i="5"/>
  <c r="I48" i="5"/>
  <c r="I49" i="5"/>
  <c r="K52" i="5"/>
  <c r="I11" i="5"/>
  <c r="I46" i="5"/>
  <c r="K46" i="5" s="1"/>
  <c r="I45" i="5"/>
  <c r="K45" i="5" s="1"/>
  <c r="I47" i="5"/>
  <c r="K47" i="5" s="1"/>
  <c r="I69" i="5"/>
  <c r="K69" i="5" s="1"/>
  <c r="I57" i="5"/>
  <c r="K57" i="5" s="1"/>
  <c r="I65" i="5"/>
  <c r="K65" i="5" s="1"/>
  <c r="I62" i="5"/>
  <c r="K62" i="5" s="1"/>
  <c r="I61" i="5"/>
  <c r="I55" i="5"/>
  <c r="I53" i="5"/>
  <c r="I56" i="5"/>
  <c r="K56" i="5" s="1"/>
  <c r="I20" i="5"/>
  <c r="I21" i="5"/>
  <c r="I17" i="5"/>
  <c r="I67" i="5"/>
  <c r="K67" i="5" s="1"/>
  <c r="I66" i="5"/>
  <c r="K66" i="5" s="1"/>
  <c r="I91" i="5"/>
  <c r="I80" i="5"/>
  <c r="I79" i="5"/>
  <c r="I74" i="5"/>
  <c r="I82" i="5"/>
  <c r="I71" i="5"/>
  <c r="I73" i="5"/>
  <c r="I72" i="5"/>
  <c r="I81" i="5"/>
  <c r="K81" i="5" s="1"/>
  <c r="I70" i="5"/>
  <c r="I75" i="5"/>
  <c r="I44" i="5"/>
  <c r="K44" i="5" s="1"/>
  <c r="I77" i="5"/>
  <c r="K77" i="5" s="1"/>
  <c r="I76" i="5"/>
  <c r="K76" i="5" s="1"/>
  <c r="P66" i="7" l="1"/>
  <c r="B66" i="7"/>
  <c r="E6" i="7"/>
  <c r="E10" i="7"/>
  <c r="G6" i="7"/>
  <c r="K21" i="5"/>
  <c r="I5" i="7"/>
  <c r="I15" i="7" s="1"/>
  <c r="I17" i="7" s="1"/>
  <c r="K16" i="5"/>
  <c r="J10" i="7"/>
  <c r="J6" i="7"/>
  <c r="D3" i="7"/>
  <c r="F10" i="7"/>
  <c r="R66" i="7"/>
  <c r="E4" i="7"/>
  <c r="G10" i="7"/>
  <c r="K86" i="5"/>
  <c r="F4" i="7"/>
  <c r="D10" i="7"/>
  <c r="G4" i="7"/>
  <c r="K14" i="5"/>
  <c r="B10" i="7"/>
  <c r="G12" i="7"/>
  <c r="K91" i="5"/>
  <c r="G7" i="7"/>
  <c r="K23" i="5"/>
  <c r="H4" i="7"/>
  <c r="N11" i="7"/>
  <c r="K89" i="5"/>
  <c r="H13" i="7"/>
  <c r="K14" i="7"/>
  <c r="K15" i="7" s="1"/>
  <c r="K17" i="7" s="1"/>
  <c r="K93" i="5"/>
  <c r="L14" i="7"/>
  <c r="B2" i="7"/>
  <c r="J66" i="7"/>
  <c r="K66" i="7" s="1"/>
  <c r="J65" i="7"/>
  <c r="K65" i="7" s="1"/>
  <c r="B9" i="7"/>
  <c r="V66" i="7"/>
  <c r="N9" i="7"/>
  <c r="N66" i="7"/>
  <c r="O66" i="7" s="1"/>
  <c r="C9" i="7"/>
  <c r="H66" i="7"/>
  <c r="H9" i="7"/>
  <c r="L66" i="7"/>
  <c r="L9" i="7"/>
  <c r="D66" i="7"/>
  <c r="J9" i="7"/>
  <c r="F66" i="7"/>
  <c r="D9" i="7"/>
  <c r="T66" i="7"/>
  <c r="N8" i="7"/>
  <c r="N65" i="7"/>
  <c r="O65" i="7" s="1"/>
  <c r="H8" i="7"/>
  <c r="L65" i="7"/>
  <c r="C8" i="7"/>
  <c r="H65" i="7"/>
  <c r="H32" i="7"/>
  <c r="F65" i="7"/>
  <c r="Z53" i="7"/>
  <c r="AA53" i="7" s="1"/>
  <c r="C88" i="7" s="1"/>
  <c r="L8" i="7"/>
  <c r="Z51" i="7"/>
  <c r="AA51" i="7" s="1"/>
  <c r="Z50" i="7"/>
  <c r="AA50" i="7" s="1"/>
  <c r="M8" i="7"/>
  <c r="M15" i="7" s="1"/>
  <c r="M17" i="7" s="1"/>
  <c r="V50" i="7"/>
  <c r="X50" i="7"/>
  <c r="V56" i="7"/>
  <c r="V51" i="7"/>
  <c r="L50" i="7"/>
  <c r="M50" i="7" s="1"/>
  <c r="T56" i="7"/>
  <c r="R52" i="7"/>
  <c r="T50" i="7"/>
  <c r="U50" i="7" s="1"/>
  <c r="R50" i="7"/>
  <c r="R51" i="7"/>
  <c r="R48" i="7"/>
  <c r="N55" i="7"/>
  <c r="P47" i="7"/>
  <c r="Q47" i="7" s="1"/>
  <c r="C82" i="7" s="1"/>
  <c r="N50" i="7"/>
  <c r="N51" i="7"/>
  <c r="N46" i="7"/>
  <c r="L51" i="7"/>
  <c r="M51" i="7" s="1"/>
  <c r="L54" i="7"/>
  <c r="M54" i="7" s="1"/>
  <c r="C89" i="7" s="1"/>
  <c r="L48" i="7"/>
  <c r="M48" i="7" s="1"/>
  <c r="L49" i="7"/>
  <c r="M49" i="7" s="1"/>
  <c r="C84" i="7" s="1"/>
  <c r="L52" i="7"/>
  <c r="M52" i="7" s="1"/>
  <c r="J51" i="7"/>
  <c r="L46" i="7"/>
  <c r="M46" i="7" s="1"/>
  <c r="J46" i="7"/>
  <c r="J50" i="7"/>
  <c r="J52" i="7"/>
  <c r="H51" i="7"/>
  <c r="H50" i="7"/>
  <c r="H52" i="7"/>
  <c r="H48" i="7"/>
  <c r="H46" i="7"/>
  <c r="F51" i="7"/>
  <c r="F52" i="7"/>
  <c r="F45" i="7"/>
  <c r="D50" i="7"/>
  <c r="D51" i="7"/>
  <c r="B50" i="7"/>
  <c r="B51" i="7"/>
  <c r="B52" i="7"/>
  <c r="B44" i="7"/>
  <c r="AB51" i="7"/>
  <c r="I37" i="7"/>
  <c r="H29" i="7"/>
  <c r="H34" i="7"/>
  <c r="K36" i="7"/>
  <c r="I36" i="7"/>
  <c r="H36" i="7"/>
  <c r="H35" i="7"/>
  <c r="N34" i="7"/>
  <c r="I34" i="7"/>
  <c r="J32" i="7"/>
  <c r="N33" i="7"/>
  <c r="H33" i="7"/>
  <c r="I32" i="7"/>
  <c r="F32" i="7"/>
  <c r="E31" i="7"/>
  <c r="I28" i="7"/>
  <c r="M30" i="7"/>
  <c r="I30" i="7"/>
  <c r="H30" i="7"/>
  <c r="D30" i="7"/>
  <c r="H27" i="7"/>
  <c r="L29" i="7"/>
  <c r="I29" i="7"/>
  <c r="J29" i="7"/>
  <c r="G29" i="7"/>
  <c r="J28" i="7"/>
  <c r="F29" i="7"/>
  <c r="D29" i="7"/>
  <c r="H28" i="7"/>
  <c r="D28" i="7"/>
  <c r="I27" i="7"/>
  <c r="J27" i="7"/>
  <c r="F27" i="7"/>
  <c r="D27" i="7"/>
  <c r="J26" i="7"/>
  <c r="I26" i="7"/>
  <c r="C26" i="7"/>
  <c r="I25" i="7"/>
  <c r="H25" i="7"/>
  <c r="J24" i="7"/>
  <c r="I24" i="7"/>
  <c r="H24" i="7"/>
  <c r="B24" i="7"/>
  <c r="E9" i="7"/>
  <c r="O9" i="7"/>
  <c r="O15" i="7" s="1"/>
  <c r="F9" i="7"/>
  <c r="G8" i="7"/>
  <c r="E8" i="7"/>
  <c r="G9" i="7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i="7" s="1"/>
  <c r="T24" i="7"/>
  <c r="T30" i="7"/>
  <c r="T36" i="7"/>
  <c r="O35" i="7"/>
  <c r="Q35" i="7" s="1"/>
  <c r="S35" i="7" s="1"/>
  <c r="T35" i="7"/>
  <c r="O31" i="7"/>
  <c r="Q31" i="7" s="1"/>
  <c r="S31" i="7" s="1"/>
  <c r="T31" i="7"/>
  <c r="T34" i="7"/>
  <c r="O37" i="7"/>
  <c r="T37" i="7"/>
  <c r="T32" i="7"/>
  <c r="T28" i="7"/>
  <c r="T27" i="7"/>
  <c r="T26" i="7"/>
  <c r="T29" i="7"/>
  <c r="D15" i="7"/>
  <c r="F15" i="7"/>
  <c r="B15" i="7"/>
  <c r="N15" i="7"/>
  <c r="N17" i="7" s="1"/>
  <c r="H15" i="7"/>
  <c r="L15" i="7"/>
  <c r="J15" i="7"/>
  <c r="AB57" i="7"/>
  <c r="X57" i="7"/>
  <c r="Y57" i="7" s="1"/>
  <c r="Y50" i="7"/>
  <c r="T57" i="7"/>
  <c r="U57" i="7" s="1"/>
  <c r="U56" i="7"/>
  <c r="P57" i="7"/>
  <c r="Q57" i="7" s="1"/>
  <c r="R57" i="7"/>
  <c r="V57" i="7"/>
  <c r="Z57" i="7"/>
  <c r="AA57" i="7" s="1"/>
  <c r="F57" i="7"/>
  <c r="N57" i="7"/>
  <c r="J57" i="7"/>
  <c r="O33" i="7"/>
  <c r="Q33" i="7" s="1"/>
  <c r="S33" i="7" s="1"/>
  <c r="B57" i="7"/>
  <c r="L57" i="7"/>
  <c r="M57" i="7" s="1"/>
  <c r="O28" i="7"/>
  <c r="O36" i="7"/>
  <c r="Q36" i="7" s="1"/>
  <c r="O30" i="7"/>
  <c r="O24" i="7"/>
  <c r="O27" i="7"/>
  <c r="O29" i="7"/>
  <c r="Q29" i="7" s="1"/>
  <c r="O32" i="7"/>
  <c r="O34" i="7"/>
  <c r="O26" i="7"/>
  <c r="E15" i="7"/>
  <c r="G15" i="7"/>
  <c r="G17" i="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 i="7"/>
  <c r="W31" i="7"/>
  <c r="W35" i="7"/>
  <c r="V35" i="7"/>
  <c r="V36" i="7"/>
  <c r="V29" i="7"/>
  <c r="H57" i="7" l="1"/>
  <c r="J73" i="5" l="1"/>
  <c r="K73" i="5" s="1"/>
  <c r="J51" i="5"/>
  <c r="K51" i="5" s="1"/>
  <c r="J49" i="5"/>
  <c r="K49" i="5" s="1"/>
  <c r="J48" i="5"/>
  <c r="K48" i="5" s="1"/>
  <c r="J50" i="5"/>
  <c r="K50" i="5" s="1"/>
  <c r="J63" i="5"/>
  <c r="K63" i="5" s="1"/>
  <c r="J64" i="5"/>
  <c r="K64" i="5" s="1"/>
  <c r="S66" i="7"/>
  <c r="S65" i="7"/>
  <c r="AC51" i="7"/>
  <c r="P37" i="7"/>
  <c r="AC57" i="7"/>
  <c r="O16" i="7"/>
  <c r="O17" i="7" s="1"/>
  <c r="Q37" i="7" l="1"/>
  <c r="U37" i="7"/>
  <c r="V37" i="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 i="5"/>
  <c r="J7" i="5"/>
  <c r="J5" i="5"/>
  <c r="J36" i="5"/>
  <c r="K36" i="5" s="1"/>
  <c r="J6" i="5"/>
  <c r="J10" i="5"/>
  <c r="J9" i="5"/>
  <c r="J74" i="5"/>
  <c r="K74" i="5" s="1"/>
  <c r="I66" i="7"/>
  <c r="C16" i="7"/>
  <c r="P25" i="7"/>
  <c r="U25" i="7" s="1"/>
  <c r="E50" i="7"/>
  <c r="I65" i="7"/>
  <c r="E51" i="7"/>
  <c r="J32" i="5"/>
  <c r="K32" i="5" s="1"/>
  <c r="J95" i="5"/>
  <c r="J94" i="5"/>
  <c r="K94" i="5" s="1"/>
  <c r="J71" i="5"/>
  <c r="K71" i="5" s="1"/>
  <c r="J31" i="5"/>
  <c r="K31" i="5" s="1"/>
  <c r="E66" i="7"/>
  <c r="W56" i="7"/>
  <c r="C91" i="7" s="1"/>
  <c r="W57" i="7"/>
  <c r="W50" i="7"/>
  <c r="W51" i="7"/>
  <c r="E65" i="7"/>
  <c r="L16" i="7"/>
  <c r="L17" i="7" s="1"/>
  <c r="P34" i="7"/>
  <c r="J22" i="5"/>
  <c r="J20" i="5"/>
  <c r="K20" i="5" s="1"/>
  <c r="J18" i="5"/>
  <c r="J19" i="5"/>
  <c r="J72" i="5"/>
  <c r="K72" i="5" s="1"/>
  <c r="J35" i="5"/>
  <c r="K35" i="5" s="1"/>
  <c r="J84" i="5"/>
  <c r="K84" i="5" s="1"/>
  <c r="G66" i="7"/>
  <c r="S57" i="7"/>
  <c r="P32" i="7"/>
  <c r="S50" i="7"/>
  <c r="S51" i="7"/>
  <c r="S52" i="7"/>
  <c r="J16" i="7"/>
  <c r="J17" i="7" s="1"/>
  <c r="S48" i="7"/>
  <c r="G65" i="7"/>
  <c r="J3" i="5"/>
  <c r="K3" i="5" s="1"/>
  <c r="J88" i="5"/>
  <c r="K88" i="5" s="1"/>
  <c r="J82" i="5"/>
  <c r="K82" i="5" s="1"/>
  <c r="J34" i="5"/>
  <c r="K34" i="5" s="1"/>
  <c r="W66" i="7"/>
  <c r="C57" i="7"/>
  <c r="W65" i="7"/>
  <c r="C44" i="7"/>
  <c r="C79" i="7" s="1"/>
  <c r="P24" i="7"/>
  <c r="C52" i="7"/>
  <c r="B16" i="7"/>
  <c r="B17" i="7" s="1"/>
  <c r="C51" i="7"/>
  <c r="C50" i="7"/>
  <c r="J97" i="5"/>
  <c r="K97" i="5" s="1"/>
  <c r="J96" i="5"/>
  <c r="K96" i="5" s="1"/>
  <c r="J39" i="5"/>
  <c r="K39" i="5" s="1"/>
  <c r="J92" i="5"/>
  <c r="K92" i="5" s="1"/>
  <c r="J80" i="5"/>
  <c r="K80" i="5" s="1"/>
  <c r="J15" i="5"/>
  <c r="K15" i="5" s="1"/>
  <c r="M66" i="7"/>
  <c r="O51" i="7"/>
  <c r="O50" i="7"/>
  <c r="O55" i="7"/>
  <c r="C90" i="7" s="1"/>
  <c r="P30" i="7"/>
  <c r="O46" i="7"/>
  <c r="H16" i="7"/>
  <c r="H17" i="7" s="1"/>
  <c r="O57" i="7"/>
  <c r="M65" i="7"/>
  <c r="J24" i="5"/>
  <c r="K24" i="5" s="1"/>
  <c r="J70" i="5"/>
  <c r="K70" i="5" s="1"/>
  <c r="J83" i="5"/>
  <c r="K83" i="5" s="1"/>
  <c r="J58" i="5"/>
  <c r="J28" i="5"/>
  <c r="K28" i="5" s="1"/>
  <c r="J53" i="5"/>
  <c r="K53" i="5" s="1"/>
  <c r="J26" i="5"/>
  <c r="K26" i="5" s="1"/>
  <c r="J25" i="5"/>
  <c r="K25" i="5" s="1"/>
  <c r="J12" i="5"/>
  <c r="K12" i="5" s="1"/>
  <c r="J17" i="5"/>
  <c r="K17" i="5" s="1"/>
  <c r="J27" i="5"/>
  <c r="K27" i="5" s="1"/>
  <c r="C65" i="7"/>
  <c r="C66" i="7"/>
  <c r="E16" i="7"/>
  <c r="E17" i="7" s="1"/>
  <c r="P27" i="7"/>
  <c r="I51" i="7"/>
  <c r="I50" i="7"/>
  <c r="I52" i="7"/>
  <c r="I48" i="7"/>
  <c r="I46" i="7"/>
  <c r="I57" i="7"/>
  <c r="J11" i="5"/>
  <c r="K11" i="5" s="1"/>
  <c r="J79" i="5"/>
  <c r="K79" i="5" s="1"/>
  <c r="J87" i="5"/>
  <c r="K87" i="5" s="1"/>
  <c r="U66" i="7"/>
  <c r="G52" i="7"/>
  <c r="G51" i="7"/>
  <c r="P26" i="7"/>
  <c r="G45" i="7"/>
  <c r="D16" i="7"/>
  <c r="D17" i="7" s="1"/>
  <c r="G57" i="7"/>
  <c r="U65" i="7"/>
  <c r="J41" i="5"/>
  <c r="K41" i="5" s="1"/>
  <c r="J85" i="5"/>
  <c r="K85" i="5" s="1"/>
  <c r="J13" i="5"/>
  <c r="K13" i="5" s="1"/>
  <c r="J75" i="5"/>
  <c r="K75" i="5" s="1"/>
  <c r="J54" i="5"/>
  <c r="J42" i="5"/>
  <c r="K42" i="5" s="1"/>
  <c r="J61" i="5"/>
  <c r="K61" i="5" s="1"/>
  <c r="J60" i="5"/>
  <c r="J55" i="5"/>
  <c r="K55" i="5" s="1"/>
  <c r="Q66" i="7"/>
  <c r="P28" i="7"/>
  <c r="K46" i="7"/>
  <c r="Q65" i="7"/>
  <c r="K50" i="7"/>
  <c r="K52" i="7"/>
  <c r="K57" i="7"/>
  <c r="K51" i="7"/>
  <c r="F16" i="7"/>
  <c r="F17" i="7" s="1"/>
  <c r="C86" i="7" l="1"/>
  <c r="E21" i="9"/>
  <c r="E20" i="9"/>
  <c r="E22" i="9" s="1" a="1"/>
  <c r="E22" i="9" s="1"/>
  <c r="W39" i="7" s="1"/>
  <c r="C83" i="7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i="7" s="1"/>
  <c r="Q34" i="7"/>
  <c r="U34" i="7"/>
  <c r="V34" i="7" s="1"/>
  <c r="C80" i="16"/>
  <c r="C84" i="21"/>
  <c r="C86" i="17"/>
  <c r="D80" i="13"/>
  <c r="C16" i="24"/>
  <c r="C86" i="19"/>
  <c r="U27" i="7"/>
  <c r="V27" i="7" s="1"/>
  <c r="Q27" i="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 i="7"/>
  <c r="V28" i="7" s="1"/>
  <c r="Q30" i="7"/>
  <c r="U30" i="7"/>
  <c r="V30" i="7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 i="7"/>
  <c r="U26" i="7"/>
  <c r="V26" i="7" s="1"/>
  <c r="D86" i="7"/>
  <c r="X66" i="7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i="7" s="1"/>
  <c r="Q32" i="7"/>
  <c r="C81" i="7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 i="7"/>
  <c r="V24" i="7" s="1"/>
  <c r="C97" i="19" l="1"/>
  <c r="C97" i="17"/>
  <c r="D92" i="7"/>
  <c r="I4" i="5"/>
  <c r="C95" i="21"/>
  <c r="X67" i="7"/>
  <c r="C91" i="16"/>
  <c r="C27" i="24"/>
  <c r="S24" i="7"/>
  <c r="D91" i="13"/>
  <c r="R32" i="7" l="1"/>
  <c r="R28" i="7"/>
  <c r="R26" i="7"/>
  <c r="R30" i="7"/>
  <c r="R34" i="7"/>
  <c r="R27" i="7"/>
  <c r="R37" i="7"/>
  <c r="R36" i="7"/>
  <c r="R29" i="7"/>
  <c r="K4" i="5"/>
  <c r="K1" i="5" s="1"/>
  <c r="C3" i="7"/>
  <c r="C15" i="7" s="1"/>
  <c r="C17" i="7" s="1"/>
  <c r="P17" i="7" s="1"/>
  <c r="D45" i="7"/>
  <c r="C25" i="7"/>
  <c r="W26" i="7" l="1"/>
  <c r="S26" i="7"/>
  <c r="S36" i="7"/>
  <c r="W36" i="7"/>
  <c r="W37" i="7"/>
  <c r="S37" i="7"/>
  <c r="W28" i="7"/>
  <c r="S28" i="7"/>
  <c r="S29" i="7"/>
  <c r="W29" i="7"/>
  <c r="W27" i="7"/>
  <c r="S27" i="7"/>
  <c r="O25" i="7"/>
  <c r="Q25" i="7" s="1"/>
  <c r="T25" i="7"/>
  <c r="D57" i="7"/>
  <c r="E57" i="7" s="1"/>
  <c r="E45" i="7"/>
  <c r="C80" i="7" s="1"/>
  <c r="C92" i="7" s="1"/>
  <c r="W34" i="7"/>
  <c r="S34" i="7"/>
  <c r="W32" i="7"/>
  <c r="S32" i="7"/>
  <c r="W30" i="7"/>
  <c r="S30" i="7"/>
  <c r="C85" i="13" l="1"/>
  <c r="C91" i="13" s="1"/>
  <c r="B21" i="24"/>
  <c r="B27" i="24" s="1"/>
  <c r="B89" i="21"/>
  <c r="B95" i="21" s="1"/>
  <c r="B85" i="16"/>
  <c r="B91" i="16" s="1"/>
  <c r="B91" i="17"/>
  <c r="B97" i="17" s="1"/>
  <c r="B91" i="19"/>
  <c r="B97" i="19" s="1"/>
  <c r="V25" i="7"/>
  <c r="V38" i="7" s="1"/>
  <c r="R25" i="7"/>
  <c r="W25" i="7" s="1"/>
  <c r="W38" i="7" s="1"/>
  <c r="Q38" i="7"/>
  <c r="S25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<sst xmlns="http://schemas.openxmlformats.org/spreadsheetml/2006/main" count="5884" uniqueCount="973">
  <si>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</si>
  <si>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</si>
  <si>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</si>
  <si>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</si>
  <si>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</si>
  <si>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</si>
  <si>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</si>
  <si>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</si>
  <si>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</si>
  <si>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</si>
  <si>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</si>
  <si>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</si>
  <si>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</si>
  <si>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</si>
  <si>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</si>
  <si>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</si>
  <si>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</si>
  <si>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</si>
  <si>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</si>
  <si>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</si>
  <si>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</si>
  <si>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</si>
  <si>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</si>
  <si>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</si>
  <si>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</si>
  <si>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</si>
  <si>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</si>
  <si>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</si>
  <si>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</si>
  <si>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</si>
  <si>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</si>
  <si>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</si>
  <si>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</si>
  <si>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</si>
  <si>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</si>
  <si>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</si>
  <si>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</si>
  <si>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</si>
  <si>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</si>
  <si>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</si>
  <si>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</si>
  <si>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</si>
  <si>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</si>
  <si>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</si>
  <si>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</si>
  <si>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</si>
  <si>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</si>
  <si>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</si>
  <si>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</si>
  <si>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</si>
  <si>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</si>
  <si>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 gbp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</si>
  <si>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</si>
  <si>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</si>
  <si>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</si>
  <si>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</si>
  <si>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</si>
  <si>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</si>
  <si>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</si>
  <si>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</si>
  <si>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</si>
  <si>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</si>
  <si>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</si>
  <si>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</si>
  <si>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</si>
  <si>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</si>
  <si>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</si>
  <si>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</si>
  <si>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</si>
  <si>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</si>
  <si>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</si>
  <si>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</si>
  <si>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</si>
  <si>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</si>
  <si>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</si>
  <si>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</si>
  <si>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</si>
  <si>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</si>
  <si>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</si>
  <si>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</si>
  <si>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</si>
  <si>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</si>
  <si>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</si>
  <si>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</si>
  <si>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</si>
  <si>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</si>
  <si>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 xml:space="preserve">                                                     -  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</si>
  <si>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</si>
  <si>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</si>
  <si>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</si>
  <si>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</si>
  <si>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</si>
  <si>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</si>
  <si>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</si>
  <si>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</si>
  <si>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</si>
  <si>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</si>
  <si>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</si>
  <si>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</si>
  <si>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</si>
  <si>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</si>
  <si>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</si>
  <si>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</si>
  <si>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</si>
  <si>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</si>
  <si>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</si>
  <si>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</si>
  <si>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</si>
  <si>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</si>
  <si>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</si>
  <si>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</si>
  <si>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</si>
  <si>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</si>
  <si>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</si>
  <si>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</si>
  <si>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</si>
  <si>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</si>
  <si>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</si>
  <si>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</si>
  <si>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</si>
  <si>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</si>
  <si>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</si>
  <si>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</si>
  <si>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</si>
  <si>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</si>
  <si>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 b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</si>
  <si>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</si>
  <si>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</si>
  <si>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</si>
  <si>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</si>
  <si>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</si>
  <si>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</si>
  <si>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</si>
  <si>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</si>
  <si>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</si>
  <si>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</si>
  <si>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</si>
  <si>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</si>
  <si>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</si>
  <si>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</si>
  <si>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</si>
  <si>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</si>
  <si>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</si>
  <si>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</si>
  <si>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</si>
  <si>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</si>
  <si>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</si>
  <si>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</si>
  <si>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</si>
  <si>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</si>
  <si>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</si>
  <si>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</si>
  <si>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</si>
  <si>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</si>
  <si>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</si>
  <si>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</si>
  <si>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</si>
  <si>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</si>
  <si>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</si>
  <si>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</si>
  <si>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</si>
  <si>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</si>
  <si>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 xml:space="preserve">                                2,814.26-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</si>
  <si>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</si>
  <si>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</si>
  <si>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</si>
  <si>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</si>
  <si>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</si>
  <si>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</si>
  <si>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</si>
  <si>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</si>
  <si>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</si>
  <si>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</si>
  <si>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</si>
  <si>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</si>
  <si>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</si>
  <si>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</si>
  <si>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</si>
  <si>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</si>
  <si>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</si>
  <si>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</si>
  <si>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</si>
  <si>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</si>
  <si>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</si>
  <si>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</si>
  <si>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</si>
  <si>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</si>
  <si>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</si>
  <si>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</si>
  <si>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</si>
  <si>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</si>
  <si>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</si>
  <si>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</si>
  <si>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</si>
  <si>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</si>
  <si>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</si>
  <si>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</si>
  <si>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</si>
  <si>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</si>
  <si>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</si>
  <si>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</si>
  <si>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</si>
  <si>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</si>
  <si>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</si>
  <si>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</si>
  <si>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078 germany</t>
  </si>
  <si>
    <t>UNIT4 BS GmbH 0025010331 (EUR)</t>
  </si>
  <si>
    <t>DE27500210000025010331</t>
  </si>
  <si>
    <t>E5 - Unit4 Business Software GMBH EUR 331</t>
  </si>
  <si>
    <t>080 Belgium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</si>
  <si>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</si>
  <si>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</si>
  <si>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</si>
  <si>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</si>
  <si>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</si>
  <si>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</si>
  <si>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</si>
  <si>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</si>
  <si>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</si>
  <si>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</si>
  <si>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</si>
  <si>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</si>
  <si>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</si>
  <si>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</si>
  <si>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</si>
  <si>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</si>
  <si>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</si>
  <si>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</si>
  <si>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</si>
  <si>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</si>
  <si>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</si>
  <si>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</si>
  <si>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</si>
  <si>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</si>
  <si>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</si>
  <si>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</si>
  <si>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</si>
  <si>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</si>
  <si>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</si>
  <si>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poland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</si>
  <si>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</si>
  <si>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</si>
  <si>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</si>
  <si>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</si>
  <si>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</si>
  <si>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</si>
  <si>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Unit4 Business Software Cyprus Ltd</t>
  </si>
  <si>
    <t>30/05/23</t>
  </si>
  <si>
    <t>V8 - Unit4 Business Software Cyprus Ltd 579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</si>
  <si>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</si>
  <si>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</si>
  <si>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</si>
  <si>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</si>
  <si>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</si>
  <si>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  6,596,401.32-</t>
  </si>
  <si>
    <t xml:space="preserve"> check (must be zero) </t>
  </si>
  <si>
    <t xml:space="preserve">                                              59.19-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</si>
  <si>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</si>
  <si>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</si>
  <si>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</si>
  <si>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</si>
  <si>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</si>
  <si>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</si>
  <si>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</si>
  <si>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</si>
  <si>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</si>
  <si>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</si>
  <si>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</si>
  <si>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</si>
  <si>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</si>
  <si>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</si>
  <si>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</si>
  <si>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</si>
  <si>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</si>
  <si>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</si>
  <si>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</si>
  <si>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</si>
  <si>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</si>
  <si>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</si>
  <si>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</si>
  <si>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</si>
  <si>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</si>
  <si>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</si>
  <si>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</si>
  <si>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</si>
  <si>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</si>
  <si>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</si>
  <si>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</si>
  <si>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</si>
  <si>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</si>
  <si>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</si>
  <si>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</si>
  <si>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</si>
  <si>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</si>
  <si>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</si>
  <si>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</si>
  <si>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</si>
  <si>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</si>
  <si>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</si>
  <si>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</si>
  <si>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</si>
  <si>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</si>
  <si>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</si>
  <si>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</si>
  <si>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</si>
  <si>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</si>
  <si>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</si>
  <si>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</si>
  <si>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</si>
  <si>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</si>
  <si>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</si>
  <si>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</si>
  <si>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</si>
  <si>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</si>
  <si>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</si>
  <si>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</si>
  <si>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</si>
  <si>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</si>
  <si>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</si>
  <si>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</si>
  <si>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</si>
  <si>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</si>
  <si>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</si>
  <si>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</si>
  <si>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</si>
  <si>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</si>
  <si>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</si>
  <si>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</si>
  <si>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</si>
  <si>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</si>
  <si>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</si>
  <si>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</si>
  <si>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</si>
  <si>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</si>
  <si>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</si>
  <si>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</si>
  <si>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</si>
  <si>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</si>
  <si>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</si>
  <si>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</si>
  <si>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</si>
  <si>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</si>
  <si>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</si>
  <si>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</si>
  <si>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</si>
  <si>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</si>
  <si>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</si>
  <si>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</si>
  <si>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</si>
  <si>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</si>
  <si>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</si>
  <si>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</si>
  <si>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</si>
  <si>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</si>
  <si>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</si>
  <si>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</si>
  <si>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 xml:space="preserve">                               -  </t>
  </si>
  <si>
    <t>EURO</t>
  </si>
  <si>
    <t xml:space="preserve">                          -  </t>
  </si>
  <si>
    <t xml:space="preserve">                51,222.28-</t>
  </si>
  <si>
    <t xml:space="preserve">                                               -  </t>
  </si>
  <si>
    <t>LAST YEAR</t>
  </si>
  <si>
    <t>Aligned with Annual report</t>
  </si>
  <si>
    <t>011 Interest compensation NOK (ING)</t>
  </si>
  <si>
    <t xml:space="preserve">                                            -  </t>
  </si>
  <si>
    <t xml:space="preserve">                      571.60-</t>
  </si>
  <si>
    <t>006 Interest compensation PLN</t>
  </si>
  <si>
    <t xml:space="preserve">              2,400.00-</t>
  </si>
  <si>
    <t>005 Interest compensation SEK</t>
  </si>
  <si>
    <t>007 Interest compensation SGD</t>
  </si>
  <si>
    <t>003 Interest compensation USD</t>
  </si>
  <si>
    <t xml:space="preserve">              250,554.11-</t>
  </si>
  <si>
    <t xml:space="preserve">              471,550.48-</t>
  </si>
  <si>
    <t xml:space="preserve">                22,505.81-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</si>
  <si>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</si>
  <si>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</si>
  <si>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</si>
  <si>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</si>
  <si>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</si>
  <si>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</si>
  <si>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</si>
  <si>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</si>
  <si>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</si>
  <si>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</si>
  <si>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</si>
  <si>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</si>
  <si>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</si>
  <si>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</si>
  <si>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</si>
  <si>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</si>
  <si>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</si>
  <si>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</si>
  <si>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</si>
  <si>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</si>
  <si>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</si>
  <si>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</si>
  <si>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</si>
  <si>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</si>
  <si>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</si>
  <si>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</si>
  <si>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</si>
  <si>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</si>
  <si>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</si>
  <si>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</si>
  <si>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</si>
  <si>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</si>
  <si>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</si>
  <si>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</si>
  <si>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</si>
  <si>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</si>
  <si>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</si>
  <si>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</si>
  <si>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</si>
  <si>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</si>
  <si>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23/06/2025</t>
  </si>
  <si>
    <t>HBAU</t>
  </si>
  <si>
    <t>24/06/2025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</si>
  <si>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</si>
  <si>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</si>
  <si>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</si>
  <si>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</si>
  <si>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</si>
  <si>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</si>
  <si>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</si>
  <si>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</si>
  <si>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</si>
  <si>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</si>
  <si>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</si>
  <si>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</si>
  <si>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</si>
  <si>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</si>
  <si>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</si>
  <si>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</si>
  <si>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</si>
  <si>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</si>
  <si>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</si>
  <si>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</si>
  <si>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</si>
  <si>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</si>
  <si>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</si>
  <si>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</si>
  <si>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</si>
  <si>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</si>
  <si>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</si>
  <si>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</si>
  <si>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</si>
  <si>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</si>
  <si>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</si>
  <si>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</si>
  <si>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</si>
  <si>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</si>
  <si>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20/06/2025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</si>
  <si>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</si>
  <si>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</si>
  <si>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</si>
  <si>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</si>
  <si>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</si>
  <si>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</si>
  <si>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</si>
  <si>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</si>
  <si>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</si>
  <si>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</si>
  <si>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</si>
  <si>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</si>
  <si>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</si>
  <si>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</si>
  <si>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</si>
  <si>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</si>
  <si>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</si>
  <si>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</si>
  <si>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</si>
  <si>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</si>
  <si>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</si>
  <si>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</si>
  <si>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</si>
  <si>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</si>
  <si>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</si>
  <si>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</si>
  <si>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</si>
  <si>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</si>
  <si>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</si>
  <si>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</si>
  <si>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</si>
  <si>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</si>
  <si>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</si>
  <si>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</si>
  <si>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</si>
  <si>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</si>
  <si>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</si>
  <si>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</si>
  <si>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</si>
  <si>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</si>
  <si>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</si>
  <si>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</si>
  <si>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</si>
  <si>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</si>
  <si>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</si>
  <si>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</si>
  <si>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</si>
  <si>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</si>
  <si>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</si>
  <si>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</si>
  <si>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</si>
  <si>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</si>
  <si>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</si>
  <si>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</si>
  <si>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</si>
  <si>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</si>
  <si>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</si>
  <si>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</si>
  <si>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</si>
  <si>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</si>
  <si>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</si>
  <si>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</si>
  <si>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</si>
  <si>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</si>
  <si>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</si>
  <si>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</si>
  <si>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</si>
  <si>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</si>
  <si>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</si>
  <si>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</si>
  <si>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</si>
  <si>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</si>
  <si>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</si>
  <si>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</si>
  <si>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</si>
  <si>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</si>
  <si>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</si>
  <si>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</si>
  <si>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</si>
  <si>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</si>
  <si>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</si>
  <si>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</si>
  <si>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</si>
  <si>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</si>
  <si>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</si>
  <si>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</si>
  <si>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</si>
  <si>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</si>
  <si>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</si>
  <si>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</si>
  <si>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</si>
  <si>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</si>
  <si>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</si>
  <si>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</si>
  <si>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</si>
  <si>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</si>
  <si>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</si>
  <si>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</si>
  <si>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</si>
  <si>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</si>
  <si>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</si>
  <si>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</si>
  <si>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</si>
  <si>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</si>
  <si>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</si>
  <si>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</si>
  <si>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</si>
  <si>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</si>
  <si>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</si>
  <si>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</si>
  <si>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</si>
  <si>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</si>
  <si>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</si>
  <si>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</si>
  <si>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</si>
  <si>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</si>
  <si>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</si>
  <si>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</si>
  <si>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</si>
  <si>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</si>
  <si>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</si>
  <si>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</si>
  <si>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</si>
  <si>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</si>
  <si>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</si>
  <si>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</si>
  <si>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</si>
  <si>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</si>
  <si>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</si>
  <si>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</si>
  <si>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</si>
  <si>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</si>
  <si>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</si>
  <si>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</si>
  <si>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</si>
  <si>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</si>
  <si>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</si>
  <si>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</si>
  <si>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</si>
  <si>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</si>
  <si>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</si>
  <si>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</si>
  <si>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</si>
  <si>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</si>
  <si>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</si>
  <si>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</si>
  <si>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</si>
  <si>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</si>
  <si>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</si>
  <si>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</si>
  <si>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</si>
  <si>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</si>
  <si>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</si>
  <si>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</si>
  <si>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</si>
  <si>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</si>
  <si>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</si>
  <si>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</si>
  <si>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</si>
  <si>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</si>
  <si>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</si>
  <si>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</si>
  <si>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</si>
  <si>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</si>
  <si>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</si>
  <si>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</si>
  <si>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</si>
  <si>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</si>
  <si>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</si>
  <si>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</si>
  <si>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</si>
  <si>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</si>
  <si>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</si>
  <si>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</si>
  <si>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</si>
  <si>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</si>
  <si>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</si>
  <si>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</si>
  <si>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</si>
  <si>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</si>
  <si>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</si>
  <si>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</si>
  <si>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</si>
  <si>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</si>
  <si>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</si>
  <si>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</si>
  <si>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</si>
  <si>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</si>
  <si>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</si>
  <si>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</si>
  <si>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</si>
  <si>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</si>
  <si>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</si>
  <si>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</si>
  <si>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</si>
  <si>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</si>
  <si>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</si>
  <si>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</si>
  <si>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</si>
  <si>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</si>
  <si>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</si>
  <si>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</si>
  <si>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</si>
  <si>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</si>
  <si>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</si>
  <si>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</si>
  <si>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</si>
  <si>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</si>
  <si>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</si>
  <si>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</si>
  <si>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</si>
  <si>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</si>
  <si>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</si>
  <si>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</si>
  <si>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</si>
  <si>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</si>
  <si>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</si>
  <si>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</si>
  <si>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</si>
  <si>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</si>
  <si>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</si>
  <si>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</si>
  <si>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</si>
  <si>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</si>
  <si>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</si>
  <si>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</si>
  <si>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</si>
  <si>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</si>
  <si>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</si>
  <si>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</si>
  <si>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</si>
  <si>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</si>
  <si>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</si>
  <si>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</si>
  <si>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</si>
  <si>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</si>
  <si>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</si>
  <si>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</si>
  <si>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</si>
  <si>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</si>
  <si>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</si>
  <si>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15/05/2025</t>
  </si>
  <si>
    <t>21/05/2025</t>
  </si>
  <si>
    <t>28/05/2025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</si>
  <si>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</si>
  <si>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</si>
  <si>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</si>
  <si>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</si>
  <si>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</si>
  <si>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</si>
  <si>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</si>
  <si>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</si>
  <si>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</si>
  <si>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</si>
  <si>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</si>
  <si>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</si>
  <si>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</si>
  <si>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</si>
  <si>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</si>
  <si>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</si>
  <si>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</si>
  <si>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</si>
  <si>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</si>
  <si>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</si>
  <si>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</si>
  <si>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</si>
  <si>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</si>
  <si>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</si>
  <si>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</si>
  <si>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</si>
  <si>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</si>
  <si>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</si>
  <si>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</si>
  <si>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</si>
  <si>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</si>
  <si>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</si>
  <si>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</si>
  <si>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</si>
  <si>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Close cash 2024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</si>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</sst>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/>
      <right style="medium">
        <color rgb="FFFFFFFF"/>
      </right>
      <top/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7" fillId="0" borderId="0"/>
    <xf numFmtId="0" fontId="114" fillId="0" borderId="0"/>
  </cellStyleXfs>
  <cellXfs count="824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4" fillId="0" borderId="43" xfId="0" applyFont="1" applyBorder="1" applyAlignment="1">
      <alignment vertical="center"/>
    </xf>
    <xf numFmtId="0" fontId="74" fillId="0" borderId="56" xfId="0" applyFont="1" applyBorder="1" applyAlignment="1">
      <alignment horizontal="center" vertical="center"/>
    </xf>
    <xf numFmtId="0" fontId="74" fillId="0" borderId="43" xfId="0" applyFont="1" applyBorder="1"/>
    <xf numFmtId="0" fontId="74" fillId="0" borderId="59" xfId="0" applyFont="1" applyBorder="1" applyAlignment="1">
      <alignment horizontal="left" vertical="center"/>
    </xf>
    <xf numFmtId="0" fontId="75" fillId="0" borderId="84" xfId="0" applyFont="1" applyBorder="1" applyAlignment="1">
      <alignment horizontal="center" vertical="center"/>
    </xf>
    <xf numFmtId="10" fontId="74" fillId="0" borderId="36" xfId="0" applyNumberFormat="1" applyFont="1" applyBorder="1" applyAlignment="1">
      <alignment horizontal="center" vertical="center"/>
    </xf>
    <xf numFmtId="0" fontId="74" fillId="0" borderId="85" xfId="0" applyFont="1" applyBorder="1" applyAlignment="1">
      <alignment vertical="center"/>
    </xf>
    <xf numFmtId="0" fontId="74" fillId="0" borderId="36" xfId="0" applyFont="1" applyBorder="1" applyAlignment="1">
      <alignment horizontal="center" vertical="center"/>
    </xf>
    <xf numFmtId="0" fontId="74" fillId="0" borderId="85" xfId="0" applyFont="1" applyBorder="1"/>
    <xf numFmtId="0" fontId="74" fillId="0" borderId="62" xfId="0" applyFont="1" applyBorder="1" applyAlignment="1">
      <alignment horizontal="left" vertical="center"/>
    </xf>
    <xf numFmtId="0" fontId="76" fillId="0" borderId="43" xfId="0" applyFont="1" applyBorder="1" applyAlignment="1">
      <alignment horizontal="center" vertical="center"/>
    </xf>
    <xf numFmtId="0" fontId="76" fillId="0" borderId="84" xfId="0" applyFont="1" applyBorder="1" applyAlignment="1">
      <alignment horizontal="center" vertical="center"/>
    </xf>
    <xf numFmtId="10" fontId="74" fillId="0" borderId="26" xfId="0" applyNumberFormat="1" applyFont="1" applyBorder="1" applyAlignment="1">
      <alignment horizontal="center" vertical="center"/>
    </xf>
    <xf numFmtId="10" fontId="74" fillId="0" borderId="56" xfId="0" applyNumberFormat="1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4" fillId="0" borderId="85" xfId="0" applyFont="1" applyBorder="1" applyAlignment="1">
      <alignment horizontal="center" vertical="center"/>
    </xf>
    <xf numFmtId="0" fontId="78" fillId="0" borderId="43" xfId="0" applyFont="1" applyBorder="1" applyAlignment="1">
      <alignment horizontal="left" vertical="center"/>
    </xf>
    <xf numFmtId="0" fontId="78" fillId="0" borderId="61" xfId="0" applyFont="1" applyBorder="1" applyAlignment="1">
      <alignment horizontal="left" vertical="center"/>
    </xf>
    <xf numFmtId="0" fontId="79" fillId="0" borderId="61" xfId="0" applyFont="1" applyBorder="1" applyAlignment="1">
      <alignment horizontal="center" vertical="center"/>
    </xf>
    <xf numFmtId="10" fontId="78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10" fontId="7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0" fontId="78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vertical="center"/>
    </xf>
    <xf numFmtId="0" fontId="74" fillId="0" borderId="86" xfId="0" applyFont="1" applyBorder="1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53" borderId="0" xfId="0" applyFont="1" applyFill="1" applyAlignment="1">
      <alignment vertical="center"/>
    </xf>
    <xf numFmtId="0" fontId="88" fillId="54" borderId="0" xfId="48" applyFont="1" applyFill="1" applyAlignment="1">
      <alignment horizontal="center" vertical="center"/>
    </xf>
    <xf numFmtId="0" fontId="80" fillId="54" borderId="0" xfId="0" applyFont="1" applyFill="1" applyAlignment="1">
      <alignment horizontal="center" vertical="center"/>
    </xf>
    <xf numFmtId="0" fontId="88" fillId="55" borderId="0" xfId="48" applyFont="1" applyFill="1" applyAlignment="1">
      <alignment horizontal="center" vertical="center"/>
    </xf>
    <xf numFmtId="17" fontId="89" fillId="55" borderId="0" xfId="48" quotePrefix="1" applyNumberFormat="1" applyFont="1" applyFill="1" applyAlignment="1">
      <alignment horizontal="center" vertical="center"/>
    </xf>
    <xf numFmtId="16" fontId="90" fillId="55" borderId="0" xfId="0" quotePrefix="1" applyNumberFormat="1" applyFont="1" applyFill="1" applyAlignment="1">
      <alignment horizontal="center" vertical="center"/>
    </xf>
    <xf numFmtId="0" fontId="91" fillId="53" borderId="0" xfId="0" applyFont="1" applyFill="1" applyAlignment="1">
      <alignment vertical="center"/>
    </xf>
    <xf numFmtId="0" fontId="80" fillId="4" borderId="0" xfId="0" applyFont="1" applyFill="1" applyAlignment="1">
      <alignment horizontal="center" vertical="center"/>
    </xf>
    <xf numFmtId="17" fontId="92" fillId="55" borderId="0" xfId="48" quotePrefix="1" applyNumberFormat="1" applyFont="1" applyFill="1" applyAlignment="1">
      <alignment horizontal="center" vertical="center"/>
    </xf>
    <xf numFmtId="0" fontId="80" fillId="0" borderId="87" xfId="0" applyFont="1" applyBorder="1" applyAlignment="1">
      <alignment horizontal="left" vertical="center" indent="1"/>
    </xf>
    <xf numFmtId="170" fontId="80" fillId="0" borderId="87" xfId="0" applyNumberFormat="1" applyFont="1" applyBorder="1" applyAlignment="1">
      <alignment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170" fontId="93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3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0" fillId="0" borderId="0" xfId="0" applyFont="1" applyAlignment="1">
      <alignment horizontal="left" vertical="center"/>
    </xf>
    <xf numFmtId="0" fontId="88" fillId="0" borderId="0" xfId="48" applyFont="1" applyAlignment="1">
      <alignment vertical="center"/>
    </xf>
    <xf numFmtId="0" fontId="94" fillId="0" borderId="0" xfId="48" applyFont="1" applyAlignment="1">
      <alignment horizontal="left" vertical="center"/>
    </xf>
    <xf numFmtId="172" fontId="88" fillId="0" borderId="0" xfId="48" applyNumberFormat="1" applyFont="1" applyAlignment="1">
      <alignment vertical="center"/>
    </xf>
    <xf numFmtId="170" fontId="88" fillId="0" borderId="0" xfId="48" applyNumberFormat="1" applyFont="1" applyAlignment="1">
      <alignment vertical="center"/>
    </xf>
    <xf numFmtId="0" fontId="87" fillId="0" borderId="0" xfId="48" applyAlignment="1">
      <alignment vertical="center"/>
    </xf>
    <xf numFmtId="0" fontId="94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4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4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5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4" fillId="0" borderId="0" xfId="48" applyNumberFormat="1" applyFont="1" applyAlignment="1">
      <alignment vertical="center"/>
    </xf>
    <xf numFmtId="170" fontId="88" fillId="0" borderId="88" xfId="48" applyNumberFormat="1" applyFont="1" applyBorder="1" applyAlignment="1">
      <alignment vertical="center"/>
    </xf>
    <xf numFmtId="170" fontId="88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4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6" fillId="0" borderId="0" xfId="0" applyFont="1" applyAlignment="1">
      <alignment vertical="center"/>
    </xf>
    <xf numFmtId="172" fontId="97" fillId="0" borderId="0" xfId="48" applyNumberFormat="1" applyFont="1" applyAlignment="1">
      <alignment vertical="center"/>
    </xf>
    <xf numFmtId="0" fontId="92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8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84" fillId="0" borderId="0" xfId="0" applyFont="1" applyAlignment="1">
      <alignment horizontal="left" vertical="center" indent="1"/>
    </xf>
    <xf numFmtId="171" fontId="84" fillId="0" borderId="0" xfId="0" applyNumberFormat="1" applyFont="1" applyAlignment="1">
      <alignment vertical="center"/>
    </xf>
    <xf numFmtId="171" fontId="85" fillId="0" borderId="0" xfId="0" applyNumberFormat="1" applyFont="1" applyAlignment="1">
      <alignment vertical="center"/>
    </xf>
    <xf numFmtId="173" fontId="99" fillId="0" borderId="0" xfId="0" applyNumberFormat="1" applyFont="1" applyAlignment="1">
      <alignment vertical="center"/>
    </xf>
    <xf numFmtId="171" fontId="80" fillId="0" borderId="0" xfId="0" applyNumberFormat="1" applyFont="1" applyAlignment="1">
      <alignment vertical="center"/>
    </xf>
    <xf numFmtId="4" fontId="80" fillId="0" borderId="0" xfId="0" applyNumberFormat="1" applyFont="1" applyAlignment="1">
      <alignment vertical="center"/>
    </xf>
    <xf numFmtId="4" fontId="80" fillId="56" borderId="0" xfId="0" applyNumberFormat="1" applyFont="1" applyFill="1" applyAlignment="1">
      <alignment vertical="center"/>
    </xf>
    <xf numFmtId="170" fontId="80" fillId="0" borderId="0" xfId="0" applyNumberFormat="1" applyFont="1" applyAlignment="1">
      <alignment vertical="center"/>
    </xf>
    <xf numFmtId="174" fontId="80" fillId="0" borderId="0" xfId="0" applyNumberFormat="1" applyFont="1" applyAlignment="1">
      <alignment vertical="center"/>
    </xf>
    <xf numFmtId="175" fontId="80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0" fillId="8" borderId="60" xfId="0" applyNumberFormat="1" applyFont="1" applyFill="1" applyBorder="1"/>
    <xf numFmtId="3" fontId="100" fillId="8" borderId="0" xfId="0" applyNumberFormat="1" applyFont="1" applyFill="1" applyAlignment="1">
      <alignment horizontal="center"/>
    </xf>
    <xf numFmtId="16" fontId="100" fillId="8" borderId="60" xfId="0" applyNumberFormat="1" applyFont="1" applyFill="1" applyBorder="1" applyAlignment="1">
      <alignment horizontal="right"/>
    </xf>
    <xf numFmtId="3" fontId="100" fillId="8" borderId="0" xfId="0" applyNumberFormat="1" applyFont="1" applyFill="1"/>
    <xf numFmtId="177" fontId="17" fillId="0" borderId="0" xfId="0" applyNumberFormat="1" applyFont="1"/>
    <xf numFmtId="0" fontId="101" fillId="8" borderId="0" xfId="0" applyFont="1" applyFill="1"/>
    <xf numFmtId="177" fontId="80" fillId="0" borderId="0" xfId="0" applyNumberFormat="1" applyFont="1" applyAlignment="1">
      <alignment vertical="center"/>
    </xf>
    <xf numFmtId="3" fontId="8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" fontId="103" fillId="57" borderId="0" xfId="0" applyNumberFormat="1" applyFont="1" applyFill="1" applyAlignment="1">
      <alignment horizontal="center" vertical="center"/>
    </xf>
    <xf numFmtId="0" fontId="103" fillId="57" borderId="0" xfId="0" applyFont="1" applyFill="1" applyAlignment="1">
      <alignment horizontal="center" vertical="center"/>
    </xf>
    <xf numFmtId="0" fontId="104" fillId="57" borderId="0" xfId="0" applyFont="1" applyFill="1" applyAlignment="1">
      <alignment vertical="center"/>
    </xf>
    <xf numFmtId="0" fontId="102" fillId="58" borderId="0" xfId="0" applyFont="1" applyFill="1" applyAlignment="1">
      <alignment horizontal="center" vertical="center"/>
    </xf>
    <xf numFmtId="0" fontId="102" fillId="0" borderId="90" xfId="0" applyFont="1" applyBorder="1" applyAlignment="1">
      <alignment vertical="center"/>
    </xf>
    <xf numFmtId="0" fontId="105" fillId="0" borderId="0" xfId="0" applyFont="1" applyAlignment="1">
      <alignment vertical="center"/>
    </xf>
    <xf numFmtId="4" fontId="105" fillId="0" borderId="91" xfId="0" applyNumberFormat="1" applyFont="1" applyBorder="1" applyAlignment="1">
      <alignment vertical="center"/>
    </xf>
    <xf numFmtId="0" fontId="105" fillId="0" borderId="91" xfId="0" applyFont="1" applyBorder="1" applyAlignment="1">
      <alignment vertical="center"/>
    </xf>
    <xf numFmtId="4" fontId="104" fillId="57" borderId="0" xfId="0" applyNumberFormat="1" applyFont="1" applyFill="1" applyAlignment="1">
      <alignment vertical="center"/>
    </xf>
    <xf numFmtId="4" fontId="98" fillId="0" borderId="0" xfId="0" applyNumberFormat="1" applyFont="1" applyAlignment="1">
      <alignment vertical="center"/>
    </xf>
    <xf numFmtId="4" fontId="102" fillId="0" borderId="0" xfId="0" applyNumberFormat="1" applyFont="1" applyAlignment="1">
      <alignment vertical="center"/>
    </xf>
    <xf numFmtId="4" fontId="105" fillId="0" borderId="0" xfId="0" applyNumberFormat="1" applyFont="1" applyAlignment="1">
      <alignment vertical="center"/>
    </xf>
    <xf numFmtId="0" fontId="102" fillId="0" borderId="91" xfId="0" applyFont="1" applyBorder="1" applyAlignment="1">
      <alignment vertical="center"/>
    </xf>
    <xf numFmtId="0" fontId="105" fillId="0" borderId="92" xfId="0" applyFont="1" applyBorder="1" applyAlignment="1">
      <alignment vertical="center"/>
    </xf>
    <xf numFmtId="4" fontId="99" fillId="0" borderId="0" xfId="0" applyNumberFormat="1" applyFont="1" applyAlignment="1">
      <alignment vertical="center"/>
    </xf>
    <xf numFmtId="170" fontId="80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0" fillId="3" borderId="0" xfId="0" applyFont="1" applyFill="1" applyAlignment="1">
      <alignment vertical="center"/>
    </xf>
    <xf numFmtId="170" fontId="88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8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6" fillId="3" borderId="0" xfId="0" applyNumberFormat="1" applyFont="1" applyFill="1" applyAlignment="1">
      <alignment vertical="center"/>
    </xf>
    <xf numFmtId="0" fontId="93" fillId="2" borderId="0" xfId="0" applyFont="1" applyFill="1" applyAlignment="1">
      <alignment horizontal="left" vertical="center"/>
    </xf>
    <xf numFmtId="4" fontId="105" fillId="7" borderId="0" xfId="0" applyNumberFormat="1" applyFont="1" applyFill="1" applyAlignment="1">
      <alignment vertical="center"/>
    </xf>
    <xf numFmtId="172" fontId="88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8" fillId="50" borderId="62" xfId="47" applyNumberFormat="1" applyFont="1" applyFill="1" applyBorder="1" applyAlignment="1">
      <alignment horizontal="center" vertical="center"/>
    </xf>
    <xf numFmtId="176" fontId="108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7" fillId="0" borderId="0" xfId="0" applyFont="1"/>
    <xf numFmtId="0" fontId="111" fillId="0" borderId="43" xfId="0" applyFont="1" applyBorder="1" applyAlignment="1">
      <alignment horizontal="center"/>
    </xf>
    <xf numFmtId="4" fontId="110" fillId="0" borderId="0" xfId="0" applyNumberFormat="1" applyFont="1" applyAlignment="1">
      <alignment horizontal="left"/>
    </xf>
    <xf numFmtId="4" fontId="0" fillId="0" borderId="26" xfId="0" applyNumberFormat="1" applyBorder="1"/>
    <xf numFmtId="0" fontId="101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4" fillId="0" borderId="0" xfId="0" applyFont="1"/>
    <xf numFmtId="0" fontId="25" fillId="8" borderId="56" xfId="0" applyFont="1" applyFill="1" applyBorder="1" applyAlignment="1">
      <alignment horizontal="center"/>
    </xf>
    <xf numFmtId="0" fontId="106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03" xfId="0" applyFont="1" applyFill="1" applyBorder="1" applyAlignment="1">
      <alignment wrapText="1"/>
    </xf>
    <xf numFmtId="0" fontId="139" fillId="0" borderId="0" xfId="0" applyFont="1"/>
    <xf numFmtId="4" fontId="139" fillId="0" borderId="0" xfId="0" applyNumberFormat="1" applyFont="1"/>
    <xf numFmtId="0" fontId="140" fillId="0" borderId="0" xfId="0" applyFont="1"/>
    <xf numFmtId="4" fontId="140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06" xfId="0" applyNumberFormat="1" applyFont="1" applyFill="1" applyBorder="1" applyAlignment="1">
      <alignment horizontal="center" vertical="center"/>
    </xf>
    <xf numFmtId="3" fontId="23" fillId="0" borderId="107" xfId="0" applyNumberFormat="1" applyFont="1" applyBorder="1"/>
    <xf numFmtId="3" fontId="23" fillId="0" borderId="108" xfId="0" applyNumberFormat="1" applyFont="1" applyBorder="1"/>
    <xf numFmtId="3" fontId="23" fillId="0" borderId="109" xfId="0" applyNumberFormat="1" applyFont="1" applyBorder="1"/>
    <xf numFmtId="4" fontId="17" fillId="6" borderId="110" xfId="0" applyNumberFormat="1" applyFont="1" applyFill="1" applyBorder="1" applyAlignment="1">
      <alignment horizontal="center" vertical="center"/>
    </xf>
    <xf numFmtId="3" fontId="23" fillId="0" borderId="111" xfId="0" applyNumberFormat="1" applyFont="1" applyBorder="1"/>
    <xf numFmtId="3" fontId="23" fillId="0" borderId="112" xfId="0" applyNumberFormat="1" applyFont="1" applyBorder="1"/>
    <xf numFmtId="3" fontId="23" fillId="0" borderId="113" xfId="0" applyNumberFormat="1" applyFont="1" applyBorder="1"/>
    <xf numFmtId="0" fontId="22" fillId="5" borderId="110" xfId="0" applyFont="1" applyFill="1" applyBorder="1" applyAlignment="1">
      <alignment horizontal="center" vertical="center" wrapText="1"/>
    </xf>
    <xf numFmtId="3" fontId="30" fillId="60" borderId="111" xfId="0" applyNumberFormat="1" applyFont="1" applyFill="1" applyBorder="1"/>
    <xf numFmtId="3" fontId="30" fillId="60" borderId="112" xfId="0" applyNumberFormat="1" applyFont="1" applyFill="1" applyBorder="1"/>
    <xf numFmtId="3" fontId="30" fillId="60" borderId="113" xfId="0" applyNumberFormat="1" applyFont="1" applyFill="1" applyBorder="1"/>
    <xf numFmtId="4" fontId="30" fillId="60" borderId="111" xfId="0" applyNumberFormat="1" applyFont="1" applyFill="1" applyBorder="1"/>
    <xf numFmtId="4" fontId="30" fillId="60" borderId="112" xfId="0" applyNumberFormat="1" applyFont="1" applyFill="1" applyBorder="1"/>
    <xf numFmtId="4" fontId="30" fillId="60" borderId="113" xfId="0" applyNumberFormat="1" applyFont="1" applyFill="1" applyBorder="1"/>
    <xf numFmtId="0" fontId="22" fillId="5" borderId="114" xfId="0" applyFont="1" applyFill="1" applyBorder="1" applyAlignment="1">
      <alignment horizontal="center" vertical="center" wrapText="1"/>
    </xf>
    <xf numFmtId="3" fontId="30" fillId="60" borderId="115" xfId="0" applyNumberFormat="1" applyFont="1" applyFill="1" applyBorder="1"/>
    <xf numFmtId="3" fontId="30" fillId="60" borderId="116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05" xfId="0" applyNumberFormat="1" applyFont="1" applyFill="1" applyBorder="1" applyAlignment="1">
      <alignment horizontal="center" vertical="center" wrapText="1"/>
    </xf>
    <xf numFmtId="4" fontId="17" fillId="6" borderId="105" xfId="0" applyNumberFormat="1" applyFont="1" applyFill="1" applyBorder="1" applyAlignment="1">
      <alignment horizontal="center" vertical="center"/>
    </xf>
    <xf numFmtId="0" fontId="22" fillId="5" borderId="105" xfId="0" applyFont="1" applyFill="1" applyBorder="1" applyAlignment="1">
      <alignment horizontal="center" vertical="center" wrapText="1"/>
    </xf>
    <xf numFmtId="0" fontId="22" fillId="5" borderId="117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18" xfId="0" applyNumberFormat="1" applyFont="1" applyBorder="1"/>
    <xf numFmtId="3" fontId="34" fillId="0" borderId="119" xfId="0" applyNumberFormat="1" applyFont="1" applyBorder="1"/>
    <xf numFmtId="3" fontId="30" fillId="60" borderId="119" xfId="0" applyNumberFormat="1" applyFont="1" applyFill="1" applyBorder="1"/>
    <xf numFmtId="4" fontId="30" fillId="60" borderId="119" xfId="0" applyNumberFormat="1" applyFont="1" applyFill="1" applyBorder="1"/>
    <xf numFmtId="3" fontId="30" fillId="60" borderId="120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21" xfId="0" applyFont="1" applyFill="1" applyBorder="1" applyAlignment="1">
      <alignment horizontal="center" vertical="center"/>
    </xf>
    <xf numFmtId="3" fontId="34" fillId="0" borderId="122" xfId="0" applyNumberFormat="1" applyFont="1" applyBorder="1"/>
    <xf numFmtId="3" fontId="34" fillId="0" borderId="123" xfId="0" applyNumberFormat="1" applyFont="1" applyBorder="1"/>
    <xf numFmtId="3" fontId="34" fillId="0" borderId="124" xfId="0" applyNumberFormat="1" applyFont="1" applyBorder="1"/>
    <xf numFmtId="3" fontId="30" fillId="60" borderId="124" xfId="0" applyNumberFormat="1" applyFont="1" applyFill="1" applyBorder="1"/>
    <xf numFmtId="4" fontId="30" fillId="60" borderId="124" xfId="0" applyNumberFormat="1" applyFont="1" applyFill="1" applyBorder="1"/>
    <xf numFmtId="3" fontId="30" fillId="60" borderId="125" xfId="0" applyNumberFormat="1" applyFont="1" applyFill="1" applyBorder="1"/>
    <xf numFmtId="3" fontId="23" fillId="60" borderId="126" xfId="0" applyNumberFormat="1" applyFont="1" applyFill="1" applyBorder="1"/>
    <xf numFmtId="3" fontId="23" fillId="60" borderId="122" xfId="0" applyNumberFormat="1" applyFont="1" applyFill="1" applyBorder="1"/>
    <xf numFmtId="4" fontId="30" fillId="60" borderId="122" xfId="0" applyNumberFormat="1" applyFont="1" applyFill="1" applyBorder="1"/>
    <xf numFmtId="3" fontId="30" fillId="60" borderId="122" xfId="0" applyNumberFormat="1" applyFont="1" applyFill="1" applyBorder="1"/>
    <xf numFmtId="3" fontId="30" fillId="60" borderId="127" xfId="0" applyNumberFormat="1" applyFont="1" applyFill="1" applyBorder="1"/>
    <xf numFmtId="0" fontId="17" fillId="6" borderId="110" xfId="0" applyFont="1" applyFill="1" applyBorder="1" applyAlignment="1">
      <alignment horizontal="center" vertical="center"/>
    </xf>
    <xf numFmtId="3" fontId="34" fillId="0" borderId="111" xfId="0" applyNumberFormat="1" applyFont="1" applyBorder="1"/>
    <xf numFmtId="3" fontId="34" fillId="0" borderId="128" xfId="0" applyNumberFormat="1" applyFont="1" applyBorder="1"/>
    <xf numFmtId="3" fontId="34" fillId="0" borderId="112" xfId="0" applyNumberFormat="1" applyFont="1" applyBorder="1"/>
    <xf numFmtId="3" fontId="30" fillId="60" borderId="129" xfId="0" applyNumberFormat="1" applyFont="1" applyFill="1" applyBorder="1"/>
    <xf numFmtId="3" fontId="23" fillId="60" borderId="130" xfId="0" applyNumberFormat="1" applyFont="1" applyFill="1" applyBorder="1"/>
    <xf numFmtId="3" fontId="23" fillId="60" borderId="111" xfId="0" applyNumberFormat="1" applyFont="1" applyFill="1" applyBorder="1"/>
    <xf numFmtId="0" fontId="17" fillId="6" borderId="131" xfId="0" applyFont="1" applyFill="1" applyBorder="1" applyAlignment="1">
      <alignment horizontal="center" vertical="center"/>
    </xf>
    <xf numFmtId="3" fontId="34" fillId="0" borderId="132" xfId="0" applyNumberFormat="1" applyFont="1" applyBorder="1"/>
    <xf numFmtId="3" fontId="34" fillId="0" borderId="133" xfId="0" applyNumberFormat="1" applyFont="1" applyBorder="1"/>
    <xf numFmtId="3" fontId="34" fillId="0" borderId="134" xfId="0" applyNumberFormat="1" applyFont="1" applyBorder="1"/>
    <xf numFmtId="3" fontId="30" fillId="60" borderId="134" xfId="0" applyNumberFormat="1" applyFont="1" applyFill="1" applyBorder="1"/>
    <xf numFmtId="4" fontId="30" fillId="60" borderId="134" xfId="0" applyNumberFormat="1" applyFont="1" applyFill="1" applyBorder="1"/>
    <xf numFmtId="3" fontId="30" fillId="60" borderId="135" xfId="0" applyNumberFormat="1" applyFont="1" applyFill="1" applyBorder="1"/>
    <xf numFmtId="3" fontId="23" fillId="60" borderId="136" xfId="0" applyNumberFormat="1" applyFont="1" applyFill="1" applyBorder="1"/>
    <xf numFmtId="3" fontId="23" fillId="60" borderId="132" xfId="0" applyNumberFormat="1" applyFont="1" applyFill="1" applyBorder="1"/>
    <xf numFmtId="4" fontId="30" fillId="60" borderId="132" xfId="0" applyNumberFormat="1" applyFont="1" applyFill="1" applyBorder="1"/>
    <xf numFmtId="3" fontId="30" fillId="60" borderId="132" xfId="0" applyNumberFormat="1" applyFont="1" applyFill="1" applyBorder="1"/>
    <xf numFmtId="3" fontId="30" fillId="60" borderId="137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38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0" borderId="140" xfId="0" applyNumberFormat="1" applyFont="1" applyBorder="1"/>
    <xf numFmtId="3" fontId="23" fillId="0" borderId="141" xfId="0" applyNumberFormat="1" applyFont="1" applyBorder="1"/>
    <xf numFmtId="4" fontId="17" fillId="6" borderId="142" xfId="0" applyNumberFormat="1" applyFont="1" applyFill="1" applyBorder="1" applyAlignment="1">
      <alignment horizontal="center" vertical="center"/>
    </xf>
    <xf numFmtId="3" fontId="23" fillId="0" borderId="130" xfId="0" applyNumberFormat="1" applyFont="1" applyBorder="1"/>
    <xf numFmtId="3" fontId="23" fillId="60" borderId="62" xfId="0" applyNumberFormat="1" applyFont="1" applyFill="1" applyBorder="1"/>
    <xf numFmtId="3" fontId="23" fillId="60" borderId="143" xfId="0" applyNumberFormat="1" applyFont="1" applyFill="1" applyBorder="1"/>
    <xf numFmtId="3" fontId="23" fillId="60" borderId="36" xfId="0" applyNumberFormat="1" applyFont="1" applyFill="1" applyBorder="1"/>
    <xf numFmtId="4" fontId="0" fillId="0" borderId="145" xfId="0" applyNumberFormat="1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4" fontId="0" fillId="0" borderId="148" xfId="0" applyNumberFormat="1" applyBorder="1"/>
    <xf numFmtId="0" fontId="0" fillId="0" borderId="148" xfId="0" applyBorder="1"/>
    <xf numFmtId="0" fontId="0" fillId="0" borderId="149" xfId="0" applyBorder="1"/>
    <xf numFmtId="0" fontId="42" fillId="0" borderId="144" xfId="0" applyFont="1" applyBorder="1" applyAlignment="1">
      <alignment horizontal="left"/>
    </xf>
    <xf numFmtId="0" fontId="20" fillId="0" borderId="147" xfId="0" applyFont="1" applyBorder="1"/>
    <xf numFmtId="169" fontId="0" fillId="0" borderId="148" xfId="0" applyNumberFormat="1" applyBorder="1"/>
    <xf numFmtId="168" fontId="0" fillId="0" borderId="148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17" fontId="0" fillId="0" borderId="63" xfId="0" applyNumberFormat="1" applyBorder="1"/>
    <xf numFmtId="4" fontId="21" fillId="79" borderId="36" xfId="0" applyNumberFormat="1" applyFont="1" applyFill="1" applyBorder="1" applyAlignment="1">
      <alignment horizontal="center" vertical="center" wrapText="1"/>
    </xf>
    <xf numFmtId="0" fontId="115" fillId="0" borderId="0" xfId="0" applyFont="1"/>
    <xf numFmtId="0" fontId="4" fillId="0" borderId="0" xfId="0" applyFont="1"/>
    <xf numFmtId="14" fontId="0" fillId="0" borderId="0" xfId="0" applyNumberFormat="1"/>
    <xf numFmtId="0" fontId="2" fillId="0" borderId="0" xfId="2" applyFill="1" applyBorder="1" applyAlignment="1"/>
    <xf numFmtId="16" fontId="0" fillId="0" borderId="0" xfId="0" applyNumberFormat="1"/>
    <xf numFmtId="0" fontId="69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4" fontId="115" fillId="0" borderId="0" xfId="0" applyNumberFormat="1" applyFont="1"/>
    <xf numFmtId="0" fontId="47" fillId="0" borderId="0" xfId="0" applyFont="1"/>
    <xf numFmtId="0" fontId="18" fillId="0" borderId="0" xfId="0" applyFont="1"/>
    <xf numFmtId="0" fontId="18" fillId="61" borderId="0" xfId="0" applyFont="1" applyFill="1"/>
    <xf numFmtId="0" fontId="18" fillId="62" borderId="0" xfId="0" applyFont="1" applyFill="1"/>
    <xf numFmtId="0" fontId="4" fillId="62" borderId="0" xfId="0" applyFont="1" applyFill="1"/>
    <xf numFmtId="0" fontId="115" fillId="62" borderId="0" xfId="0" applyFont="1" applyFill="1"/>
    <xf numFmtId="0" fontId="18" fillId="5" borderId="0" xfId="0" applyFont="1" applyFill="1"/>
    <xf numFmtId="4" fontId="18" fillId="5" borderId="0" xfId="0" applyNumberFormat="1" applyFont="1" applyFill="1"/>
    <xf numFmtId="3" fontId="18" fillId="5" borderId="0" xfId="0" applyNumberFormat="1" applyFont="1" applyFill="1"/>
    <xf numFmtId="0" fontId="115" fillId="5" borderId="0" xfId="0" applyFont="1" applyFill="1"/>
    <xf numFmtId="14" fontId="115" fillId="0" borderId="0" xfId="0" applyNumberFormat="1" applyFont="1"/>
    <xf numFmtId="0" fontId="115" fillId="7" borderId="0" xfId="0" applyFont="1" applyFill="1"/>
    <xf numFmtId="0" fontId="4" fillId="5" borderId="0" xfId="0" applyFont="1" applyFill="1"/>
    <xf numFmtId="4" fontId="115" fillId="5" borderId="0" xfId="0" applyNumberFormat="1" applyFont="1" applyFill="1"/>
    <xf numFmtId="0" fontId="47" fillId="63" borderId="0" xfId="0" applyFont="1" applyFill="1"/>
    <xf numFmtId="3" fontId="47" fillId="63" borderId="0" xfId="0" applyNumberFormat="1" applyFont="1" applyFill="1"/>
    <xf numFmtId="0" fontId="115" fillId="64" borderId="0" xfId="0" applyFont="1" applyFill="1"/>
    <xf numFmtId="4" fontId="115" fillId="64" borderId="0" xfId="0" applyNumberFormat="1" applyFont="1" applyFill="1"/>
    <xf numFmtId="3" fontId="18" fillId="0" borderId="0" xfId="0" applyNumberFormat="1" applyFont="1"/>
    <xf numFmtId="0" fontId="13" fillId="0" borderId="0" xfId="0" applyFont="1"/>
    <xf numFmtId="0" fontId="18" fillId="7" borderId="0" xfId="0" applyFont="1" applyFill="1"/>
    <xf numFmtId="0" fontId="4" fillId="7" borderId="0" xfId="0" applyFont="1" applyFill="1"/>
    <xf numFmtId="4" fontId="115" fillId="7" borderId="0" xfId="0" applyNumberFormat="1" applyFont="1" applyFill="1"/>
    <xf numFmtId="4" fontId="18" fillId="7" borderId="0" xfId="0" applyNumberFormat="1" applyFont="1" applyFill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4" borderId="0" xfId="0" applyNumberFormat="1" applyFont="1" applyFill="1"/>
    <xf numFmtId="0" fontId="4" fillId="0" borderId="55" xfId="0" applyFont="1" applyBorder="1"/>
    <xf numFmtId="0" fontId="18" fillId="0" borderId="56" xfId="0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5" fillId="0" borderId="51" xfId="0" applyFont="1" applyBorder="1"/>
    <xf numFmtId="0" fontId="115" fillId="0" borderId="12" xfId="0" applyFont="1" applyBorder="1"/>
    <xf numFmtId="4" fontId="115" fillId="0" borderId="12" xfId="0" applyNumberFormat="1" applyFont="1" applyBorder="1"/>
    <xf numFmtId="0" fontId="115" fillId="0" borderId="49" xfId="0" applyFont="1" applyBorder="1"/>
    <xf numFmtId="4" fontId="115" fillId="0" borderId="23" xfId="0" applyNumberFormat="1" applyFont="1" applyBorder="1"/>
    <xf numFmtId="4" fontId="115" fillId="0" borderId="24" xfId="0" applyNumberFormat="1" applyFont="1" applyBorder="1"/>
    <xf numFmtId="0" fontId="116" fillId="0" borderId="0" xfId="0" applyFont="1"/>
    <xf numFmtId="0" fontId="117" fillId="0" borderId="1" xfId="0" applyFont="1" applyBorder="1"/>
    <xf numFmtId="0" fontId="117" fillId="0" borderId="2" xfId="0" applyFont="1" applyBorder="1"/>
    <xf numFmtId="0" fontId="117" fillId="65" borderId="3" xfId="0" applyFont="1" applyFill="1" applyBorder="1"/>
    <xf numFmtId="0" fontId="117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18" fillId="0" borderId="8" xfId="0" applyFont="1" applyBorder="1"/>
    <xf numFmtId="0" fontId="118" fillId="0" borderId="9" xfId="0" applyFont="1" applyBorder="1"/>
    <xf numFmtId="15" fontId="117" fillId="65" borderId="10" xfId="0" applyNumberFormat="1" applyFont="1" applyFill="1" applyBorder="1"/>
    <xf numFmtId="0" fontId="119" fillId="0" borderId="11" xfId="0" applyFont="1" applyBorder="1"/>
    <xf numFmtId="0" fontId="120" fillId="8" borderId="7" xfId="0" applyFont="1" applyFill="1" applyBorder="1"/>
    <xf numFmtId="3" fontId="121" fillId="0" borderId="12" xfId="0" applyNumberFormat="1" applyFont="1" applyBorder="1"/>
    <xf numFmtId="0" fontId="122" fillId="0" borderId="0" xfId="0" applyFont="1"/>
    <xf numFmtId="0" fontId="123" fillId="0" borderId="17" xfId="0" applyFont="1" applyBorder="1"/>
    <xf numFmtId="0" fontId="118" fillId="0" borderId="18" xfId="0" applyFont="1" applyBorder="1"/>
    <xf numFmtId="0" fontId="117" fillId="65" borderId="13" xfId="0" applyFont="1" applyFill="1" applyBorder="1"/>
    <xf numFmtId="0" fontId="18" fillId="0" borderId="14" xfId="0" applyFont="1" applyBorder="1"/>
    <xf numFmtId="0" fontId="124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5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5" borderId="0" xfId="0" applyFont="1" applyFill="1"/>
    <xf numFmtId="3" fontId="18" fillId="65" borderId="0" xfId="0" applyNumberFormat="1" applyFont="1" applyFill="1"/>
    <xf numFmtId="3" fontId="126" fillId="0" borderId="0" xfId="0" applyNumberFormat="1" applyFont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5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7" fillId="0" borderId="7" xfId="0" applyFont="1" applyBorder="1"/>
    <xf numFmtId="3" fontId="128" fillId="65" borderId="0" xfId="0" applyNumberFormat="1" applyFont="1" applyFill="1"/>
    <xf numFmtId="0" fontId="123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29" fillId="0" borderId="0" xfId="0" applyFont="1"/>
    <xf numFmtId="0" fontId="18" fillId="0" borderId="27" xfId="0" applyFont="1" applyBorder="1"/>
    <xf numFmtId="0" fontId="18" fillId="67" borderId="17" xfId="0" applyFont="1" applyFill="1" applyBorder="1"/>
    <xf numFmtId="0" fontId="18" fillId="67" borderId="0" xfId="0" applyFont="1" applyFill="1"/>
    <xf numFmtId="3" fontId="126" fillId="65" borderId="7" xfId="0" applyNumberFormat="1" applyFont="1" applyFill="1" applyBorder="1"/>
    <xf numFmtId="0" fontId="130" fillId="0" borderId="0" xfId="0" applyFont="1"/>
    <xf numFmtId="0" fontId="18" fillId="65" borderId="7" xfId="0" applyFont="1" applyFill="1" applyBorder="1"/>
    <xf numFmtId="3" fontId="18" fillId="65" borderId="7" xfId="0" applyNumberFormat="1" applyFont="1" applyFill="1" applyBorder="1"/>
    <xf numFmtId="0" fontId="18" fillId="0" borderId="29" xfId="0" applyFont="1" applyBorder="1"/>
    <xf numFmtId="0" fontId="18" fillId="68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69" borderId="31" xfId="0" applyFont="1" applyFill="1" applyBorder="1"/>
    <xf numFmtId="0" fontId="47" fillId="69" borderId="56" xfId="0" applyFont="1" applyFill="1" applyBorder="1"/>
    <xf numFmtId="3" fontId="18" fillId="7" borderId="0" xfId="0" applyNumberFormat="1" applyFont="1" applyFill="1"/>
    <xf numFmtId="0" fontId="47" fillId="69" borderId="28" xfId="0" applyFont="1" applyFill="1" applyBorder="1"/>
    <xf numFmtId="3" fontId="47" fillId="69" borderId="26" xfId="0" applyNumberFormat="1" applyFont="1" applyFill="1" applyBorder="1"/>
    <xf numFmtId="0" fontId="47" fillId="61" borderId="33" xfId="0" applyFont="1" applyFill="1" applyBorder="1"/>
    <xf numFmtId="3" fontId="47" fillId="61" borderId="151" xfId="0" applyNumberFormat="1" applyFont="1" applyFill="1" applyBorder="1"/>
    <xf numFmtId="0" fontId="18" fillId="0" borderId="35" xfId="0" applyFont="1" applyBorder="1"/>
    <xf numFmtId="0" fontId="18" fillId="0" borderId="36" xfId="0" applyFont="1" applyBorder="1"/>
    <xf numFmtId="0" fontId="47" fillId="0" borderId="37" xfId="0" applyFont="1" applyBorder="1"/>
    <xf numFmtId="0" fontId="47" fillId="0" borderId="38" xfId="0" applyFont="1" applyBorder="1"/>
    <xf numFmtId="3" fontId="47" fillId="65" borderId="38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5" borderId="7" xfId="0" applyFont="1" applyFill="1" applyBorder="1"/>
    <xf numFmtId="0" fontId="18" fillId="67" borderId="7" xfId="0" applyFont="1" applyFill="1" applyBorder="1"/>
    <xf numFmtId="0" fontId="18" fillId="65" borderId="15" xfId="0" applyFont="1" applyFill="1" applyBorder="1"/>
    <xf numFmtId="3" fontId="18" fillId="65" borderId="15" xfId="0" applyNumberFormat="1" applyFont="1" applyFill="1" applyBorder="1"/>
    <xf numFmtId="0" fontId="47" fillId="70" borderId="31" xfId="0" applyFont="1" applyFill="1" applyBorder="1"/>
    <xf numFmtId="0" fontId="47" fillId="70" borderId="56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1" borderId="31" xfId="0" applyFont="1" applyFill="1" applyBorder="1"/>
    <xf numFmtId="3" fontId="47" fillId="71" borderId="56" xfId="0" applyNumberFormat="1" applyFont="1" applyFill="1" applyBorder="1"/>
    <xf numFmtId="0" fontId="131" fillId="0" borderId="0" xfId="0" applyFont="1"/>
    <xf numFmtId="0" fontId="18" fillId="0" borderId="39" xfId="0" applyFont="1" applyBorder="1"/>
    <xf numFmtId="3" fontId="18" fillId="0" borderId="40" xfId="0" applyNumberFormat="1" applyFont="1" applyBorder="1"/>
    <xf numFmtId="0" fontId="42" fillId="0" borderId="0" xfId="0" applyFont="1"/>
    <xf numFmtId="0" fontId="47" fillId="0" borderId="41" xfId="0" applyFont="1" applyBorder="1"/>
    <xf numFmtId="0" fontId="47" fillId="0" borderId="42" xfId="0" applyFont="1" applyBorder="1"/>
    <xf numFmtId="3" fontId="47" fillId="65" borderId="42" xfId="0" applyNumberFormat="1" applyFont="1" applyFill="1" applyBorder="1"/>
    <xf numFmtId="0" fontId="47" fillId="65" borderId="0" xfId="0" applyFont="1" applyFill="1"/>
    <xf numFmtId="0" fontId="47" fillId="72" borderId="31" xfId="0" applyFont="1" applyFill="1" applyBorder="1"/>
    <xf numFmtId="3" fontId="47" fillId="72" borderId="56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3" borderId="56" xfId="0" applyNumberFormat="1" applyFont="1" applyFill="1" applyBorder="1"/>
    <xf numFmtId="0" fontId="42" fillId="0" borderId="7" xfId="0" applyFont="1" applyBorder="1"/>
    <xf numFmtId="0" fontId="47" fillId="0" borderId="44" xfId="0" applyFont="1" applyBorder="1"/>
    <xf numFmtId="0" fontId="42" fillId="0" borderId="45" xfId="0" applyFont="1" applyBorder="1"/>
    <xf numFmtId="0" fontId="120" fillId="0" borderId="6" xfId="0" applyFont="1" applyBorder="1"/>
    <xf numFmtId="0" fontId="42" fillId="0" borderId="5" xfId="0" applyFont="1" applyBorder="1"/>
    <xf numFmtId="0" fontId="132" fillId="0" borderId="45" xfId="0" applyFont="1" applyBorder="1"/>
    <xf numFmtId="0" fontId="133" fillId="0" borderId="0" xfId="0" applyFont="1"/>
    <xf numFmtId="0" fontId="18" fillId="67" borderId="15" xfId="0" applyFont="1" applyFill="1" applyBorder="1"/>
    <xf numFmtId="0" fontId="120" fillId="8" borderId="46" xfId="0" applyFont="1" applyFill="1" applyBorder="1"/>
    <xf numFmtId="0" fontId="132" fillId="0" borderId="10" xfId="0" applyFont="1" applyBorder="1"/>
    <xf numFmtId="0" fontId="132" fillId="8" borderId="16" xfId="0" applyFont="1" applyFill="1" applyBorder="1"/>
    <xf numFmtId="0" fontId="132" fillId="0" borderId="16" xfId="0" applyFont="1" applyBorder="1"/>
    <xf numFmtId="0" fontId="132" fillId="0" borderId="46" xfId="0" applyFont="1" applyBorder="1"/>
    <xf numFmtId="0" fontId="134" fillId="0" borderId="16" xfId="0" applyFont="1" applyBorder="1"/>
    <xf numFmtId="0" fontId="120" fillId="0" borderId="47" xfId="0" applyFont="1" applyBorder="1"/>
    <xf numFmtId="0" fontId="120" fillId="0" borderId="48" xfId="0" applyFont="1" applyBorder="1"/>
    <xf numFmtId="0" fontId="135" fillId="0" borderId="152" xfId="0" applyFont="1" applyBorder="1"/>
    <xf numFmtId="0" fontId="12" fillId="0" borderId="0" xfId="0" applyFont="1"/>
    <xf numFmtId="0" fontId="47" fillId="0" borderId="153" xfId="0" applyFont="1" applyBorder="1"/>
    <xf numFmtId="0" fontId="47" fillId="0" borderId="50" xfId="0" applyFont="1" applyBorder="1"/>
    <xf numFmtId="0" fontId="47" fillId="65" borderId="153" xfId="0" applyFont="1" applyFill="1" applyBorder="1"/>
    <xf numFmtId="0" fontId="18" fillId="0" borderId="51" xfId="0" applyFont="1" applyBorder="1"/>
    <xf numFmtId="4" fontId="18" fillId="0" borderId="12" xfId="0" applyNumberFormat="1" applyFont="1" applyBorder="1"/>
    <xf numFmtId="4" fontId="18" fillId="0" borderId="18" xfId="0" applyNumberFormat="1" applyFont="1" applyBorder="1"/>
    <xf numFmtId="4" fontId="18" fillId="0" borderId="51" xfId="0" applyNumberFormat="1" applyFont="1" applyBorder="1"/>
    <xf numFmtId="9" fontId="136" fillId="74" borderId="51" xfId="0" applyNumberFormat="1" applyFont="1" applyFill="1" applyBorder="1"/>
    <xf numFmtId="0" fontId="18" fillId="67" borderId="51" xfId="0" applyFont="1" applyFill="1" applyBorder="1"/>
    <xf numFmtId="0" fontId="18" fillId="67" borderId="12" xfId="0" applyFont="1" applyFill="1" applyBorder="1"/>
    <xf numFmtId="4" fontId="18" fillId="67" borderId="12" xfId="0" applyNumberFormat="1" applyFont="1" applyFill="1" applyBorder="1"/>
    <xf numFmtId="4" fontId="18" fillId="0" borderId="17" xfId="0" applyNumberFormat="1" applyFont="1" applyBorder="1"/>
    <xf numFmtId="4" fontId="18" fillId="67" borderId="17" xfId="0" applyNumberFormat="1" applyFont="1" applyFill="1" applyBorder="1"/>
    <xf numFmtId="0" fontId="126" fillId="67" borderId="17" xfId="0" applyFont="1" applyFill="1" applyBorder="1"/>
    <xf numFmtId="0" fontId="18" fillId="67" borderId="18" xfId="0" applyFont="1" applyFill="1" applyBorder="1"/>
    <xf numFmtId="9" fontId="137" fillId="75" borderId="51" xfId="0" applyNumberFormat="1" applyFont="1" applyFill="1" applyBorder="1"/>
    <xf numFmtId="3" fontId="117" fillId="65" borderId="0" xfId="0" applyNumberFormat="1" applyFont="1" applyFill="1"/>
    <xf numFmtId="4" fontId="18" fillId="67" borderId="51" xfId="0" applyNumberFormat="1" applyFont="1" applyFill="1" applyBorder="1"/>
    <xf numFmtId="3" fontId="124" fillId="65" borderId="38" xfId="0" applyNumberFormat="1" applyFont="1" applyFill="1" applyBorder="1"/>
    <xf numFmtId="4" fontId="18" fillId="67" borderId="18" xfId="0" applyNumberFormat="1" applyFont="1" applyFill="1" applyBorder="1"/>
    <xf numFmtId="0" fontId="126" fillId="0" borderId="18" xfId="0" applyFont="1" applyBorder="1"/>
    <xf numFmtId="0" fontId="47" fillId="65" borderId="50" xfId="0" applyFont="1" applyFill="1" applyBorder="1"/>
    <xf numFmtId="0" fontId="126" fillId="0" borderId="17" xfId="0" applyFont="1" applyBorder="1"/>
    <xf numFmtId="0" fontId="18" fillId="0" borderId="52" xfId="0" applyFont="1" applyBorder="1"/>
    <xf numFmtId="0" fontId="18" fillId="0" borderId="53" xfId="0" applyFont="1" applyBorder="1"/>
    <xf numFmtId="0" fontId="18" fillId="0" borderId="98" xfId="0" applyFont="1" applyBorder="1"/>
    <xf numFmtId="0" fontId="18" fillId="0" borderId="154" xfId="0" applyFont="1" applyBorder="1"/>
    <xf numFmtId="0" fontId="4" fillId="0" borderId="53" xfId="0" applyFont="1" applyBorder="1"/>
    <xf numFmtId="3" fontId="47" fillId="0" borderId="53" xfId="0" applyNumberFormat="1" applyFont="1" applyBorder="1"/>
    <xf numFmtId="3" fontId="124" fillId="0" borderId="53" xfId="0" applyNumberFormat="1" applyFont="1" applyBorder="1"/>
    <xf numFmtId="3" fontId="47" fillId="0" borderId="0" xfId="0" applyNumberFormat="1" applyFont="1"/>
    <xf numFmtId="0" fontId="138" fillId="0" borderId="0" xfId="0" applyFont="1"/>
    <xf numFmtId="0" fontId="128" fillId="0" borderId="0" xfId="0" applyFont="1"/>
    <xf numFmtId="0" fontId="132" fillId="0" borderId="99" xfId="0" applyFont="1" applyBorder="1"/>
    <xf numFmtId="0" fontId="132" fillId="0" borderId="155" xfId="0" applyFont="1" applyBorder="1"/>
    <xf numFmtId="0" fontId="132" fillId="0" borderId="155" xfId="0" applyFont="1" applyBorder="1" applyAlignment="1">
      <alignment wrapText="1"/>
    </xf>
    <xf numFmtId="0" fontId="132" fillId="7" borderId="11" xfId="0" applyFont="1" applyFill="1" applyBorder="1"/>
    <xf numFmtId="0" fontId="132" fillId="7" borderId="157" xfId="0" applyFont="1" applyFill="1" applyBorder="1"/>
    <xf numFmtId="0" fontId="18" fillId="0" borderId="101" xfId="0" applyFont="1" applyBorder="1"/>
    <xf numFmtId="14" fontId="137" fillId="75" borderId="102" xfId="0" applyNumberFormat="1" applyFont="1" applyFill="1" applyBorder="1"/>
    <xf numFmtId="0" fontId="18" fillId="0" borderId="158" xfId="0" applyFont="1" applyBorder="1"/>
    <xf numFmtId="3" fontId="126" fillId="0" borderId="102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3" fontId="18" fillId="0" borderId="158" xfId="0" applyNumberFormat="1" applyFont="1" applyBorder="1"/>
    <xf numFmtId="4" fontId="126" fillId="7" borderId="0" xfId="0" applyNumberFormat="1" applyFont="1" applyFill="1"/>
    <xf numFmtId="14" fontId="18" fillId="0" borderId="101" xfId="0" applyNumberFormat="1" applyFont="1" applyBorder="1"/>
    <xf numFmtId="0" fontId="33" fillId="0" borderId="69" xfId="0" applyFont="1" applyBorder="1" applyAlignment="1">
      <alignment wrapText="1"/>
    </xf>
    <xf numFmtId="0" fontId="33" fillId="0" borderId="104" xfId="0" applyFont="1" applyBorder="1" applyAlignment="1">
      <alignment wrapText="1"/>
    </xf>
    <xf numFmtId="4" fontId="33" fillId="0" borderId="104" xfId="0" applyNumberFormat="1" applyFont="1" applyBorder="1" applyAlignment="1">
      <alignment wrapText="1"/>
    </xf>
    <xf numFmtId="0" fontId="132" fillId="7" borderId="3" xfId="0" applyFont="1" applyFill="1" applyBorder="1" applyAlignment="1">
      <alignment wrapText="1"/>
    </xf>
    <xf numFmtId="0" fontId="132" fillId="7" borderId="156" xfId="0" applyFont="1" applyFill="1" applyBorder="1" applyAlignment="1">
      <alignment wrapText="1"/>
    </xf>
    <xf numFmtId="0" fontId="31" fillId="0" borderId="0" xfId="0" applyFont="1" applyAlignment="1">
      <alignment wrapText="1"/>
    </xf>
    <xf numFmtId="0" fontId="33" fillId="0" borderId="68" xfId="0" applyFont="1" applyBorder="1" applyAlignment="1">
      <alignment wrapText="1"/>
    </xf>
    <xf numFmtId="0" fontId="33" fillId="0" borderId="69" xfId="0" applyFont="1" applyBorder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47" xfId="0" applyFill="1" applyBorder="1" applyAlignment="1">
      <alignment horizontal="center"/>
    </xf>
    <xf numFmtId="0" fontId="0" fillId="2" borderId="148" xfId="0" applyFill="1" applyBorder="1" applyAlignment="1">
      <alignment horizontal="center"/>
    </xf>
    <xf numFmtId="0" fontId="0" fillId="2" borderId="149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113" fillId="59" borderId="55" xfId="0" applyFont="1" applyFill="1" applyBorder="1" applyAlignment="1">
      <alignment horizontal="center"/>
    </xf>
    <xf numFmtId="0" fontId="113" fillId="59" borderId="59" xfId="0" applyFont="1" applyFill="1" applyBorder="1" applyAlignment="1">
      <alignment horizontal="center"/>
    </xf>
    <xf numFmtId="0" fontId="113" fillId="59" borderId="56" xfId="0" applyFont="1" applyFill="1" applyBorder="1" applyAlignment="1">
      <alignment horizontal="center"/>
    </xf>
    <xf numFmtId="0" fontId="112" fillId="0" borderId="60" xfId="0" applyFont="1" applyBorder="1" applyAlignment="1">
      <alignment horizontal="center"/>
    </xf>
    <xf numFmtId="0" fontId="112" fillId="0" borderId="0" xfId="0" applyFont="1" applyAlignment="1">
      <alignment horizontal="center"/>
    </xf>
    <xf numFmtId="0" fontId="109" fillId="0" borderId="6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26" xfId="0" applyFont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25" fillId="8" borderId="55" xfId="0" applyFont="1" applyFill="1" applyBorder="1" applyAlignment="1">
      <alignment horizontal="right"/>
    </xf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1" fillId="52" borderId="55" xfId="0" applyFont="1" applyFill="1" applyBorder="1" applyAlignment="1">
      <alignment horizontal="center"/>
    </xf>
    <xf numFmtId="0" fontId="101" fillId="52" borderId="59" xfId="0" applyFont="1" applyFill="1" applyBorder="1" applyAlignment="1">
      <alignment horizontal="center"/>
    </xf>
    <xf numFmtId="0" fontId="101" fillId="52" borderId="56" xfId="0" applyFont="1" applyFill="1" applyBorder="1" applyAlignment="1">
      <alignment horizontal="center"/>
    </xf>
    <xf numFmtId="0" fontId="101" fillId="10" borderId="55" xfId="0" applyFont="1" applyFill="1" applyBorder="1" applyAlignment="1">
      <alignment horizontal="center"/>
    </xf>
    <xf numFmtId="0" fontId="101" fillId="10" borderId="59" xfId="0" applyFont="1" applyFill="1" applyBorder="1" applyAlignment="1">
      <alignment horizontal="center"/>
    </xf>
    <xf numFmtId="0" fontId="101" fillId="10" borderId="56" xfId="0" applyFont="1" applyFill="1" applyBorder="1" applyAlignment="1">
      <alignment horizontal="center"/>
    </xf>
    <xf numFmtId="0" fontId="69" fillId="5" borderId="0" xfId="0" applyFont="1" applyFill="1" applyAlignment="1"/>
    <xf numFmtId="0" fontId="117" fillId="0" borderId="3" xfId="0" applyFont="1" applyBorder="1" applyAlignment="1"/>
    <xf numFmtId="0" fontId="117" fillId="0" borderId="11" xfId="0" applyFont="1" applyBorder="1" applyAlignment="1"/>
    <xf numFmtId="3" fontId="126" fillId="0" borderId="0" xfId="0" applyNumberFormat="1" applyFont="1" applyAlignment="1"/>
    <xf numFmtId="0" fontId="126" fillId="0" borderId="0" xfId="0" applyFont="1" applyAlignment="1"/>
    <xf numFmtId="0" fontId="18" fillId="0" borderId="0" xfId="0" applyFont="1" applyAlignment="1"/>
    <xf numFmtId="3" fontId="18" fillId="0" borderId="0" xfId="0" applyNumberFormat="1" applyFont="1" applyAlignment="1"/>
    <xf numFmtId="0" fontId="18" fillId="0" borderId="22" xfId="0" applyFont="1" applyBorder="1" applyAlignment="1"/>
    <xf numFmtId="0" fontId="47" fillId="0" borderId="0" xfId="0" applyFont="1" applyAlignment="1"/>
    <xf numFmtId="0" fontId="123" fillId="66" borderId="25" xfId="0" applyFont="1" applyFill="1" applyBorder="1" applyAlignment="1"/>
    <xf numFmtId="0" fontId="123" fillId="66" borderId="150" xfId="0" applyFont="1" applyFill="1" applyBorder="1" applyAlignment="1"/>
    <xf numFmtId="0" fontId="132" fillId="7" borderId="54" xfId="0" applyFont="1" applyFill="1" applyBorder="1" applyAlignment="1"/>
    <xf numFmtId="0" fontId="132" fillId="7" borderId="48" xfId="0" applyFont="1" applyFill="1" applyBorder="1" applyAlignment="1"/>
    <xf numFmtId="3" fontId="18" fillId="7" borderId="0" xfId="0" applyNumberFormat="1" applyFont="1" applyFill="1" applyAlignment="1"/>
    <xf numFmtId="0" fontId="18" fillId="7" borderId="158" xfId="0" applyFont="1" applyFill="1" applyBorder="1" applyAlignment="1"/>
    <xf numFmtId="3" fontId="126" fillId="7" borderId="100" xfId="0" applyNumberFormat="1" applyFont="1" applyFill="1" applyBorder="1" applyAlignment="1"/>
    <xf numFmtId="0" fontId="126" fillId="7" borderId="0" xfId="0" applyFont="1" applyFill="1" applyAlignment="1"/>
    <xf numFmtId="0" fontId="16" fillId="8" borderId="0" xfId="0" applyFont="1" applyFill="1" applyAlignment="1"/>
    <xf numFmtId="0" fontId="16" fillId="8" borderId="26" xfId="0" applyFont="1" applyFill="1" applyBorder="1" applyAlignment="1"/>
    <xf numFmtId="0" fontId="16" fillId="0" borderId="62" xfId="0" applyFont="1" applyBorder="1" applyAlignment="1"/>
    <xf numFmtId="0" fontId="17" fillId="0" borderId="0" xfId="0" applyFont="1" applyAlignment="1"/>
  </cellXfs>
  <cellStyles count="50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Comma" xfId="47" builtinId="3"/>
    <cellStyle name="Comma 2" xfId="5" xr:uid="{00000000-0005-0000-0000-000018000000}"/>
    <cellStyle name="Euro" xfId="3" xr:uid="{00000000-0005-0000-0000-000021000000}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2" builtinId="8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4" xr:uid="{00000000-0005-0000-0000-000026000000}"/>
    <cellStyle name="Normal 2 2" xfId="48" xr:uid="{00000000-0005-0000-0000-000027000000}"/>
    <cellStyle name="Normal 3" xfId="49" xr:uid="{00000000-0005-0000-0000-000028000000}"/>
    <cellStyle name="Note" xfId="20" builtinId="10" customBuiltin="1"/>
    <cellStyle name="Output" xfId="15" builtinId="21" customBuiltin="1"/>
    <cellStyle name="Percent" xfId="1" builtinId="5"/>
    <cellStyle name="Title" xfId="6" builtinId="15" customBuiltin="1"/>
    <cellStyle name="Total" xfId="22" builtinId="25" customBuiltin="1"/>
    <cellStyle name="Warning Text" xfId="19" builtinId="11" customBuiltin="1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d\-mmm\-yy</c:formatCode>
                <c:ptCount val="10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30400"/>
        <c:axId val="207840384"/>
      </c:lineChart>
      <c:catAx>
        <c:axId val="207830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40384"/>
        <c:crosses val="autoZero"/>
        <c:auto val="0"/>
        <c:lblAlgn val="ctr"/>
        <c:lblOffset val="100"/>
        <c:noMultiLvlLbl val="0"/>
      </c:catAx>
      <c:valAx>
        <c:axId val="2078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3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1436288"/>
        <c:axId val="151442176"/>
      </c:barChart>
      <c:catAx>
        <c:axId val="1514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1442176"/>
        <c:crosses val="autoZero"/>
        <c:auto val="1"/>
        <c:lblAlgn val="ctr"/>
        <c:lblOffset val="100"/>
        <c:noMultiLvlLbl val="0"/>
      </c:catAx>
      <c:valAx>
        <c:axId val="151442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514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62592"/>
        <c:axId val="208464128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62592"/>
        <c:axId val="208464128"/>
      </c:lineChart>
      <c:catAx>
        <c:axId val="2084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64128"/>
        <c:crosses val="autoZero"/>
        <c:auto val="1"/>
        <c:lblAlgn val="ctr"/>
        <c:lblOffset val="100"/>
        <c:noMultiLvlLbl val="0"/>
      </c:catAx>
      <c:valAx>
        <c:axId val="2084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COLETEC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08579968"/>
        <c:axId val="208589952"/>
      </c:barChart>
      <c:catAx>
        <c:axId val="2085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89952"/>
        <c:crosses val="autoZero"/>
        <c:auto val="1"/>
        <c:lblAlgn val="ctr"/>
        <c:lblOffset val="100"/>
        <c:noMultiLvlLbl val="0"/>
      </c:catAx>
      <c:valAx>
        <c:axId val="20858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799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8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49696"/>
        <c:axId val="208751232"/>
      </c:barChart>
      <c:catAx>
        <c:axId val="20874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8751232"/>
        <c:crosses val="autoZero"/>
        <c:auto val="1"/>
        <c:lblAlgn val="ctr"/>
        <c:lblOffset val="100"/>
        <c:noMultiLvlLbl val="0"/>
      </c:catAx>
      <c:valAx>
        <c:axId val="2087512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87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8E-2"/>
        </c:manualLayout>
      </c:layout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8893824"/>
        <c:axId val="208895360"/>
      </c:barChart>
      <c:scatterChart>
        <c:scatterStyle val="smoothMarker"/>
        <c:varyColors val="0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8893824"/>
        <c:axId val="208895360"/>
      </c:scatterChart>
      <c:catAx>
        <c:axId val="20889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95360"/>
        <c:crosses val="autoZero"/>
        <c:auto val="0"/>
        <c:lblAlgn val="ctr"/>
        <c:lblOffset val="0"/>
        <c:noMultiLvlLbl val="0"/>
      </c:catAx>
      <c:valAx>
        <c:axId val="208895360"/>
        <c:scaling>
          <c:orientation val="minMax"/>
          <c:max val="7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938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39883542436033"/>
          <c:y val="0.17171310931114037"/>
          <c:w val="0.79194663167104151"/>
          <c:h val="0.61535469524642761"/>
        </c:manualLayout>
      </c:layout>
      <c:lineChart>
        <c:grouping val="standard"/>
        <c:varyColors val="0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1E-2"/>
                  <c:y val="-7.2970272169058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78688"/>
        <c:axId val="208980224"/>
      </c:lineChart>
      <c:catAx>
        <c:axId val="2089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80224"/>
        <c:crosses val="autoZero"/>
        <c:auto val="1"/>
        <c:lblAlgn val="ctr"/>
        <c:lblOffset val="100"/>
        <c:noMultiLvlLbl val="0"/>
      </c:catAx>
      <c:valAx>
        <c:axId val="2089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786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0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727424"/>
        <c:axId val="209175680"/>
      </c:barChart>
      <c:catAx>
        <c:axId val="2087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175680"/>
        <c:crosses val="autoZero"/>
        <c:auto val="1"/>
        <c:lblAlgn val="ctr"/>
        <c:lblOffset val="100"/>
        <c:noMultiLvlLbl val="0"/>
      </c:catAx>
      <c:valAx>
        <c:axId val="2091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d\-mmm\-yy</c:formatCode>
                <c:ptCount val="13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  <c:pt idx="10">
                  <c:v>45824</c:v>
                </c:pt>
                <c:pt idx="11">
                  <c:v>45825</c:v>
                </c:pt>
                <c:pt idx="12">
                  <c:v>45827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  <c:pt idx="9">
                  <c:v>44338705.034182511</c:v>
                </c:pt>
                <c:pt idx="10" formatCode="#,##0.00">
                  <c:v>44154101.16334641</c:v>
                </c:pt>
                <c:pt idx="11" formatCode="#,##0.00">
                  <c:v>44651003.460220613</c:v>
                </c:pt>
                <c:pt idx="12" formatCode="#,##0.00">
                  <c:v>43822681.132734835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9872"/>
        <c:axId val="209201408"/>
      </c:lineChart>
      <c:catAx>
        <c:axId val="20919987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201408"/>
        <c:crosses val="autoZero"/>
        <c:auto val="0"/>
        <c:lblAlgn val="ctr"/>
        <c:lblOffset val="100"/>
        <c:noMultiLvlLbl val="0"/>
      </c:catAx>
      <c:valAx>
        <c:axId val="2092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1998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16"/>
          <c:y val="4.25538752843910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2"/>
          <c:y val="8.4688674181427892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1680"/>
        <c:axId val="209673216"/>
      </c:lineChart>
      <c:catAx>
        <c:axId val="20967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73216"/>
        <c:crosses val="autoZero"/>
        <c:auto val="1"/>
        <c:lblAlgn val="ctr"/>
        <c:lblOffset val="100"/>
        <c:noMultiLvlLbl val="1"/>
      </c:catAx>
      <c:valAx>
        <c:axId val="2096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693696"/>
        <c:axId val="209715968"/>
      </c:barChart>
      <c:catAx>
        <c:axId val="20969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715968"/>
        <c:crosses val="autoZero"/>
        <c:auto val="1"/>
        <c:lblAlgn val="ctr"/>
        <c:lblOffset val="100"/>
        <c:noMultiLvlLbl val="0"/>
      </c:catAx>
      <c:valAx>
        <c:axId val="2097159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96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904384"/>
        <c:axId val="209905920"/>
      </c:barChart>
      <c:catAx>
        <c:axId val="2099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05920"/>
        <c:crosses val="autoZero"/>
        <c:auto val="1"/>
        <c:lblAlgn val="ctr"/>
        <c:lblOffset val="100"/>
        <c:noMultiLvlLbl val="0"/>
      </c:catAx>
      <c:valAx>
        <c:axId val="2099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410112"/>
        <c:axId val="210424192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10112"/>
        <c:axId val="210424192"/>
      </c:lineChart>
      <c:catAx>
        <c:axId val="2104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24192"/>
        <c:crosses val="autoZero"/>
        <c:auto val="1"/>
        <c:lblAlgn val="ctr"/>
        <c:lblOffset val="100"/>
        <c:noMultiLvlLbl val="0"/>
      </c:catAx>
      <c:valAx>
        <c:axId val="2104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40192"/>
        <c:axId val="210441728"/>
      </c:lineChart>
      <c:catAx>
        <c:axId val="21044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1728"/>
        <c:crosses val="autoZero"/>
        <c:auto val="1"/>
        <c:lblAlgn val="ctr"/>
        <c:lblOffset val="100"/>
        <c:noMultiLvlLbl val="1"/>
      </c:catAx>
      <c:valAx>
        <c:axId val="2104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470400"/>
        <c:axId val="210471936"/>
      </c:barChart>
      <c:catAx>
        <c:axId val="21047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71936"/>
        <c:crosses val="autoZero"/>
        <c:auto val="1"/>
        <c:lblAlgn val="ctr"/>
        <c:lblOffset val="100"/>
        <c:noMultiLvlLbl val="0"/>
      </c:catAx>
      <c:valAx>
        <c:axId val="2104719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04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0578432"/>
        <c:axId val="210612992"/>
      </c:barChart>
      <c:catAx>
        <c:axId val="21057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612992"/>
        <c:crosses val="autoZero"/>
        <c:auto val="1"/>
        <c:lblAlgn val="ctr"/>
        <c:lblOffset val="100"/>
        <c:noMultiLvlLbl val="0"/>
      </c:catAx>
      <c:valAx>
        <c:axId val="2106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5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smooth val="0"/>
        <c:axId val="211280640"/>
        <c:axId val="211282176"/>
      </c:lineChart>
      <c:catAx>
        <c:axId val="2112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282176"/>
        <c:crosses val="autoZero"/>
        <c:auto val="1"/>
        <c:lblAlgn val="ctr"/>
        <c:lblOffset val="100"/>
        <c:noMultiLvlLbl val="1"/>
      </c:catAx>
      <c:valAx>
        <c:axId val="211282176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112806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974976"/>
        <c:axId val="210997248"/>
      </c:barChart>
      <c:catAx>
        <c:axId val="21097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997248"/>
        <c:crosses val="autoZero"/>
        <c:auto val="1"/>
        <c:lblAlgn val="ctr"/>
        <c:lblOffset val="100"/>
        <c:noMultiLvlLbl val="0"/>
      </c:catAx>
      <c:valAx>
        <c:axId val="210997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09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1501056"/>
        <c:axId val="211502592"/>
      </c:barChart>
      <c:catAx>
        <c:axId val="2115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502592"/>
        <c:crosses val="autoZero"/>
        <c:auto val="1"/>
        <c:lblAlgn val="ctr"/>
        <c:lblOffset val="100"/>
        <c:noMultiLvlLbl val="0"/>
      </c:catAx>
      <c:valAx>
        <c:axId val="211502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15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35"/>
          <c:y val="1.42546285611836E-2"/>
          <c:w val="0.66858952349095868"/>
          <c:h val="0.95350351135516187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12036224"/>
        <c:axId val="212046208"/>
      </c:barChart>
      <c:catAx>
        <c:axId val="2120362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046208"/>
        <c:crosses val="autoZero"/>
        <c:auto val="1"/>
        <c:lblAlgn val="ctr"/>
        <c:lblOffset val="100"/>
        <c:noMultiLvlLbl val="0"/>
      </c:catAx>
      <c:valAx>
        <c:axId val="212046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crossAx val="2120362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43E-3"/>
                  <c:y val="-2.73763553145238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04E-3"/>
                  <c:y val="-6.714242436814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68"/>
                  <c:y val="7.20388173195321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52E-2"/>
                  <c:y val="6.209730005612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2141952"/>
        <c:axId val="212143488"/>
      </c:lineChart>
      <c:catAx>
        <c:axId val="2121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43488"/>
        <c:crosses val="autoZero"/>
        <c:auto val="1"/>
        <c:lblAlgn val="ctr"/>
        <c:lblOffset val="100"/>
        <c:noMultiLvlLbl val="0"/>
      </c:catAx>
      <c:valAx>
        <c:axId val="2121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2162048"/>
        <c:axId val="212163584"/>
      </c:barChart>
      <c:catAx>
        <c:axId val="2121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63584"/>
        <c:crosses val="autoZero"/>
        <c:auto val="1"/>
        <c:lblAlgn val="ctr"/>
        <c:lblOffset val="100"/>
        <c:noMultiLvlLbl val="0"/>
      </c:catAx>
      <c:valAx>
        <c:axId val="212163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2121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smooth val="0"/>
        <c:axId val="212286464"/>
        <c:axId val="212316928"/>
      </c:lineChart>
      <c:catAx>
        <c:axId val="21228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16928"/>
        <c:crosses val="autoZero"/>
        <c:auto val="1"/>
        <c:lblAlgn val="ctr"/>
        <c:lblOffset val="100"/>
        <c:noMultiLvlLbl val="1"/>
      </c:catAx>
      <c:valAx>
        <c:axId val="21231692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122864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353792"/>
        <c:axId val="212355328"/>
      </c:barChart>
      <c:catAx>
        <c:axId val="21235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55328"/>
        <c:crosses val="autoZero"/>
        <c:auto val="1"/>
        <c:lblAlgn val="ctr"/>
        <c:lblOffset val="100"/>
        <c:noMultiLvlLbl val="0"/>
      </c:catAx>
      <c:valAx>
        <c:axId val="212355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23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453632"/>
        <c:axId val="212541440"/>
      </c:barChart>
      <c:catAx>
        <c:axId val="2124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41440"/>
        <c:crosses val="autoZero"/>
        <c:auto val="1"/>
        <c:lblAlgn val="ctr"/>
        <c:lblOffset val="100"/>
        <c:noMultiLvlLbl val="0"/>
      </c:catAx>
      <c:valAx>
        <c:axId val="212541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45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2985728"/>
        <c:axId val="212987264"/>
      </c:barChart>
      <c:catAx>
        <c:axId val="2129857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87264"/>
        <c:crosses val="autoZero"/>
        <c:auto val="1"/>
        <c:lblAlgn val="ctr"/>
        <c:lblOffset val="100"/>
        <c:noMultiLvlLbl val="0"/>
      </c:catAx>
      <c:valAx>
        <c:axId val="212987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29857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3072512"/>
        <c:axId val="213090688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3072512"/>
        <c:axId val="213090688"/>
      </c:scatterChart>
      <c:catAx>
        <c:axId val="21307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090688"/>
        <c:crosses val="autoZero"/>
        <c:auto val="1"/>
        <c:lblAlgn val="ctr"/>
        <c:lblOffset val="0"/>
        <c:noMultiLvlLbl val="0"/>
      </c:catAx>
      <c:valAx>
        <c:axId val="2130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0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5310720"/>
        <c:axId val="215312256"/>
      </c:barChart>
      <c:catAx>
        <c:axId val="2153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12256"/>
        <c:crosses val="autoZero"/>
        <c:auto val="1"/>
        <c:lblAlgn val="ctr"/>
        <c:lblOffset val="100"/>
        <c:noMultiLvlLbl val="1"/>
      </c:catAx>
      <c:valAx>
        <c:axId val="215312256"/>
        <c:scaling>
          <c:orientation val="minMax"/>
        </c:scaling>
        <c:delete val="1"/>
        <c:axPos val="l"/>
        <c:numFmt formatCode="0&quot;M&quot;" sourceLinked="1"/>
        <c:majorTickMark val="none"/>
        <c:minorTickMark val="none"/>
        <c:tickLblPos val="nextTo"/>
        <c:crossAx val="215310720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5336832"/>
        <c:axId val="215338368"/>
      </c:barChart>
      <c:catAx>
        <c:axId val="21533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38368"/>
        <c:crosses val="autoZero"/>
        <c:auto val="1"/>
        <c:lblAlgn val="ctr"/>
        <c:lblOffset val="100"/>
        <c:noMultiLvlLbl val="0"/>
      </c:catAx>
      <c:valAx>
        <c:axId val="215338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53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5448960"/>
        <c:axId val="215475328"/>
      </c:barChart>
      <c:catAx>
        <c:axId val="2154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75328"/>
        <c:crosses val="autoZero"/>
        <c:auto val="1"/>
        <c:lblAlgn val="ctr"/>
        <c:lblOffset val="100"/>
        <c:noMultiLvlLbl val="0"/>
      </c:catAx>
      <c:valAx>
        <c:axId val="2154753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54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5972096"/>
        <c:axId val="215994368"/>
      </c:barChart>
      <c:catAx>
        <c:axId val="2159720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994368"/>
        <c:crosses val="autoZero"/>
        <c:auto val="1"/>
        <c:lblAlgn val="ctr"/>
        <c:lblOffset val="100"/>
        <c:noMultiLvlLbl val="0"/>
      </c:catAx>
      <c:valAx>
        <c:axId val="215994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59720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6120320"/>
        <c:axId val="216134400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6120320"/>
        <c:axId val="216134400"/>
      </c:scatterChart>
      <c:catAx>
        <c:axId val="21612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34400"/>
        <c:crosses val="autoZero"/>
        <c:auto val="1"/>
        <c:lblAlgn val="ctr"/>
        <c:lblOffset val="0"/>
        <c:noMultiLvlLbl val="0"/>
      </c:catAx>
      <c:valAx>
        <c:axId val="2161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509586</xdr:colOff>
      <xdr:row>17</xdr:row>
      <xdr:rowOff>85725</xdr:rowOff>
    </xdr:from>
    <xdr:to>
      <xdr:col>15</xdr:col>
      <xdr:colOff>419100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765E6-3CF5-98EE-2310-AC1E4B3B893F}"/>
            </a:ext>
            <a:ext uri="{147F2762-F138-4A5C-976F-8EAC2B608ADB}">
              <a16:predDERef xmlns:a16="http://schemas.microsoft.com/office/drawing/2014/main" pred="{2DAB129B-9B91-4F45-BB54-4DB88691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367F85-2F90-7FC3-E0DC-AB418CEE6F98}"/>
            </a:ext>
            <a:ext uri="{147F2762-F138-4A5C-976F-8EAC2B608ADB}">
              <a16:predDERef xmlns:a16="http://schemas.microsoft.com/office/drawing/2014/main" pre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38F55A-6350-FF57-70BC-C039A7365688}"/>
            </a:ext>
            <a:ext uri="{147F2762-F138-4A5C-976F-8EAC2B608ADB}">
              <a16:predDERef xmlns:a16="http://schemas.microsoft.com/office/drawing/2014/main" pre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224D6-B45C-45D8-AD52-A7DF76278AF4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5E980-7EA2-412B-AFBB-52C2345E7652}"/>
            </a:ext>
            <a:ext uri="{147F2762-F138-4A5C-976F-8EAC2B608ADB}">
              <a16:predDERef xmlns:a16="http://schemas.microsoft.com/office/drawing/2014/main" pred="{5A7224D6-B45C-45D8-AD52-A7DF7627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0E944B9-A532-4A5A-927B-7EED1FB94136}"/>
            </a:ext>
            <a:ext uri="{147F2762-F138-4A5C-976F-8EAC2B608ADB}">
              <a16:predDERef xmlns:a16="http://schemas.microsoft.com/office/drawing/2014/main" pred="{FE05E980-7EA2-412B-AFBB-52C2345E7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13F995-6808-4F36-A492-BC6477A5A043}"/>
            </a:ext>
            <a:ext uri="{147F2762-F138-4A5C-976F-8EAC2B608ADB}">
              <a16:predDERef xmlns:a16="http://schemas.microsoft.com/office/drawing/2014/main" pre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1FE7ECA-9F64-4F2A-BECC-44EBD56BA2FF}"/>
            </a:ext>
            <a:ext uri="{147F2762-F138-4A5C-976F-8EAC2B608ADB}">
              <a16:predDERef xmlns:a16="http://schemas.microsoft.com/office/drawing/2014/main" pre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CFF69-A2D8-4AB7-BECE-FCF653BBA216}"/>
            </a:ext>
            <a:ext uri="{147F2762-F138-4A5C-976F-8EAC2B608ADB}">
              <a16:predDERef xmlns:a16="http://schemas.microsoft.com/office/drawing/2014/main" pre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C809141-F7D2-4462-9B80-C59C493FE20D}"/>
            </a:ext>
            <a:ext uri="{147F2762-F138-4A5C-976F-8EAC2B608ADB}">
              <a16:predDERef xmlns:a16="http://schemas.microsoft.com/office/drawing/2014/main" pre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5C8C9F0-A7B6-4F1D-A730-91BF421CDFC7}"/>
            </a:ext>
            <a:ext uri="{147F2762-F138-4A5C-976F-8EAC2B608ADB}">
              <a16:predDERef xmlns:a16="http://schemas.microsoft.com/office/drawing/2014/main" pre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686C49F-1EEC-499D-BCB3-E3296D88C719}"/>
            </a:ext>
            <a:ext uri="{147F2762-F138-4A5C-976F-8EAC2B608ADB}">
              <a16:predDERef xmlns:a16="http://schemas.microsoft.com/office/drawing/2014/main" pre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CC96D1D-4089-4EE6-81F6-E0397C3ACB26}"/>
            </a:ext>
            <a:ext uri="{147F2762-F138-4A5C-976F-8EAC2B608ADB}">
              <a16:predDERef xmlns:a16="http://schemas.microsoft.com/office/drawing/2014/main" pre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B55BB2C-1460-4F24-9FBF-B21CEAAE331D}"/>
            </a:ext>
            <a:ext uri="{147F2762-F138-4A5C-976F-8EAC2B608ADB}">
              <a16:predDERef xmlns:a16="http://schemas.microsoft.com/office/drawing/2014/main" pre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EBC665B-BEED-4935-8700-3877026787BF}"/>
            </a:ext>
            <a:ext uri="{147F2762-F138-4A5C-976F-8EAC2B608ADB}">
              <a16:predDERef xmlns:a16="http://schemas.microsoft.com/office/drawing/2014/main" pre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A0270E2-2E81-4663-8E30-88223180D249}"/>
            </a:ext>
            <a:ext uri="{147F2762-F138-4A5C-976F-8EAC2B608ADB}">
              <a16:predDERef xmlns:a16="http://schemas.microsoft.com/office/drawing/2014/main" pre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FF99B-377D-D61D-BE56-6AB168AC9AC5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1775B2-BE86-F7C4-7A8E-2D16DFC581DF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5AC27F-07ED-CF48-CBAE-D2083DDB1E30}"/>
            </a:ext>
            <a:ext uri="{147F2762-F138-4A5C-976F-8EAC2B608ADB}">
              <a16:predDERef xmlns:a16="http://schemas.microsoft.com/office/drawing/2014/main" pred="{841775B2-BE86-F7C4-7A8E-2D16DFC5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F92911F-B7F2-439B-9A94-16E6E061A532}"/>
            </a:ext>
            <a:ext uri="{147F2762-F138-4A5C-976F-8EAC2B608ADB}">
              <a16:predDERef xmlns:a16="http://schemas.microsoft.com/office/drawing/2014/main" pred="{3D5AC27F-07ED-CF48-CBAE-D2083DDB1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31CA8C-B836-446E-A3FD-61FA53906E5E}"/>
            </a:ext>
            <a:ext uri="{147F2762-F138-4A5C-976F-8EAC2B608ADB}">
              <a16:predDERef xmlns:a16="http://schemas.microsoft.com/office/drawing/2014/main" pre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D72981B-AA0E-49D7-9E45-D31EA0E01B57}"/>
            </a:ext>
            <a:ext uri="{147F2762-F138-4A5C-976F-8EAC2B608ADB}">
              <a16:predDERef xmlns:a16="http://schemas.microsoft.com/office/drawing/2014/main" pre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2CF6F02-38FA-4269-97B7-0420086325DB}"/>
            </a:ext>
            <a:ext uri="{147F2762-F138-4A5C-976F-8EAC2B608ADB}">
              <a16:predDERef xmlns:a16="http://schemas.microsoft.com/office/drawing/2014/main" pre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2A988F4-949A-49ED-AB59-4C0CDA82F2E3}"/>
            </a:ext>
            <a:ext uri="{147F2762-F138-4A5C-976F-8EAC2B608ADB}">
              <a16:predDERef xmlns:a16="http://schemas.microsoft.com/office/drawing/2014/main" pre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8C224D-B842-4636-843D-A4BCE7AD5273}"/>
            </a:ext>
            <a:ext uri="{147F2762-F138-4A5C-976F-8EAC2B608ADB}">
              <a16:predDERef xmlns:a16="http://schemas.microsoft.com/office/drawing/2014/main" pre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D6776D9-12F1-4165-9E1C-402CAE319DA2}"/>
            </a:ext>
            <a:ext uri="{147F2762-F138-4A5C-976F-8EAC2B608ADB}">
              <a16:predDERef xmlns:a16="http://schemas.microsoft.com/office/drawing/2014/main" pre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B6379A-253F-44D8-9C26-ABAA51F66C38}"/>
            </a:ext>
            <a:ext uri="{147F2762-F138-4A5C-976F-8EAC2B608ADB}">
              <a16:predDERef xmlns:a16="http://schemas.microsoft.com/office/drawing/2014/main" pred="{01FD96F1-CC05-F58C-0787-EF596BC4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3AC37-99AF-4283-9B55-FD36FFE1EA86}"/>
            </a:ext>
            <a:ext uri="{147F2762-F138-4A5C-976F-8EAC2B608ADB}">
              <a16:predDERef xmlns:a16="http://schemas.microsoft.com/office/drawing/2014/main" pre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A06AC-B6D3-4B55-A235-46A4C2A1A02A}"/>
            </a:ext>
            <a:ext uri="{147F2762-F138-4A5C-976F-8EAC2B608ADB}">
              <a16:predDERef xmlns:a16="http://schemas.microsoft.com/office/drawing/2014/main" pred="{12E3AC37-99AF-4283-9B55-FD36FFE1E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669059-562E-4260-BCDE-1F479F8137DB}"/>
            </a:ext>
            <a:ext uri="{147F2762-F138-4A5C-976F-8EAC2B608ADB}">
              <a16:predDERef xmlns:a16="http://schemas.microsoft.com/office/drawing/2014/main" pred="{EA7A06AC-B6D3-4B55-A235-46A4C2A1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1849B-906E-46CE-8227-47B5077974A4}"/>
            </a:ext>
            <a:ext uri="{147F2762-F138-4A5C-976F-8EAC2B608ADB}">
              <a16:predDERef xmlns:a16="http://schemas.microsoft.com/office/drawing/2014/main" pre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5CB668-37A7-48D4-9DFC-852B974FF0A0}"/>
            </a:ext>
            <a:ext uri="{147F2762-F138-4A5C-976F-8EAC2B608ADB}">
              <a16:predDERef xmlns:a16="http://schemas.microsoft.com/office/drawing/2014/main" pre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15142B-3220-43DB-9E61-A596EDBD39A1}"/>
            </a:ext>
            <a:ext uri="{147F2762-F138-4A5C-976F-8EAC2B608ADB}">
              <a16:predDERef xmlns:a16="http://schemas.microsoft.com/office/drawing/2014/main" pre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E7A9A4-EB69-4FE9-BD23-9BF7DB7F6462}"/>
            </a:ext>
            <a:ext uri="{147F2762-F138-4A5C-976F-8EAC2B608ADB}">
              <a16:predDERef xmlns:a16="http://schemas.microsoft.com/office/drawing/2014/main" pre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2FE23A-D071-4EE7-AD2D-B9959CADD7FD}"/>
            </a:ext>
            <a:ext uri="{147F2762-F138-4A5C-976F-8EAC2B608ADB}">
              <a16:predDERef xmlns:a16="http://schemas.microsoft.com/office/drawing/2014/main" pre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FE00876-94F9-4A40-8BB1-BB2480533214}"/>
            </a:ext>
            <a:ext uri="{147F2762-F138-4A5C-976F-8EAC2B608ADB}">
              <a16:predDERef xmlns:a16="http://schemas.microsoft.com/office/drawing/2014/main" pre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89CEF9-4F8B-4D9E-8153-9D44AC705AED}"/>
            </a:ext>
            <a:ext uri="{147F2762-F138-4A5C-976F-8EAC2B608ADB}">
              <a16:predDERef xmlns:a16="http://schemas.microsoft.com/office/drawing/2014/main" pre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37453-FB42-442B-9EE5-FCD779556E0B}"/>
            </a:ext>
            <a:ext uri="{147F2762-F138-4A5C-976F-8EAC2B608ADB}">
              <a16:predDERef xmlns:a16="http://schemas.microsoft.com/office/drawing/2014/main" pre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31D3E-76EC-49FF-9E7F-91C4FC7373C5}"/>
            </a:ext>
            <a:ext uri="{147F2762-F138-4A5C-976F-8EAC2B608ADB}">
              <a16:predDERef xmlns:a16="http://schemas.microsoft.com/office/drawing/2014/main" pred="{D7237453-FB42-442B-9EE5-FCD779556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AA0EF-8901-41FD-B668-89623E66207C}"/>
            </a:ext>
            <a:ext uri="{147F2762-F138-4A5C-976F-8EAC2B608ADB}">
              <a16:predDERef xmlns:a16="http://schemas.microsoft.com/office/drawing/2014/main" pred="{F1231D3E-76EC-49FF-9E7F-91C4FC73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504AF8-B711-498B-8218-7A0B06019F44}"/>
            </a:ext>
            <a:ext uri="{147F2762-F138-4A5C-976F-8EAC2B608ADB}">
              <a16:predDERef xmlns:a16="http://schemas.microsoft.com/office/drawing/2014/main" pre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AC2B4C-6F52-4777-BEC2-B7A1A84957BE}"/>
            </a:ext>
            <a:ext uri="{147F2762-F138-4A5C-976F-8EAC2B608ADB}">
              <a16:predDERef xmlns:a16="http://schemas.microsoft.com/office/drawing/2014/main" pre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07EA51-56E0-4D70-9961-10281D28CB8D}"/>
            </a:ext>
            <a:ext uri="{147F2762-F138-4A5C-976F-8EAC2B608ADB}">
              <a16:predDERef xmlns:a16="http://schemas.microsoft.com/office/drawing/2014/main" pre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697633-2929-4B0D-B200-7A1AE8DEF1A4}"/>
            </a:ext>
            <a:ext uri="{147F2762-F138-4A5C-976F-8EAC2B608ADB}">
              <a16:predDERef xmlns:a16="http://schemas.microsoft.com/office/drawing/2014/main" pre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4D07AD-AFF5-4183-806C-12EC7DF3F122}"/>
            </a:ext>
            <a:ext uri="{147F2762-F138-4A5C-976F-8EAC2B608ADB}">
              <a16:predDERef xmlns:a16="http://schemas.microsoft.com/office/drawing/2014/main" pre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BCB3EC-293A-4150-91F5-AB85C4AF3C38}"/>
            </a:ext>
            <a:ext uri="{147F2762-F138-4A5C-976F-8EAC2B608ADB}">
              <a16:predDERef xmlns:a16="http://schemas.microsoft.com/office/drawing/2014/main" pre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461EAD-97B6-4E36-B5BC-8D3887640E5D}"/>
            </a:ext>
            <a:ext uri="{147F2762-F138-4A5C-976F-8EAC2B608ADB}">
              <a16:predDERef xmlns:a16="http://schemas.microsoft.com/office/drawing/2014/main" pre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C536CAE-76C7-4A1A-9CB1-56702E5C6BE0}"/>
            </a:ext>
            <a:ext uri="{147F2762-F138-4A5C-976F-8EAC2B608ADB}">
              <a16:predDERef xmlns:a16="http://schemas.microsoft.com/office/drawing/2014/main" pred="{B436B1AC-D611-4D34-8541-EDB54046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7297A3-C068-48D4-8E0B-B377E3F431CB}"/>
            </a:ext>
            <a:ext uri="{147F2762-F138-4A5C-976F-8EAC2B608ADB}">
              <a16:predDERef xmlns:a16="http://schemas.microsoft.com/office/drawing/2014/main" pre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C0819DE-0B87-43D0-9672-F654C401BE67}"/>
            </a:ext>
            <a:ext uri="{147F2762-F138-4A5C-976F-8EAC2B608ADB}">
              <a16:predDERef xmlns:a16="http://schemas.microsoft.com/office/drawing/2014/main" pre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059CF-43FA-4F5A-BB68-2BEE59BC0866}"/>
            </a:ext>
            <a:ext uri="{147F2762-F138-4A5C-976F-8EAC2B608ADB}">
              <a16:predDERef xmlns:a16="http://schemas.microsoft.com/office/drawing/2014/main" pre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4E61F-6AFE-4F62-BEC2-BE71934DEB74}"/>
            </a:ext>
            <a:ext uri="{147F2762-F138-4A5C-976F-8EAC2B608ADB}">
              <a16:predDERef xmlns:a16="http://schemas.microsoft.com/office/drawing/2014/main" pred="{AE5059CF-43FA-4F5A-BB68-2BEE59BC0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25279-ED04-49AA-A9A9-BFEAC2D70128}"/>
            </a:ext>
            <a:ext uri="{147F2762-F138-4A5C-976F-8EAC2B608ADB}">
              <a16:predDERef xmlns:a16="http://schemas.microsoft.com/office/drawing/2014/main" pred="{3794E61F-6AFE-4F62-BEC2-BE71934DE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402B0A-CB46-41B3-B92C-9C424A4531D6}"/>
            </a:ext>
            <a:ext uri="{147F2762-F138-4A5C-976F-8EAC2B608ADB}">
              <a16:predDERef xmlns:a16="http://schemas.microsoft.com/office/drawing/2014/main" pre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1D438-4997-4376-927F-05DA98B497D1}"/>
            </a:ext>
            <a:ext uri="{147F2762-F138-4A5C-976F-8EAC2B608ADB}">
              <a16:predDERef xmlns:a16="http://schemas.microsoft.com/office/drawing/2014/main" pre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9EB821-4B45-4453-A314-BA1B98B7BAF0}"/>
            </a:ext>
            <a:ext uri="{147F2762-F138-4A5C-976F-8EAC2B608ADB}">
              <a16:predDERef xmlns:a16="http://schemas.microsoft.com/office/drawing/2014/main" pre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496D78-64E0-496A-A02D-0A5CFE61738E}"/>
            </a:ext>
            <a:ext uri="{147F2762-F138-4A5C-976F-8EAC2B608ADB}">
              <a16:predDERef xmlns:a16="http://schemas.microsoft.com/office/drawing/2014/main" pre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4C1443-813D-4864-9B46-83AC585B67D7}"/>
            </a:ext>
            <a:ext uri="{147F2762-F138-4A5C-976F-8EAC2B608ADB}">
              <a16:predDERef xmlns:a16="http://schemas.microsoft.com/office/drawing/2014/main" pre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CC0CBC-1AB7-4407-BAE2-5495376487C7}"/>
            </a:ext>
            <a:ext uri="{147F2762-F138-4A5C-976F-8EAC2B608ADB}">
              <a16:predDERef xmlns:a16="http://schemas.microsoft.com/office/drawing/2014/main" pre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7DEC34-C8BB-488C-BB57-3F552ECA7442}"/>
            </a:ext>
            <a:ext uri="{147F2762-F138-4A5C-976F-8EAC2B608ADB}">
              <a16:predDERef xmlns:a16="http://schemas.microsoft.com/office/drawing/2014/main" pre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1E303B-E5E2-4B63-81DC-C64337EEB379}"/>
            </a:ext>
            <a:ext uri="{147F2762-F138-4A5C-976F-8EAC2B608ADB}">
              <a16:predDERef xmlns:a16="http://schemas.microsoft.com/office/drawing/2014/main" pred="{4DF674FB-D244-4E30-B2B4-8878C5E73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DE32E1-A555-46C7-8722-76F36DD870F4}"/>
            </a:ext>
            <a:ext uri="{147F2762-F138-4A5C-976F-8EAC2B608ADB}">
              <a16:predDERef xmlns:a16="http://schemas.microsoft.com/office/drawing/2014/main" pre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15823-E71F-42D9-8015-DE7B882E55D5}"/>
            </a:ext>
            <a:ext uri="{147F2762-F138-4A5C-976F-8EAC2B608ADB}">
              <a16:predDERef xmlns:a16="http://schemas.microsoft.com/office/drawing/2014/main" pre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DA495-EBED-4E4F-9725-40D6E95B4372}"/>
            </a:ext>
            <a:ext uri="{147F2762-F138-4A5C-976F-8EAC2B608ADB}">
              <a16:predDERef xmlns:a16="http://schemas.microsoft.com/office/drawing/2014/main" pred="{53515823-E71F-42D9-8015-DE7B882E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4CF01A-3A25-43AF-995C-F0A97B59FBEA}"/>
            </a:ext>
            <a:ext uri="{147F2762-F138-4A5C-976F-8EAC2B608ADB}">
              <a16:predDERef xmlns:a16="http://schemas.microsoft.com/office/drawing/2014/main" pred="{B15DA495-EBED-4E4F-9725-40D6E95B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4088B-23FF-42C9-BBD1-43E85DF3D8EC}"/>
            </a:ext>
            <a:ext uri="{147F2762-F138-4A5C-976F-8EAC2B608ADB}">
              <a16:predDERef xmlns:a16="http://schemas.microsoft.com/office/drawing/2014/main" pre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C32F45-FA3B-4E3A-BE8A-B36C3EF96876}"/>
            </a:ext>
            <a:ext uri="{147F2762-F138-4A5C-976F-8EAC2B608ADB}">
              <a16:predDERef xmlns:a16="http://schemas.microsoft.com/office/drawing/2014/main" pre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5C912E-0D75-4FD3-9FBC-EAC12680B373}"/>
            </a:ext>
            <a:ext uri="{147F2762-F138-4A5C-976F-8EAC2B608ADB}">
              <a16:predDERef xmlns:a16="http://schemas.microsoft.com/office/drawing/2014/main" pre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9B9C3D-21AF-4CCC-B150-4AC292CBF663}"/>
            </a:ext>
            <a:ext uri="{147F2762-F138-4A5C-976F-8EAC2B608ADB}">
              <a16:predDERef xmlns:a16="http://schemas.microsoft.com/office/drawing/2014/main" pre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359844-2A2F-41EB-AEF7-AF02D97D8084}"/>
            </a:ext>
            <a:ext uri="{147F2762-F138-4A5C-976F-8EAC2B608ADB}">
              <a16:predDERef xmlns:a16="http://schemas.microsoft.com/office/drawing/2014/main" pre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92C3A8-8900-4181-9DB2-D5FCC3F7C61B}"/>
            </a:ext>
            <a:ext uri="{147F2762-F138-4A5C-976F-8EAC2B608ADB}">
              <a16:predDERef xmlns:a16="http://schemas.microsoft.com/office/drawing/2014/main" pre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7FCA81-B8DE-4156-8675-93E1B1F5E5C2}"/>
            </a:ext>
            <a:ext uri="{147F2762-F138-4A5C-976F-8EAC2B608ADB}">
              <a16:predDERef xmlns:a16="http://schemas.microsoft.com/office/drawing/2014/main" pre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A904FF7-4F41-4C80-A2CB-F9FDB6119F15}"/>
            </a:ext>
            <a:ext uri="{147F2762-F138-4A5C-976F-8EAC2B608ADB}">
              <a16:predDERef xmlns:a16="http://schemas.microsoft.com/office/drawing/2014/main" pred="{14C41B96-8521-47E1-B578-C5E4D389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B1AFB9-42BE-4BFA-9FB4-4B280991EC61}"/>
            </a:ext>
            <a:ext uri="{147F2762-F138-4A5C-976F-8EAC2B608ADB}">
              <a16:predDERef xmlns:a16="http://schemas.microsoft.com/office/drawing/2014/main" pre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"/>
  <sheetViews>
    <sheetView workbookViewId="0">
      <selection sqref="A1:D33"/>
    </sheetView>
  </sheetViews>
  <sheetFormatPr defaultRowHeight="14.25"/>
  <cols>
    <col min="1" max="1" width="18.28515625" bestFit="1" customWidth="1"/>
    <col min="2" max="2" width="12.42578125" bestFit="1" customWidth="1"/>
    <col min="3" max="3" width="13.5703125" bestFit="1" customWidth="1"/>
    <col min="4" max="4" width="17.85546875" customWidth="1"/>
    <col min="5" max="5" width="11" bestFit="1" customWidth="1"/>
  </cols>
  <sheetData>
    <row r="1" spans="1:4" ht="15">
      <c r="A1" s="803" t="s">
        <v>0</v>
      </c>
      <c r="B1" s="803"/>
      <c r="C1" s="517" t="s">
        <v>1</v>
      </c>
      <c r="D1" s="517" t="s">
        <v>2</v>
      </c>
    </row>
    <row r="2" spans="1:4" ht="15">
      <c r="A2" s="518" t="s">
        <v>3</v>
      </c>
      <c r="B2" s="520">
        <v>1978284.83</v>
      </c>
      <c r="C2" s="519">
        <v>7.46</v>
      </c>
      <c r="D2" s="520">
        <v>265242.52</v>
      </c>
    </row>
    <row r="3" spans="1:4" ht="15">
      <c r="A3" s="518" t="s">
        <v>2</v>
      </c>
      <c r="B3" s="520">
        <v>197263.6</v>
      </c>
      <c r="C3" s="519">
        <v>1</v>
      </c>
      <c r="D3" s="520">
        <v>197263.6</v>
      </c>
    </row>
    <row r="4" spans="1:4" ht="15">
      <c r="A4" s="518" t="s">
        <v>4</v>
      </c>
      <c r="B4" s="520">
        <v>169635.45</v>
      </c>
      <c r="C4" s="519">
        <v>0.84</v>
      </c>
      <c r="D4" s="520">
        <v>202320.29</v>
      </c>
    </row>
    <row r="5" spans="1:4" ht="15">
      <c r="A5" s="518" t="s">
        <v>5</v>
      </c>
      <c r="B5" s="520">
        <v>57733.05</v>
      </c>
      <c r="C5" s="519">
        <v>1.08</v>
      </c>
      <c r="D5" s="520">
        <v>53244.54</v>
      </c>
    </row>
    <row r="6" spans="1:4" ht="15">
      <c r="A6" s="518" t="s">
        <v>6</v>
      </c>
      <c r="B6" s="520">
        <v>302760.11</v>
      </c>
      <c r="C6" s="519">
        <v>10.97</v>
      </c>
      <c r="D6" s="520">
        <v>27607.71</v>
      </c>
    </row>
    <row r="7" spans="1:4" ht="15">
      <c r="A7" s="518" t="s">
        <v>7</v>
      </c>
      <c r="B7" s="520">
        <v>110294.84</v>
      </c>
      <c r="C7" s="519">
        <v>1.71</v>
      </c>
      <c r="D7" s="520">
        <v>64337.86</v>
      </c>
    </row>
    <row r="8" spans="1:4" ht="15">
      <c r="A8" s="519"/>
      <c r="B8" s="519"/>
      <c r="C8" s="519"/>
      <c r="D8" s="521">
        <v>810016.51</v>
      </c>
    </row>
    <row r="9" spans="1:4" ht="15">
      <c r="A9" s="512"/>
      <c r="B9" s="512"/>
      <c r="C9" s="512"/>
      <c r="D9" s="512"/>
    </row>
    <row r="10" spans="1:4" ht="15">
      <c r="A10" s="803" t="s">
        <v>8</v>
      </c>
      <c r="B10" s="803"/>
      <c r="C10" s="517" t="s">
        <v>1</v>
      </c>
      <c r="D10" s="517" t="s">
        <v>2</v>
      </c>
    </row>
    <row r="11" spans="1:4" ht="15">
      <c r="A11" s="518" t="s">
        <v>9</v>
      </c>
      <c r="B11" s="520">
        <v>217583</v>
      </c>
      <c r="C11" s="519">
        <v>0.94</v>
      </c>
      <c r="D11" s="520">
        <v>231779.49</v>
      </c>
    </row>
    <row r="12" spans="1:4" ht="15">
      <c r="A12" s="518" t="s">
        <v>2</v>
      </c>
      <c r="B12" s="520">
        <v>97389</v>
      </c>
      <c r="C12" s="519">
        <v>1</v>
      </c>
      <c r="D12" s="520">
        <v>97389</v>
      </c>
    </row>
    <row r="13" spans="1:4" ht="15">
      <c r="A13" s="518" t="s">
        <v>4</v>
      </c>
      <c r="B13" s="520">
        <v>25254</v>
      </c>
      <c r="C13" s="519">
        <v>0.85</v>
      </c>
      <c r="D13" s="520">
        <v>29613.040000000001</v>
      </c>
    </row>
    <row r="14" spans="1:4" ht="15">
      <c r="A14" s="518" t="s">
        <v>5</v>
      </c>
      <c r="B14" s="520">
        <v>3765</v>
      </c>
      <c r="C14" s="519">
        <v>1.1599999999999999</v>
      </c>
      <c r="D14" s="520">
        <v>3243.45</v>
      </c>
    </row>
    <row r="15" spans="1:4" ht="15">
      <c r="A15" s="512"/>
      <c r="B15" s="512"/>
      <c r="C15" s="512"/>
      <c r="D15" s="521">
        <v>362024.98</v>
      </c>
    </row>
    <row r="16" spans="1:4" ht="15">
      <c r="A16" s="512"/>
      <c r="B16" s="512"/>
      <c r="C16" s="512"/>
      <c r="D16" s="512"/>
    </row>
    <row r="17" spans="1:6" ht="15">
      <c r="A17" s="512"/>
      <c r="B17" s="512"/>
      <c r="C17" s="512"/>
      <c r="D17" s="512"/>
    </row>
    <row r="18" spans="1:6" ht="15">
      <c r="A18" s="512"/>
      <c r="B18" s="512"/>
      <c r="C18" s="512"/>
      <c r="D18" s="512"/>
    </row>
    <row r="19" spans="1:6" ht="15">
      <c r="A19" s="512"/>
      <c r="B19" s="512"/>
      <c r="C19" s="512"/>
      <c r="D19" s="512"/>
    </row>
    <row r="20" spans="1:6" ht="15">
      <c r="A20" s="512"/>
      <c r="B20" s="512"/>
      <c r="C20" s="512" t="s">
        <v>10</v>
      </c>
      <c r="D20" s="522">
        <v>1172041.49</v>
      </c>
      <c r="E20" s="394">
        <f>SUMIF('Lista contas'!D:D,'JYSKE - FKB - Colar '!F20,'Lista contas'!K:K)</f>
        <v>800317.58609741391</v>
      </c>
      <c r="F20" s="393" t="s">
        <v>11</v>
      </c>
    </row>
    <row r="21" spans="1:6" ht="15">
      <c r="A21" s="512"/>
      <c r="B21" s="512"/>
      <c r="C21" s="512"/>
      <c r="D21" s="512"/>
      <c r="E21" s="394">
        <f>SUMIF('Lista contas'!D:D,'JYSKE - FKB - Colar '!F21,'Lista contas'!K:K)</f>
        <v>362024.98619879258</v>
      </c>
      <c r="F21" s="393" t="s">
        <v>12</v>
      </c>
    </row>
    <row r="22" spans="1:6" ht="15">
      <c r="A22" s="512"/>
      <c r="B22" s="512"/>
      <c r="C22" s="512"/>
      <c r="D22" s="512"/>
      <c r="E22" s="396" cm="1">
        <f t="array" ref="E22">SUM(D20,-E20:E21)</f>
        <v>9698.9177037935006</v>
      </c>
      <c r="F22" s="395" t="s">
        <v>13</v>
      </c>
    </row>
    <row r="23" spans="1:6" ht="15">
      <c r="A23" s="512"/>
      <c r="B23" s="512"/>
      <c r="C23" s="512"/>
      <c r="D23" s="512"/>
    </row>
    <row r="24" spans="1:6" ht="15">
      <c r="A24" s="512"/>
      <c r="B24" s="512"/>
      <c r="C24" s="512"/>
      <c r="D24" s="512"/>
    </row>
    <row r="25" spans="1:6" ht="15">
      <c r="A25" s="512"/>
      <c r="B25" s="512"/>
      <c r="C25" s="512"/>
      <c r="D25" s="512"/>
    </row>
    <row r="26" spans="1:6" ht="15">
      <c r="A26" s="512"/>
      <c r="B26" s="512"/>
      <c r="C26" s="512"/>
      <c r="D26" s="512"/>
    </row>
    <row r="27" spans="1:6" ht="15">
      <c r="A27" s="512"/>
      <c r="B27" s="512"/>
      <c r="C27" s="512"/>
      <c r="D27" s="512"/>
    </row>
    <row r="28" spans="1:6" ht="15">
      <c r="A28" s="512"/>
      <c r="B28" s="512"/>
      <c r="C28" s="512"/>
      <c r="D28" s="512"/>
    </row>
    <row r="29" spans="1:6" ht="15">
      <c r="A29" s="512"/>
      <c r="B29" s="512"/>
      <c r="C29" s="512"/>
      <c r="D29" s="512"/>
    </row>
    <row r="30" spans="1:6" ht="15">
      <c r="A30" s="512"/>
      <c r="B30" s="512"/>
      <c r="C30" s="512"/>
      <c r="D30" s="512"/>
    </row>
    <row r="31" spans="1:6" ht="15">
      <c r="A31" s="512"/>
      <c r="B31" s="512"/>
      <c r="C31" s="512"/>
      <c r="D31" s="512"/>
    </row>
    <row r="32" spans="1:6" ht="15">
      <c r="A32" s="512"/>
      <c r="B32" s="512"/>
      <c r="C32" s="512"/>
      <c r="D32" s="512"/>
    </row>
    <row r="33" spans="1:4" ht="15">
      <c r="A33" s="512"/>
      <c r="B33" s="512"/>
      <c r="C33" s="512"/>
      <c r="D33" s="512"/>
    </row>
    <row r="34" spans="1:4" ht="15">
      <c r="A34" s="512"/>
      <c r="B34" s="512"/>
      <c r="C34" s="512"/>
      <c r="D34" s="512"/>
    </row>
    <row r="35" spans="1:4" ht="15">
      <c r="A35" s="512"/>
      <c r="B35" s="512"/>
      <c r="C35" s="512"/>
      <c r="D35" s="512"/>
    </row>
    <row r="36" spans="1:4" ht="15"/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89"/>
  <sheetViews>
    <sheetView topLeftCell="A2" zoomScale="70" zoomScaleNormal="70" workbookViewId="0"/>
  </sheetViews>
  <sheetFormatPr defaultColWidth="9.42578125" defaultRowHeight="12.75"/>
  <cols>
    <col min="1" max="1" width="13.7109375" style="359" bestFit="1" customWidth="1"/>
    <col min="2" max="2" width="12.5703125" style="7" bestFit="1" customWidth="1"/>
    <col min="3" max="3" width="11.42578125" style="7" customWidth="1"/>
    <col min="4" max="4" width="10.5703125" style="7" customWidth="1"/>
    <col min="5" max="5" width="11.42578125" style="7" bestFit="1" customWidth="1"/>
    <col min="6" max="6" width="16.7109375" style="7" bestFit="1" customWidth="1"/>
    <col min="7" max="7" width="10.5703125" style="7" customWidth="1"/>
    <col min="8" max="8" width="13.42578125" style="7" customWidth="1"/>
    <col min="9" max="10" width="10.5703125" style="7" customWidth="1"/>
    <col min="11" max="11" width="19" style="7" customWidth="1"/>
    <col min="12" max="13" width="11" style="7" customWidth="1"/>
    <col min="14" max="14" width="61.5703125" style="359" customWidth="1"/>
    <col min="15" max="15" width="14" style="359" customWidth="1"/>
    <col min="16" max="16" width="32.42578125" style="359" customWidth="1"/>
    <col min="17" max="17" width="12.28515625" style="359" bestFit="1" customWidth="1"/>
    <col min="18" max="18" width="6.5703125" style="359" customWidth="1"/>
    <col min="19" max="19" width="11.42578125" style="8" customWidth="1"/>
    <col min="20" max="20" width="20" style="57" customWidth="1"/>
    <col min="21" max="21" width="26.42578125" style="359" customWidth="1"/>
    <col min="22" max="22" width="2.5703125" style="359" customWidth="1"/>
    <col min="23" max="23" width="68.28515625" style="359" bestFit="1" customWidth="1"/>
    <col min="24" max="24" width="8" style="359" bestFit="1" customWidth="1"/>
    <col min="25" max="25" width="14.7109375" style="8" customWidth="1"/>
    <col min="26" max="26" width="28.42578125" style="57" bestFit="1" customWidth="1"/>
    <col min="27" max="27" width="9.85546875" style="57" customWidth="1"/>
    <col min="28" max="28" width="8.5703125" style="359" customWidth="1"/>
    <col min="29" max="29" width="20.5703125" style="359" bestFit="1" customWidth="1"/>
    <col min="30" max="30" width="38.5703125" style="359" customWidth="1"/>
    <col min="31" max="31" width="9.5703125" style="359" customWidth="1"/>
    <col min="32" max="32" width="15.42578125" style="359" customWidth="1"/>
    <col min="33" max="33" width="15.5703125" style="359" customWidth="1"/>
    <col min="34" max="34" width="11.5703125" style="359" customWidth="1"/>
    <col min="35" max="16384" width="9.42578125" style="359"/>
  </cols>
  <sheetData>
    <row r="1" spans="1:34" ht="13.5">
      <c r="A1" s="523" t="s">
        <v>2</v>
      </c>
      <c r="B1" s="523" t="s">
        <v>4</v>
      </c>
      <c r="C1" s="523" t="s">
        <v>5</v>
      </c>
      <c r="D1" s="523" t="s">
        <v>14</v>
      </c>
      <c r="E1" s="523" t="s">
        <v>6</v>
      </c>
      <c r="F1" s="523" t="s">
        <v>15</v>
      </c>
      <c r="G1" s="523" t="s">
        <v>16</v>
      </c>
      <c r="H1" s="523" t="s">
        <v>17</v>
      </c>
      <c r="I1" s="523" t="s">
        <v>7</v>
      </c>
      <c r="J1" s="523" t="s">
        <v>18</v>
      </c>
      <c r="K1" s="523" t="s">
        <v>19</v>
      </c>
      <c r="L1" s="523" t="s">
        <v>3</v>
      </c>
      <c r="M1" s="523" t="s">
        <v>9</v>
      </c>
      <c r="N1" s="523" t="s">
        <v>20</v>
      </c>
      <c r="O1" s="523"/>
      <c r="P1" s="523"/>
      <c r="Q1" s="523"/>
      <c r="R1" s="523"/>
      <c r="S1" s="523"/>
      <c r="T1" s="523"/>
      <c r="U1" s="524"/>
      <c r="V1" s="524"/>
      <c r="W1" s="525" t="s">
        <v>21</v>
      </c>
      <c r="X1" s="525" t="s">
        <v>21</v>
      </c>
      <c r="Y1" s="525" t="s">
        <v>21</v>
      </c>
      <c r="Z1" s="525" t="s">
        <v>21</v>
      </c>
      <c r="AA1" s="524"/>
      <c r="AB1" s="524"/>
      <c r="AC1" s="524"/>
      <c r="AD1" s="524"/>
      <c r="AE1" s="524"/>
      <c r="AF1" s="524"/>
      <c r="AG1" s="524"/>
      <c r="AH1" s="524"/>
    </row>
    <row r="2" spans="1:34" ht="13.5">
      <c r="A2" s="524"/>
      <c r="B2" s="524"/>
      <c r="C2" s="524"/>
      <c r="D2" s="524"/>
      <c r="E2" s="524"/>
      <c r="F2" s="524"/>
      <c r="G2" s="524"/>
      <c r="H2" s="524"/>
      <c r="I2" s="524"/>
      <c r="J2" s="524"/>
      <c r="K2" s="524"/>
      <c r="L2" s="524"/>
      <c r="M2" s="524"/>
      <c r="N2" s="523" t="s">
        <v>22</v>
      </c>
      <c r="O2" s="523" t="s">
        <v>23</v>
      </c>
      <c r="P2" s="523" t="s">
        <v>24</v>
      </c>
      <c r="Q2" s="523" t="s">
        <v>25</v>
      </c>
      <c r="R2" s="523" t="s">
        <v>26</v>
      </c>
      <c r="S2" s="523" t="s">
        <v>27</v>
      </c>
      <c r="T2" s="523" t="s">
        <v>28</v>
      </c>
      <c r="U2" s="524"/>
      <c r="V2" s="524"/>
      <c r="W2" s="525" t="s">
        <v>29</v>
      </c>
      <c r="X2" s="525" t="s">
        <v>29</v>
      </c>
      <c r="Y2" s="525" t="s">
        <v>29</v>
      </c>
      <c r="Z2" s="525" t="s">
        <v>29</v>
      </c>
      <c r="AA2" s="524"/>
      <c r="AB2" s="524" t="s">
        <v>30</v>
      </c>
      <c r="AC2" s="524" t="s">
        <v>31</v>
      </c>
      <c r="AD2" s="512"/>
      <c r="AE2" s="512"/>
      <c r="AF2" s="512"/>
      <c r="AG2" s="512"/>
      <c r="AH2" s="524"/>
    </row>
    <row r="3" spans="1:34" ht="13.5">
      <c r="A3" s="526" t="s">
        <v>21</v>
      </c>
      <c r="B3" s="526" t="s">
        <v>21</v>
      </c>
      <c r="C3" s="526" t="s">
        <v>21</v>
      </c>
      <c r="D3" s="526" t="s">
        <v>21</v>
      </c>
      <c r="E3" s="526" t="s">
        <v>21</v>
      </c>
      <c r="F3" s="526" t="s">
        <v>21</v>
      </c>
      <c r="G3" s="526" t="s">
        <v>21</v>
      </c>
      <c r="H3" s="526" t="s">
        <v>21</v>
      </c>
      <c r="I3" s="526" t="s">
        <v>21</v>
      </c>
      <c r="J3" s="526" t="s">
        <v>21</v>
      </c>
      <c r="K3" s="526" t="s">
        <v>21</v>
      </c>
      <c r="L3" s="526" t="s">
        <v>21</v>
      </c>
      <c r="M3" s="526" t="s">
        <v>21</v>
      </c>
      <c r="N3" s="527" t="s">
        <v>32</v>
      </c>
      <c r="O3" s="527" t="s">
        <v>21</v>
      </c>
      <c r="P3" s="527" t="s">
        <v>21</v>
      </c>
      <c r="Q3" s="527" t="s">
        <v>21</v>
      </c>
      <c r="R3" s="528" t="s">
        <v>2</v>
      </c>
      <c r="S3" s="512"/>
      <c r="T3" s="512">
        <v>5484031.6699999999</v>
      </c>
      <c r="U3" s="530">
        <v>5484031.6699999999</v>
      </c>
      <c r="V3" s="524"/>
      <c r="W3" s="512" t="s">
        <v>33</v>
      </c>
      <c r="X3" s="512" t="s">
        <v>2</v>
      </c>
      <c r="Y3" s="512"/>
      <c r="Z3" s="512">
        <v>5484031.6699999999</v>
      </c>
      <c r="AA3" s="512">
        <v>627156.30000000005</v>
      </c>
      <c r="AB3" s="524" t="s">
        <v>34</v>
      </c>
      <c r="AC3" s="524" t="s">
        <v>35</v>
      </c>
      <c r="AD3" s="512"/>
      <c r="AE3" s="512"/>
      <c r="AF3" s="512"/>
      <c r="AG3" s="512"/>
      <c r="AH3" s="524"/>
    </row>
    <row r="4" spans="1:34" ht="13.5">
      <c r="A4" s="531">
        <v>5484032</v>
      </c>
      <c r="B4" s="524">
        <v>0</v>
      </c>
      <c r="C4" s="524">
        <v>0</v>
      </c>
      <c r="D4" s="524">
        <v>0</v>
      </c>
      <c r="E4" s="524">
        <v>0</v>
      </c>
      <c r="F4" s="524">
        <v>0</v>
      </c>
      <c r="G4" s="524">
        <v>0</v>
      </c>
      <c r="H4" s="524">
        <v>0</v>
      </c>
      <c r="I4" s="524">
        <v>0</v>
      </c>
      <c r="J4" s="524">
        <v>0</v>
      </c>
      <c r="K4" s="524">
        <v>0</v>
      </c>
      <c r="L4" s="524">
        <v>0</v>
      </c>
      <c r="M4" s="524"/>
      <c r="N4" s="532" t="s">
        <v>36</v>
      </c>
      <c r="O4" s="512">
        <v>682431478</v>
      </c>
      <c r="P4" s="512" t="s">
        <v>37</v>
      </c>
      <c r="Q4" s="512" t="s">
        <v>38</v>
      </c>
      <c r="R4" s="512" t="s">
        <v>2</v>
      </c>
      <c r="S4" s="533">
        <v>45832</v>
      </c>
      <c r="T4" s="512">
        <v>5484031.6699999999</v>
      </c>
      <c r="U4" s="524"/>
      <c r="V4" s="524"/>
      <c r="W4" s="512" t="s">
        <v>39</v>
      </c>
      <c r="X4" s="512" t="s">
        <v>2</v>
      </c>
      <c r="Y4" s="533">
        <v>45832</v>
      </c>
      <c r="Z4" s="512">
        <v>5484031.6699999999</v>
      </c>
      <c r="AA4" s="512">
        <v>421869.4</v>
      </c>
      <c r="AB4" s="524" t="s">
        <v>40</v>
      </c>
      <c r="AC4" s="524" t="s">
        <v>35</v>
      </c>
      <c r="AD4" s="512"/>
      <c r="AE4" s="512"/>
      <c r="AF4" s="512"/>
      <c r="AG4" s="512"/>
      <c r="AH4" s="524"/>
    </row>
    <row r="5" spans="1:34" ht="13.5">
      <c r="A5" s="529">
        <v>0</v>
      </c>
      <c r="B5" s="524">
        <v>0</v>
      </c>
      <c r="C5" s="524">
        <v>0</v>
      </c>
      <c r="D5" s="524">
        <v>0</v>
      </c>
      <c r="E5" s="524">
        <v>0</v>
      </c>
      <c r="F5" s="524">
        <v>0</v>
      </c>
      <c r="G5" s="524">
        <v>0</v>
      </c>
      <c r="H5" s="524">
        <v>0</v>
      </c>
      <c r="I5" s="524">
        <v>0</v>
      </c>
      <c r="J5" s="524">
        <v>0</v>
      </c>
      <c r="K5" s="524">
        <v>0</v>
      </c>
      <c r="L5" s="524">
        <v>0</v>
      </c>
      <c r="M5" s="524"/>
      <c r="N5" s="532" t="s">
        <v>41</v>
      </c>
      <c r="O5" s="512">
        <v>7041500</v>
      </c>
      <c r="P5" s="512" t="s">
        <v>42</v>
      </c>
      <c r="Q5" s="512" t="s">
        <v>38</v>
      </c>
      <c r="R5" s="512" t="s">
        <v>2</v>
      </c>
      <c r="S5" s="533">
        <v>45832</v>
      </c>
      <c r="T5" s="512">
        <v>0</v>
      </c>
      <c r="U5" s="524"/>
      <c r="V5" s="524"/>
      <c r="W5" s="512" t="s">
        <v>43</v>
      </c>
      <c r="X5" s="512" t="s">
        <v>2</v>
      </c>
      <c r="Y5" s="533">
        <v>45832</v>
      </c>
      <c r="Z5" s="512">
        <v>0</v>
      </c>
      <c r="AA5" s="512">
        <v>205286.9</v>
      </c>
      <c r="AB5" s="524" t="s">
        <v>40</v>
      </c>
      <c r="AC5" s="524" t="s">
        <v>35</v>
      </c>
      <c r="AD5" s="512"/>
      <c r="AE5" s="512"/>
      <c r="AF5" s="512"/>
      <c r="AG5" s="512"/>
      <c r="AH5" s="524"/>
    </row>
    <row r="6" spans="1:34" ht="13.5">
      <c r="A6" s="529">
        <v>0</v>
      </c>
      <c r="B6" s="524">
        <v>0</v>
      </c>
      <c r="C6" s="524">
        <v>0</v>
      </c>
      <c r="D6" s="524">
        <v>0</v>
      </c>
      <c r="E6" s="524">
        <v>0</v>
      </c>
      <c r="F6" s="524">
        <v>0</v>
      </c>
      <c r="G6" s="524">
        <v>0</v>
      </c>
      <c r="H6" s="524">
        <v>0</v>
      </c>
      <c r="I6" s="524">
        <v>0</v>
      </c>
      <c r="J6" s="524">
        <v>0</v>
      </c>
      <c r="K6" s="524">
        <v>0</v>
      </c>
      <c r="L6" s="524">
        <v>0</v>
      </c>
      <c r="M6" s="524"/>
      <c r="N6" s="532" t="s">
        <v>44</v>
      </c>
      <c r="O6" s="512">
        <v>658818368</v>
      </c>
      <c r="P6" s="512" t="s">
        <v>45</v>
      </c>
      <c r="Q6" s="512" t="s">
        <v>38</v>
      </c>
      <c r="R6" s="512" t="s">
        <v>2</v>
      </c>
      <c r="S6" s="533">
        <v>45832</v>
      </c>
      <c r="T6" s="512">
        <v>0</v>
      </c>
      <c r="U6" s="524"/>
      <c r="V6" s="524"/>
      <c r="W6" s="512" t="s">
        <v>46</v>
      </c>
      <c r="X6" s="512" t="s">
        <v>2</v>
      </c>
      <c r="Y6" s="533">
        <v>45832</v>
      </c>
      <c r="Z6" s="512">
        <v>0</v>
      </c>
      <c r="AA6" s="512">
        <v>0</v>
      </c>
      <c r="AB6" s="524" t="s">
        <v>40</v>
      </c>
      <c r="AC6" s="524" t="s">
        <v>35</v>
      </c>
      <c r="AD6" s="512"/>
      <c r="AE6" s="512"/>
      <c r="AF6" s="512"/>
      <c r="AG6" s="512"/>
      <c r="AH6" s="524"/>
    </row>
    <row r="7" spans="1:34" ht="13.5">
      <c r="A7" s="529">
        <v>0</v>
      </c>
      <c r="B7" s="524">
        <v>0</v>
      </c>
      <c r="C7" s="524">
        <v>0</v>
      </c>
      <c r="D7" s="524">
        <v>0</v>
      </c>
      <c r="E7" s="524">
        <v>0</v>
      </c>
      <c r="F7" s="524">
        <v>0</v>
      </c>
      <c r="G7" s="524">
        <v>0</v>
      </c>
      <c r="H7" s="524">
        <v>0</v>
      </c>
      <c r="I7" s="524">
        <v>0</v>
      </c>
      <c r="J7" s="524">
        <v>0</v>
      </c>
      <c r="K7" s="524">
        <v>0</v>
      </c>
      <c r="L7" s="524">
        <v>0</v>
      </c>
      <c r="M7" s="524"/>
      <c r="N7" s="532" t="s">
        <v>47</v>
      </c>
      <c r="O7" s="512">
        <v>672598671</v>
      </c>
      <c r="P7" s="512" t="s">
        <v>48</v>
      </c>
      <c r="Q7" s="512" t="s">
        <v>38</v>
      </c>
      <c r="R7" s="512" t="s">
        <v>2</v>
      </c>
      <c r="S7" s="512" t="s">
        <v>49</v>
      </c>
      <c r="T7" s="512">
        <v>0</v>
      </c>
      <c r="U7" s="524"/>
      <c r="V7" s="524"/>
      <c r="W7" s="534" t="s">
        <v>47</v>
      </c>
      <c r="X7" s="512" t="s">
        <v>2</v>
      </c>
      <c r="Y7" s="512" t="s">
        <v>49</v>
      </c>
      <c r="Z7" s="512">
        <v>0</v>
      </c>
      <c r="AA7" s="512">
        <v>-104.8</v>
      </c>
      <c r="AB7" s="524" t="s">
        <v>34</v>
      </c>
      <c r="AC7" s="524" t="s">
        <v>35</v>
      </c>
      <c r="AD7" s="512"/>
      <c r="AE7" s="512"/>
      <c r="AF7" s="512"/>
      <c r="AG7" s="512"/>
      <c r="AH7" s="524"/>
    </row>
    <row r="8" spans="1:34" ht="13.5">
      <c r="A8" s="526" t="s">
        <v>21</v>
      </c>
      <c r="B8" s="526" t="s">
        <v>21</v>
      </c>
      <c r="C8" s="526" t="s">
        <v>21</v>
      </c>
      <c r="D8" s="526" t="s">
        <v>21</v>
      </c>
      <c r="E8" s="526" t="s">
        <v>21</v>
      </c>
      <c r="F8" s="526" t="s">
        <v>21</v>
      </c>
      <c r="G8" s="526" t="s">
        <v>21</v>
      </c>
      <c r="H8" s="526" t="s">
        <v>21</v>
      </c>
      <c r="I8" s="526" t="s">
        <v>21</v>
      </c>
      <c r="J8" s="526" t="s">
        <v>21</v>
      </c>
      <c r="K8" s="526" t="s">
        <v>21</v>
      </c>
      <c r="L8" s="526" t="s">
        <v>21</v>
      </c>
      <c r="M8" s="526" t="s">
        <v>21</v>
      </c>
      <c r="N8" s="528" t="s">
        <v>50</v>
      </c>
      <c r="O8" s="528" t="s">
        <v>21</v>
      </c>
      <c r="P8" s="528" t="s">
        <v>21</v>
      </c>
      <c r="Q8" s="528" t="s">
        <v>21</v>
      </c>
      <c r="R8" s="528" t="s">
        <v>2</v>
      </c>
      <c r="S8" s="512"/>
      <c r="T8" s="512">
        <v>5026928.03</v>
      </c>
      <c r="U8" s="530">
        <v>5026928.03</v>
      </c>
      <c r="V8" s="524"/>
      <c r="W8" s="512" t="s">
        <v>51</v>
      </c>
      <c r="X8" s="512" t="s">
        <v>2</v>
      </c>
      <c r="Y8" s="512"/>
      <c r="Z8" s="512">
        <v>5026928.03</v>
      </c>
      <c r="AA8" s="512">
        <v>5357666.3</v>
      </c>
      <c r="AB8" s="524" t="s">
        <v>34</v>
      </c>
      <c r="AC8" s="524" t="s">
        <v>35</v>
      </c>
      <c r="AD8" s="512"/>
      <c r="AE8" s="512"/>
      <c r="AF8" s="512"/>
      <c r="AG8" s="512"/>
      <c r="AH8" s="524"/>
    </row>
    <row r="9" spans="1:34" ht="13.5">
      <c r="A9" s="524">
        <v>0</v>
      </c>
      <c r="B9" s="531">
        <v>4286964</v>
      </c>
      <c r="C9" s="524">
        <v>0</v>
      </c>
      <c r="D9" s="524">
        <v>0</v>
      </c>
      <c r="E9" s="524">
        <v>0</v>
      </c>
      <c r="F9" s="524">
        <v>0</v>
      </c>
      <c r="G9" s="524">
        <v>0</v>
      </c>
      <c r="H9" s="524">
        <v>0</v>
      </c>
      <c r="I9" s="524">
        <v>0</v>
      </c>
      <c r="J9" s="524">
        <v>0</v>
      </c>
      <c r="K9" s="524">
        <v>0</v>
      </c>
      <c r="L9" s="524">
        <v>0</v>
      </c>
      <c r="M9" s="524"/>
      <c r="N9" s="532" t="s">
        <v>52</v>
      </c>
      <c r="O9" s="512">
        <v>20114079</v>
      </c>
      <c r="P9" s="512" t="s">
        <v>53</v>
      </c>
      <c r="Q9" s="512" t="s">
        <v>38</v>
      </c>
      <c r="R9" s="512" t="s">
        <v>4</v>
      </c>
      <c r="S9" s="533">
        <v>45832</v>
      </c>
      <c r="T9" s="512">
        <v>4286964.22</v>
      </c>
      <c r="U9" s="524"/>
      <c r="V9" s="524"/>
      <c r="W9" s="512" t="s">
        <v>54</v>
      </c>
      <c r="X9" s="512" t="s">
        <v>4</v>
      </c>
      <c r="Y9" s="533">
        <v>45832</v>
      </c>
      <c r="Z9" s="512">
        <v>4286964.22</v>
      </c>
      <c r="AA9" s="512">
        <v>4581876.2</v>
      </c>
      <c r="AB9" s="524" t="s">
        <v>40</v>
      </c>
      <c r="AC9" s="524" t="s">
        <v>35</v>
      </c>
      <c r="AD9" s="512"/>
      <c r="AE9" s="512"/>
      <c r="AF9" s="512"/>
      <c r="AG9" s="512"/>
      <c r="AH9" s="524"/>
    </row>
    <row r="10" spans="1:34" ht="13.5">
      <c r="A10" s="524">
        <v>0</v>
      </c>
      <c r="B10" s="529">
        <v>0</v>
      </c>
      <c r="C10" s="524">
        <v>0</v>
      </c>
      <c r="D10" s="524">
        <v>0</v>
      </c>
      <c r="E10" s="524">
        <v>0</v>
      </c>
      <c r="F10" s="524">
        <v>0</v>
      </c>
      <c r="G10" s="524">
        <v>0</v>
      </c>
      <c r="H10" s="524">
        <v>0</v>
      </c>
      <c r="I10" s="524">
        <v>0</v>
      </c>
      <c r="J10" s="524">
        <v>0</v>
      </c>
      <c r="K10" s="524">
        <v>0</v>
      </c>
      <c r="L10" s="524">
        <v>0</v>
      </c>
      <c r="M10" s="524"/>
      <c r="N10" s="535" t="s">
        <v>55</v>
      </c>
      <c r="O10" s="513">
        <v>20013663</v>
      </c>
      <c r="P10" s="513" t="s">
        <v>56</v>
      </c>
      <c r="Q10" s="513" t="s">
        <v>38</v>
      </c>
      <c r="R10" s="512" t="s">
        <v>4</v>
      </c>
      <c r="S10" s="512" t="s">
        <v>57</v>
      </c>
      <c r="T10" s="512">
        <v>0</v>
      </c>
      <c r="U10" s="524"/>
      <c r="V10" s="524"/>
      <c r="W10" s="534" t="s">
        <v>55</v>
      </c>
      <c r="X10" s="512" t="s">
        <v>4</v>
      </c>
      <c r="Y10" s="512" t="s">
        <v>57</v>
      </c>
      <c r="Z10" s="512">
        <v>0</v>
      </c>
      <c r="AA10" s="512">
        <v>0</v>
      </c>
      <c r="AB10" s="524" t="s">
        <v>34</v>
      </c>
      <c r="AC10" s="524" t="s">
        <v>35</v>
      </c>
      <c r="AD10" s="512"/>
      <c r="AE10" s="512"/>
      <c r="AF10" s="512"/>
      <c r="AG10" s="512"/>
      <c r="AH10" s="524"/>
    </row>
    <row r="11" spans="1:34" ht="13.5">
      <c r="A11" s="526" t="s">
        <v>21</v>
      </c>
      <c r="B11" s="526" t="s">
        <v>21</v>
      </c>
      <c r="C11" s="526" t="s">
        <v>21</v>
      </c>
      <c r="D11" s="526" t="s">
        <v>21</v>
      </c>
      <c r="E11" s="526" t="s">
        <v>21</v>
      </c>
      <c r="F11" s="526" t="s">
        <v>21</v>
      </c>
      <c r="G11" s="526" t="s">
        <v>21</v>
      </c>
      <c r="H11" s="526" t="s">
        <v>21</v>
      </c>
      <c r="I11" s="526" t="s">
        <v>21</v>
      </c>
      <c r="J11" s="526" t="s">
        <v>21</v>
      </c>
      <c r="K11" s="526" t="s">
        <v>21</v>
      </c>
      <c r="L11" s="526" t="s">
        <v>21</v>
      </c>
      <c r="M11" s="526" t="s">
        <v>21</v>
      </c>
      <c r="N11" s="528" t="s">
        <v>58</v>
      </c>
      <c r="O11" s="528" t="s">
        <v>21</v>
      </c>
      <c r="P11" s="528" t="s">
        <v>21</v>
      </c>
      <c r="Q11" s="528" t="s">
        <v>21</v>
      </c>
      <c r="R11" s="528" t="s">
        <v>2</v>
      </c>
      <c r="S11" s="512"/>
      <c r="T11" s="512">
        <v>519176.42</v>
      </c>
      <c r="U11" s="530">
        <v>519176.42</v>
      </c>
      <c r="V11" s="524"/>
      <c r="W11" s="512" t="s">
        <v>59</v>
      </c>
      <c r="X11" s="512" t="s">
        <v>2</v>
      </c>
      <c r="Y11" s="512"/>
      <c r="Z11" s="512">
        <v>519176.42</v>
      </c>
      <c r="AA11" s="512">
        <v>-163878.70000000001</v>
      </c>
      <c r="AB11" s="524" t="s">
        <v>34</v>
      </c>
      <c r="AC11" s="524" t="s">
        <v>35</v>
      </c>
      <c r="AD11" s="512"/>
      <c r="AE11" s="512"/>
      <c r="AF11" s="512"/>
      <c r="AG11" s="512"/>
      <c r="AH11" s="524"/>
    </row>
    <row r="12" spans="1:34" ht="13.5">
      <c r="A12" s="524">
        <v>0</v>
      </c>
      <c r="B12" s="524">
        <v>0</v>
      </c>
      <c r="C12" s="531">
        <v>602660</v>
      </c>
      <c r="D12" s="524">
        <v>0</v>
      </c>
      <c r="E12" s="524">
        <v>0</v>
      </c>
      <c r="F12" s="524">
        <v>0</v>
      </c>
      <c r="G12" s="524">
        <v>0</v>
      </c>
      <c r="H12" s="524">
        <v>0</v>
      </c>
      <c r="I12" s="524">
        <v>0</v>
      </c>
      <c r="J12" s="524">
        <v>0</v>
      </c>
      <c r="K12" s="524">
        <v>0</v>
      </c>
      <c r="L12" s="524">
        <v>0</v>
      </c>
      <c r="M12" s="524"/>
      <c r="N12" s="532" t="s">
        <v>60</v>
      </c>
      <c r="O12" s="512">
        <v>20114060</v>
      </c>
      <c r="P12" s="512" t="s">
        <v>61</v>
      </c>
      <c r="Q12" s="512" t="s">
        <v>38</v>
      </c>
      <c r="R12" s="512" t="s">
        <v>5</v>
      </c>
      <c r="S12" s="533">
        <v>45832</v>
      </c>
      <c r="T12" s="512">
        <v>602659.99</v>
      </c>
      <c r="U12" s="524"/>
      <c r="V12" s="524"/>
      <c r="W12" s="512" t="s">
        <v>62</v>
      </c>
      <c r="X12" s="512" t="s">
        <v>5</v>
      </c>
      <c r="Y12" s="533">
        <v>45832</v>
      </c>
      <c r="Z12" s="512">
        <v>602659.99</v>
      </c>
      <c r="AA12" s="512">
        <v>-178488.5</v>
      </c>
      <c r="AB12" s="524" t="s">
        <v>40</v>
      </c>
      <c r="AC12" s="524" t="s">
        <v>35</v>
      </c>
      <c r="AD12" s="512"/>
      <c r="AE12" s="512"/>
      <c r="AF12" s="512"/>
      <c r="AG12" s="512"/>
      <c r="AH12" s="524"/>
    </row>
    <row r="13" spans="1:34" ht="13.5">
      <c r="A13" s="524">
        <v>0</v>
      </c>
      <c r="B13" s="524">
        <v>0</v>
      </c>
      <c r="C13" s="529">
        <v>0</v>
      </c>
      <c r="D13" s="524">
        <v>0</v>
      </c>
      <c r="E13" s="524">
        <v>0</v>
      </c>
      <c r="F13" s="524">
        <v>0</v>
      </c>
      <c r="G13" s="524">
        <v>0</v>
      </c>
      <c r="H13" s="524">
        <v>0</v>
      </c>
      <c r="I13" s="524">
        <v>0</v>
      </c>
      <c r="J13" s="524">
        <v>0</v>
      </c>
      <c r="K13" s="524">
        <v>0</v>
      </c>
      <c r="L13" s="524">
        <v>0</v>
      </c>
      <c r="M13" s="524"/>
      <c r="N13" s="532" t="s">
        <v>63</v>
      </c>
      <c r="O13" s="512">
        <v>20012586</v>
      </c>
      <c r="P13" s="512" t="s">
        <v>64</v>
      </c>
      <c r="Q13" s="512" t="s">
        <v>38</v>
      </c>
      <c r="R13" s="512" t="s">
        <v>5</v>
      </c>
      <c r="S13" s="512" t="s">
        <v>57</v>
      </c>
      <c r="T13" s="512">
        <v>0</v>
      </c>
      <c r="U13" s="524"/>
      <c r="V13" s="524"/>
      <c r="W13" s="534" t="s">
        <v>63</v>
      </c>
      <c r="X13" s="512" t="s">
        <v>5</v>
      </c>
      <c r="Y13" s="512" t="s">
        <v>57</v>
      </c>
      <c r="Z13" s="512">
        <v>0</v>
      </c>
      <c r="AA13" s="512">
        <v>0</v>
      </c>
      <c r="AB13" s="524" t="s">
        <v>34</v>
      </c>
      <c r="AC13" s="524" t="s">
        <v>35</v>
      </c>
      <c r="AD13" s="512"/>
      <c r="AE13" s="512"/>
      <c r="AF13" s="512"/>
      <c r="AG13" s="512"/>
      <c r="AH13" s="524"/>
    </row>
    <row r="14" spans="1:34" ht="13.5">
      <c r="A14" s="526" t="s">
        <v>21</v>
      </c>
      <c r="B14" s="526" t="s">
        <v>21</v>
      </c>
      <c r="C14" s="526" t="s">
        <v>21</v>
      </c>
      <c r="D14" s="526" t="s">
        <v>21</v>
      </c>
      <c r="E14" s="526" t="s">
        <v>21</v>
      </c>
      <c r="F14" s="526" t="s">
        <v>21</v>
      </c>
      <c r="G14" s="526" t="s">
        <v>21</v>
      </c>
      <c r="H14" s="526" t="s">
        <v>21</v>
      </c>
      <c r="I14" s="526" t="s">
        <v>21</v>
      </c>
      <c r="J14" s="526" t="s">
        <v>21</v>
      </c>
      <c r="K14" s="526" t="s">
        <v>21</v>
      </c>
      <c r="L14" s="526" t="s">
        <v>21</v>
      </c>
      <c r="M14" s="526" t="s">
        <v>21</v>
      </c>
      <c r="N14" s="528" t="s">
        <v>65</v>
      </c>
      <c r="O14" s="528" t="s">
        <v>21</v>
      </c>
      <c r="P14" s="528" t="s">
        <v>21</v>
      </c>
      <c r="Q14" s="528" t="s">
        <v>21</v>
      </c>
      <c r="R14" s="528" t="s">
        <v>2</v>
      </c>
      <c r="S14" s="512"/>
      <c r="T14" s="512">
        <v>31348.6</v>
      </c>
      <c r="U14" s="530">
        <v>31348.6</v>
      </c>
      <c r="V14" s="524"/>
      <c r="W14" s="512" t="s">
        <v>66</v>
      </c>
      <c r="X14" s="512" t="s">
        <v>2</v>
      </c>
      <c r="Y14" s="512"/>
      <c r="Z14" s="512">
        <v>31348.6</v>
      </c>
      <c r="AA14" s="512">
        <v>607545.88</v>
      </c>
      <c r="AB14" s="524" t="s">
        <v>34</v>
      </c>
      <c r="AC14" s="524" t="s">
        <v>35</v>
      </c>
      <c r="AD14" s="512"/>
      <c r="AE14" s="512"/>
      <c r="AF14" s="512"/>
      <c r="AG14" s="512"/>
      <c r="AH14" s="524"/>
    </row>
    <row r="15" spans="1:34" ht="13.5">
      <c r="A15" s="524">
        <v>0</v>
      </c>
      <c r="B15" s="524">
        <v>0</v>
      </c>
      <c r="C15" s="524">
        <v>0</v>
      </c>
      <c r="D15" s="531">
        <v>49909</v>
      </c>
      <c r="E15" s="524">
        <v>0</v>
      </c>
      <c r="F15" s="524">
        <v>0</v>
      </c>
      <c r="G15" s="524">
        <v>0</v>
      </c>
      <c r="H15" s="524">
        <v>0</v>
      </c>
      <c r="I15" s="524">
        <v>0</v>
      </c>
      <c r="J15" s="524">
        <v>0</v>
      </c>
      <c r="K15" s="524">
        <v>0</v>
      </c>
      <c r="L15" s="524">
        <v>0</v>
      </c>
      <c r="M15" s="524"/>
      <c r="N15" s="532" t="s">
        <v>67</v>
      </c>
      <c r="O15" s="512">
        <v>20118937</v>
      </c>
      <c r="P15" s="512" t="s">
        <v>68</v>
      </c>
      <c r="Q15" s="512" t="s">
        <v>38</v>
      </c>
      <c r="R15" s="512" t="s">
        <v>14</v>
      </c>
      <c r="S15" s="533">
        <v>45832</v>
      </c>
      <c r="T15" s="512">
        <v>49908.54</v>
      </c>
      <c r="U15" s="524"/>
      <c r="V15" s="524"/>
      <c r="W15" s="512" t="s">
        <v>69</v>
      </c>
      <c r="X15" s="512" t="s">
        <v>14</v>
      </c>
      <c r="Y15" s="533">
        <v>45832</v>
      </c>
      <c r="Z15" s="512">
        <v>49908.54</v>
      </c>
      <c r="AA15" s="512">
        <v>895522.63</v>
      </c>
      <c r="AB15" s="524" t="s">
        <v>40</v>
      </c>
      <c r="AC15" s="524" t="s">
        <v>35</v>
      </c>
      <c r="AD15" s="512"/>
      <c r="AE15" s="512"/>
      <c r="AF15" s="512"/>
      <c r="AG15" s="512"/>
      <c r="AH15" s="524"/>
    </row>
    <row r="16" spans="1:34" ht="13.5">
      <c r="A16" s="526" t="s">
        <v>21</v>
      </c>
      <c r="B16" s="526" t="s">
        <v>21</v>
      </c>
      <c r="C16" s="526" t="s">
        <v>21</v>
      </c>
      <c r="D16" s="526" t="s">
        <v>21</v>
      </c>
      <c r="E16" s="526" t="s">
        <v>21</v>
      </c>
      <c r="F16" s="526" t="s">
        <v>21</v>
      </c>
      <c r="G16" s="526" t="s">
        <v>21</v>
      </c>
      <c r="H16" s="526" t="s">
        <v>21</v>
      </c>
      <c r="I16" s="526" t="s">
        <v>21</v>
      </c>
      <c r="J16" s="526" t="s">
        <v>21</v>
      </c>
      <c r="K16" s="526" t="s">
        <v>21</v>
      </c>
      <c r="L16" s="526" t="s">
        <v>21</v>
      </c>
      <c r="M16" s="526" t="s">
        <v>21</v>
      </c>
      <c r="N16" s="528" t="s">
        <v>70</v>
      </c>
      <c r="O16" s="528" t="s">
        <v>21</v>
      </c>
      <c r="P16" s="528" t="s">
        <v>21</v>
      </c>
      <c r="Q16" s="528" t="s">
        <v>21</v>
      </c>
      <c r="R16" s="528" t="s">
        <v>2</v>
      </c>
      <c r="S16" s="512"/>
      <c r="T16" s="512">
        <v>4321.0600000000004</v>
      </c>
      <c r="U16" s="530">
        <v>4321.0600000000004</v>
      </c>
      <c r="V16" s="524"/>
      <c r="W16" s="512" t="s">
        <v>71</v>
      </c>
      <c r="X16" s="512" t="s">
        <v>2</v>
      </c>
      <c r="Y16" s="512"/>
      <c r="Z16" s="512">
        <v>4321.0600000000004</v>
      </c>
      <c r="AA16" s="512">
        <v>159356.49</v>
      </c>
      <c r="AB16" s="524" t="s">
        <v>34</v>
      </c>
      <c r="AC16" s="524" t="s">
        <v>35</v>
      </c>
      <c r="AD16" s="512"/>
      <c r="AE16" s="512"/>
      <c r="AF16" s="512"/>
      <c r="AG16" s="512"/>
      <c r="AH16" s="524"/>
    </row>
    <row r="17" spans="1:34" ht="13.5">
      <c r="A17" s="524">
        <v>0</v>
      </c>
      <c r="B17" s="524">
        <v>0</v>
      </c>
      <c r="C17" s="524">
        <v>0</v>
      </c>
      <c r="D17" s="524">
        <v>0</v>
      </c>
      <c r="E17" s="531">
        <v>47808</v>
      </c>
      <c r="F17" s="524">
        <v>0</v>
      </c>
      <c r="G17" s="524">
        <v>0</v>
      </c>
      <c r="H17" s="524">
        <v>0</v>
      </c>
      <c r="I17" s="524">
        <v>0</v>
      </c>
      <c r="J17" s="524">
        <v>0</v>
      </c>
      <c r="K17" s="524">
        <v>0</v>
      </c>
      <c r="L17" s="524">
        <v>0</v>
      </c>
      <c r="M17" s="524">
        <v>0</v>
      </c>
      <c r="N17" s="532" t="s">
        <v>72</v>
      </c>
      <c r="O17" s="512">
        <v>20118988</v>
      </c>
      <c r="P17" s="512" t="s">
        <v>73</v>
      </c>
      <c r="Q17" s="512" t="s">
        <v>38</v>
      </c>
      <c r="R17" s="512" t="s">
        <v>6</v>
      </c>
      <c r="S17" s="533">
        <v>45832</v>
      </c>
      <c r="T17" s="512">
        <v>47808.23</v>
      </c>
      <c r="U17" s="524"/>
      <c r="V17" s="524"/>
      <c r="W17" s="512" t="s">
        <v>74</v>
      </c>
      <c r="X17" s="512" t="s">
        <v>6</v>
      </c>
      <c r="Y17" s="533">
        <v>45832</v>
      </c>
      <c r="Z17" s="512">
        <v>47808.23</v>
      </c>
      <c r="AA17" s="512">
        <v>1803198.3</v>
      </c>
      <c r="AB17" s="524" t="s">
        <v>40</v>
      </c>
      <c r="AC17" s="524" t="s">
        <v>35</v>
      </c>
      <c r="AD17" s="512"/>
      <c r="AE17" s="512"/>
      <c r="AF17" s="512"/>
      <c r="AG17" s="512"/>
      <c r="AH17" s="524"/>
    </row>
    <row r="18" spans="1:34" ht="13.5">
      <c r="A18" s="526" t="s">
        <v>21</v>
      </c>
      <c r="B18" s="526" t="s">
        <v>21</v>
      </c>
      <c r="C18" s="526" t="s">
        <v>21</v>
      </c>
      <c r="D18" s="526" t="s">
        <v>21</v>
      </c>
      <c r="E18" s="526" t="s">
        <v>21</v>
      </c>
      <c r="F18" s="526" t="s">
        <v>21</v>
      </c>
      <c r="G18" s="526" t="s">
        <v>21</v>
      </c>
      <c r="H18" s="526" t="s">
        <v>21</v>
      </c>
      <c r="I18" s="526" t="s">
        <v>21</v>
      </c>
      <c r="J18" s="526" t="s">
        <v>21</v>
      </c>
      <c r="K18" s="526" t="s">
        <v>21</v>
      </c>
      <c r="L18" s="526" t="s">
        <v>21</v>
      </c>
      <c r="M18" s="526" t="s">
        <v>21</v>
      </c>
      <c r="N18" s="528" t="s">
        <v>75</v>
      </c>
      <c r="O18" s="528" t="s">
        <v>21</v>
      </c>
      <c r="P18" s="528" t="s">
        <v>21</v>
      </c>
      <c r="Q18" s="528" t="s">
        <v>21</v>
      </c>
      <c r="R18" s="528" t="s">
        <v>2</v>
      </c>
      <c r="S18" s="512"/>
      <c r="T18" s="512">
        <v>39862.99</v>
      </c>
      <c r="U18" s="530">
        <v>39862.99</v>
      </c>
      <c r="V18" s="524"/>
      <c r="W18" s="512" t="s">
        <v>76</v>
      </c>
      <c r="X18" s="512" t="s">
        <v>2</v>
      </c>
      <c r="Y18" s="512"/>
      <c r="Z18" s="512">
        <v>39862.99</v>
      </c>
      <c r="AA18" s="512">
        <v>14998.54</v>
      </c>
      <c r="AB18" s="524" t="s">
        <v>34</v>
      </c>
      <c r="AC18" s="524" t="s">
        <v>35</v>
      </c>
      <c r="AD18" s="512"/>
      <c r="AE18" s="512"/>
      <c r="AF18" s="512"/>
      <c r="AG18" s="512"/>
      <c r="AH18" s="524"/>
    </row>
    <row r="19" spans="1:34" ht="13.5">
      <c r="A19" s="524">
        <v>0</v>
      </c>
      <c r="B19" s="524">
        <v>0</v>
      </c>
      <c r="C19" s="524">
        <v>0</v>
      </c>
      <c r="D19" s="524">
        <v>0</v>
      </c>
      <c r="E19" s="524">
        <v>0</v>
      </c>
      <c r="F19" s="531">
        <v>169687</v>
      </c>
      <c r="G19" s="524">
        <v>0</v>
      </c>
      <c r="H19" s="524">
        <v>0</v>
      </c>
      <c r="I19" s="524">
        <v>0</v>
      </c>
      <c r="J19" s="524">
        <v>0</v>
      </c>
      <c r="K19" s="524">
        <v>0</v>
      </c>
      <c r="L19" s="524">
        <v>0</v>
      </c>
      <c r="M19" s="524">
        <v>0</v>
      </c>
      <c r="N19" s="532" t="s">
        <v>77</v>
      </c>
      <c r="O19" s="512">
        <v>20035608</v>
      </c>
      <c r="P19" s="512" t="s">
        <v>78</v>
      </c>
      <c r="Q19" s="512" t="s">
        <v>38</v>
      </c>
      <c r="R19" s="512" t="s">
        <v>15</v>
      </c>
      <c r="S19" s="533">
        <v>45832</v>
      </c>
      <c r="T19" s="512">
        <v>169686.78</v>
      </c>
      <c r="U19" s="524"/>
      <c r="V19" s="524"/>
      <c r="W19" s="512" t="s">
        <v>79</v>
      </c>
      <c r="X19" s="512" t="s">
        <v>15</v>
      </c>
      <c r="Y19" s="533">
        <v>45832</v>
      </c>
      <c r="Z19" s="512">
        <v>169686.78</v>
      </c>
      <c r="AA19" s="512">
        <v>64669.96</v>
      </c>
      <c r="AB19" s="524" t="s">
        <v>40</v>
      </c>
      <c r="AC19" s="524" t="s">
        <v>35</v>
      </c>
      <c r="AD19" s="512"/>
      <c r="AE19" s="512"/>
      <c r="AF19" s="512"/>
      <c r="AG19" s="512"/>
      <c r="AH19" s="524"/>
    </row>
    <row r="20" spans="1:34" ht="13.5">
      <c r="A20" s="526" t="s">
        <v>21</v>
      </c>
      <c r="B20" s="526" t="s">
        <v>21</v>
      </c>
      <c r="C20" s="526" t="s">
        <v>21</v>
      </c>
      <c r="D20" s="526" t="s">
        <v>21</v>
      </c>
      <c r="E20" s="526" t="s">
        <v>21</v>
      </c>
      <c r="F20" s="526" t="s">
        <v>21</v>
      </c>
      <c r="G20" s="526" t="s">
        <v>21</v>
      </c>
      <c r="H20" s="526" t="s">
        <v>21</v>
      </c>
      <c r="I20" s="526" t="s">
        <v>21</v>
      </c>
      <c r="J20" s="526" t="s">
        <v>21</v>
      </c>
      <c r="K20" s="526" t="s">
        <v>21</v>
      </c>
      <c r="L20" s="526" t="s">
        <v>21</v>
      </c>
      <c r="M20" s="526" t="s">
        <v>21</v>
      </c>
      <c r="N20" s="528" t="s">
        <v>80</v>
      </c>
      <c r="O20" s="528" t="s">
        <v>21</v>
      </c>
      <c r="P20" s="528" t="s">
        <v>21</v>
      </c>
      <c r="Q20" s="528" t="s">
        <v>21</v>
      </c>
      <c r="R20" s="528" t="s">
        <v>2</v>
      </c>
      <c r="S20" s="512"/>
      <c r="T20" s="512">
        <v>369255.9</v>
      </c>
      <c r="U20" s="530">
        <v>369255.9</v>
      </c>
      <c r="V20" s="524"/>
      <c r="W20" s="512" t="s">
        <v>81</v>
      </c>
      <c r="X20" s="512" t="s">
        <v>2</v>
      </c>
      <c r="Y20" s="512"/>
      <c r="Z20" s="512">
        <v>369255.9</v>
      </c>
      <c r="AA20" s="512">
        <v>676.6</v>
      </c>
      <c r="AB20" s="524" t="s">
        <v>34</v>
      </c>
      <c r="AC20" s="524" t="s">
        <v>35</v>
      </c>
      <c r="AD20" s="512"/>
      <c r="AE20" s="512"/>
      <c r="AF20" s="512"/>
      <c r="AG20" s="512"/>
      <c r="AH20" s="524"/>
    </row>
    <row r="21" spans="1:34" ht="13.5">
      <c r="A21" s="524">
        <v>0</v>
      </c>
      <c r="B21" s="524">
        <v>0</v>
      </c>
      <c r="C21" s="524">
        <v>0</v>
      </c>
      <c r="D21" s="524">
        <v>0</v>
      </c>
      <c r="E21" s="524">
        <v>0</v>
      </c>
      <c r="F21" s="524">
        <v>0</v>
      </c>
      <c r="G21" s="531">
        <v>548622</v>
      </c>
      <c r="H21" s="524">
        <v>0</v>
      </c>
      <c r="I21" s="524">
        <v>0</v>
      </c>
      <c r="J21" s="524">
        <v>0</v>
      </c>
      <c r="K21" s="524">
        <v>0</v>
      </c>
      <c r="L21" s="524">
        <v>0</v>
      </c>
      <c r="M21" s="524">
        <v>0</v>
      </c>
      <c r="N21" s="532" t="s">
        <v>82</v>
      </c>
      <c r="O21" s="512">
        <v>20157037</v>
      </c>
      <c r="P21" s="512" t="s">
        <v>83</v>
      </c>
      <c r="Q21" s="512" t="s">
        <v>38</v>
      </c>
      <c r="R21" s="512" t="s">
        <v>16</v>
      </c>
      <c r="S21" s="533">
        <v>45832</v>
      </c>
      <c r="T21" s="512">
        <v>548621.96</v>
      </c>
      <c r="U21" s="524"/>
      <c r="V21" s="524"/>
      <c r="W21" s="512" t="s">
        <v>84</v>
      </c>
      <c r="X21" s="512" t="s">
        <v>16</v>
      </c>
      <c r="Y21" s="533">
        <v>45832</v>
      </c>
      <c r="Z21" s="512">
        <v>548621.96</v>
      </c>
      <c r="AA21" s="512">
        <v>986.04</v>
      </c>
      <c r="AB21" s="524" t="s">
        <v>40</v>
      </c>
      <c r="AC21" s="524" t="s">
        <v>35</v>
      </c>
      <c r="AD21" s="512"/>
      <c r="AE21" s="512"/>
      <c r="AF21" s="512"/>
      <c r="AG21" s="512"/>
      <c r="AH21" s="524"/>
    </row>
    <row r="22" spans="1:34" ht="13.5">
      <c r="A22" s="526" t="s">
        <v>21</v>
      </c>
      <c r="B22" s="526" t="s">
        <v>21</v>
      </c>
      <c r="C22" s="526" t="s">
        <v>21</v>
      </c>
      <c r="D22" s="526" t="s">
        <v>21</v>
      </c>
      <c r="E22" s="526" t="s">
        <v>21</v>
      </c>
      <c r="F22" s="526" t="s">
        <v>21</v>
      </c>
      <c r="G22" s="526" t="s">
        <v>21</v>
      </c>
      <c r="H22" s="526" t="s">
        <v>21</v>
      </c>
      <c r="I22" s="526" t="s">
        <v>21</v>
      </c>
      <c r="J22" s="526" t="s">
        <v>21</v>
      </c>
      <c r="K22" s="526" t="s">
        <v>21</v>
      </c>
      <c r="L22" s="526" t="s">
        <v>21</v>
      </c>
      <c r="M22" s="526" t="s">
        <v>21</v>
      </c>
      <c r="N22" s="528" t="s">
        <v>85</v>
      </c>
      <c r="O22" s="528" t="s">
        <v>21</v>
      </c>
      <c r="P22" s="528" t="s">
        <v>21</v>
      </c>
      <c r="Q22" s="528" t="s">
        <v>21</v>
      </c>
      <c r="R22" s="528" t="s">
        <v>2</v>
      </c>
      <c r="S22" s="512"/>
      <c r="T22" s="512">
        <v>0</v>
      </c>
      <c r="U22" s="529" t="s">
        <v>86</v>
      </c>
      <c r="V22" s="524"/>
      <c r="W22" s="534" t="s">
        <v>87</v>
      </c>
      <c r="X22" s="512" t="s">
        <v>2</v>
      </c>
      <c r="Y22" s="512"/>
      <c r="Z22" s="512">
        <v>0</v>
      </c>
      <c r="AA22" s="512">
        <v>116.21</v>
      </c>
      <c r="AB22" s="524" t="s">
        <v>34</v>
      </c>
      <c r="AC22" s="524" t="s">
        <v>35</v>
      </c>
      <c r="AD22" s="512"/>
      <c r="AE22" s="512"/>
      <c r="AF22" s="512"/>
      <c r="AG22" s="512"/>
      <c r="AH22" s="524"/>
    </row>
    <row r="23" spans="1:34" ht="13.5">
      <c r="A23" s="524">
        <v>0</v>
      </c>
      <c r="B23" s="524">
        <v>0</v>
      </c>
      <c r="C23" s="524">
        <v>0</v>
      </c>
      <c r="D23" s="524">
        <v>0</v>
      </c>
      <c r="E23" s="524">
        <v>0</v>
      </c>
      <c r="F23" s="524">
        <v>0</v>
      </c>
      <c r="G23" s="524">
        <v>0</v>
      </c>
      <c r="H23" s="529">
        <v>0</v>
      </c>
      <c r="I23" s="524">
        <v>0</v>
      </c>
      <c r="J23" s="524">
        <v>0</v>
      </c>
      <c r="K23" s="524">
        <v>0</v>
      </c>
      <c r="L23" s="524">
        <v>0</v>
      </c>
      <c r="M23" s="524">
        <v>0</v>
      </c>
      <c r="N23" s="532" t="s">
        <v>88</v>
      </c>
      <c r="O23" s="512">
        <v>20157045</v>
      </c>
      <c r="P23" s="512" t="s">
        <v>89</v>
      </c>
      <c r="Q23" s="512" t="s">
        <v>38</v>
      </c>
      <c r="R23" s="512" t="s">
        <v>17</v>
      </c>
      <c r="S23" s="512" t="s">
        <v>90</v>
      </c>
      <c r="T23" s="512">
        <v>0</v>
      </c>
      <c r="U23" s="524"/>
      <c r="V23" s="524"/>
      <c r="W23" s="534" t="s">
        <v>88</v>
      </c>
      <c r="X23" s="512" t="s">
        <v>17</v>
      </c>
      <c r="Y23" s="512" t="s">
        <v>90</v>
      </c>
      <c r="Z23" s="512">
        <v>0</v>
      </c>
      <c r="AA23" s="512">
        <v>45898.2</v>
      </c>
      <c r="AB23" s="524" t="s">
        <v>34</v>
      </c>
      <c r="AC23" s="524" t="s">
        <v>35</v>
      </c>
      <c r="AD23" s="512"/>
      <c r="AE23" s="512"/>
      <c r="AF23" s="512"/>
      <c r="AG23" s="512"/>
      <c r="AH23" s="524"/>
    </row>
    <row r="24" spans="1:34" ht="13.5">
      <c r="A24" s="526" t="s">
        <v>21</v>
      </c>
      <c r="B24" s="526" t="s">
        <v>21</v>
      </c>
      <c r="C24" s="526" t="s">
        <v>21</v>
      </c>
      <c r="D24" s="526" t="s">
        <v>21</v>
      </c>
      <c r="E24" s="526" t="s">
        <v>21</v>
      </c>
      <c r="F24" s="526" t="s">
        <v>21</v>
      </c>
      <c r="G24" s="526" t="s">
        <v>21</v>
      </c>
      <c r="H24" s="526" t="s">
        <v>21</v>
      </c>
      <c r="I24" s="526" t="s">
        <v>21</v>
      </c>
      <c r="J24" s="526" t="s">
        <v>21</v>
      </c>
      <c r="K24" s="526" t="s">
        <v>21</v>
      </c>
      <c r="L24" s="526" t="s">
        <v>21</v>
      </c>
      <c r="M24" s="526" t="s">
        <v>21</v>
      </c>
      <c r="N24" s="528" t="s">
        <v>91</v>
      </c>
      <c r="O24" s="528" t="s">
        <v>21</v>
      </c>
      <c r="P24" s="528" t="s">
        <v>21</v>
      </c>
      <c r="Q24" s="528" t="s">
        <v>21</v>
      </c>
      <c r="R24" s="528" t="s">
        <v>2</v>
      </c>
      <c r="S24" s="512"/>
      <c r="T24" s="512">
        <v>1789.18</v>
      </c>
      <c r="U24" s="530">
        <v>1789.18</v>
      </c>
      <c r="V24" s="524"/>
      <c r="W24" s="512" t="s">
        <v>92</v>
      </c>
      <c r="X24" s="512" t="s">
        <v>2</v>
      </c>
      <c r="Y24" s="512"/>
      <c r="Z24" s="512">
        <v>1789.18</v>
      </c>
      <c r="AA24" s="512">
        <v>488403.87</v>
      </c>
      <c r="AB24" s="524" t="s">
        <v>34</v>
      </c>
      <c r="AC24" s="524" t="s">
        <v>35</v>
      </c>
      <c r="AD24" s="512"/>
      <c r="AE24" s="512"/>
      <c r="AF24" s="512"/>
      <c r="AG24" s="512"/>
      <c r="AH24" s="524"/>
    </row>
    <row r="25" spans="1:34" ht="13.5">
      <c r="A25" s="524">
        <v>0</v>
      </c>
      <c r="B25" s="524">
        <v>0</v>
      </c>
      <c r="C25" s="524">
        <v>0</v>
      </c>
      <c r="D25" s="524">
        <v>0</v>
      </c>
      <c r="E25" s="524">
        <v>0</v>
      </c>
      <c r="F25" s="524">
        <v>0</v>
      </c>
      <c r="G25" s="524">
        <v>0</v>
      </c>
      <c r="H25" s="524">
        <v>0</v>
      </c>
      <c r="I25" s="531">
        <v>3191</v>
      </c>
      <c r="J25" s="524">
        <v>0</v>
      </c>
      <c r="K25" s="524">
        <v>0</v>
      </c>
      <c r="L25" s="524">
        <v>0</v>
      </c>
      <c r="M25" s="524">
        <v>0</v>
      </c>
      <c r="N25" s="532" t="s">
        <v>93</v>
      </c>
      <c r="O25" s="512">
        <v>20095953</v>
      </c>
      <c r="P25" s="512" t="s">
        <v>94</v>
      </c>
      <c r="Q25" s="512" t="s">
        <v>38</v>
      </c>
      <c r="R25" s="512" t="s">
        <v>7</v>
      </c>
      <c r="S25" s="533">
        <v>45832</v>
      </c>
      <c r="T25" s="512">
        <v>3191</v>
      </c>
      <c r="U25" s="524"/>
      <c r="V25" s="524"/>
      <c r="W25" s="512" t="s">
        <v>95</v>
      </c>
      <c r="X25" s="512" t="s">
        <v>7</v>
      </c>
      <c r="Y25" s="533">
        <v>45832</v>
      </c>
      <c r="Z25" s="512">
        <v>3191</v>
      </c>
      <c r="AA25" s="512">
        <v>809822.45</v>
      </c>
      <c r="AB25" s="524" t="s">
        <v>40</v>
      </c>
      <c r="AC25" s="524" t="s">
        <v>35</v>
      </c>
      <c r="AD25" s="512"/>
      <c r="AE25" s="512"/>
      <c r="AF25" s="512"/>
      <c r="AG25" s="512"/>
      <c r="AH25" s="524"/>
    </row>
    <row r="26" spans="1:34" ht="13.5">
      <c r="A26" s="526" t="s">
        <v>21</v>
      </c>
      <c r="B26" s="526" t="s">
        <v>21</v>
      </c>
      <c r="C26" s="526" t="s">
        <v>21</v>
      </c>
      <c r="D26" s="526" t="s">
        <v>21</v>
      </c>
      <c r="E26" s="526" t="s">
        <v>21</v>
      </c>
      <c r="F26" s="526" t="s">
        <v>21</v>
      </c>
      <c r="G26" s="526" t="s">
        <v>21</v>
      </c>
      <c r="H26" s="526" t="s">
        <v>21</v>
      </c>
      <c r="I26" s="526" t="s">
        <v>21</v>
      </c>
      <c r="J26" s="526" t="s">
        <v>21</v>
      </c>
      <c r="K26" s="526" t="s">
        <v>21</v>
      </c>
      <c r="L26" s="526" t="s">
        <v>21</v>
      </c>
      <c r="M26" s="526" t="s">
        <v>21</v>
      </c>
      <c r="N26" s="528" t="s">
        <v>96</v>
      </c>
      <c r="O26" s="528" t="s">
        <v>21</v>
      </c>
      <c r="P26" s="528" t="s">
        <v>21</v>
      </c>
      <c r="Q26" s="528" t="s">
        <v>21</v>
      </c>
      <c r="R26" s="528" t="s">
        <v>2</v>
      </c>
      <c r="S26" s="512"/>
      <c r="T26" s="512">
        <v>0</v>
      </c>
      <c r="U26" s="529" t="s">
        <v>86</v>
      </c>
      <c r="V26" s="524"/>
      <c r="W26" s="534" t="s">
        <v>97</v>
      </c>
      <c r="X26" s="512" t="s">
        <v>2</v>
      </c>
      <c r="Y26" s="512"/>
      <c r="Z26" s="512">
        <v>0</v>
      </c>
      <c r="AA26" s="512">
        <v>2183.84</v>
      </c>
      <c r="AB26" s="524" t="s">
        <v>34</v>
      </c>
      <c r="AC26" s="524" t="s">
        <v>35</v>
      </c>
      <c r="AD26" s="512"/>
      <c r="AE26" s="512"/>
      <c r="AF26" s="512"/>
      <c r="AG26" s="512"/>
      <c r="AH26" s="524"/>
    </row>
    <row r="27" spans="1:34" ht="13.5">
      <c r="A27" s="524">
        <v>0</v>
      </c>
      <c r="B27" s="524">
        <v>0</v>
      </c>
      <c r="C27" s="524">
        <v>0</v>
      </c>
      <c r="D27" s="524">
        <v>0</v>
      </c>
      <c r="E27" s="524">
        <v>0</v>
      </c>
      <c r="F27" s="524">
        <v>0</v>
      </c>
      <c r="G27" s="524">
        <v>0</v>
      </c>
      <c r="H27" s="524">
        <v>0</v>
      </c>
      <c r="I27" s="524">
        <v>0</v>
      </c>
      <c r="J27" s="529">
        <v>0</v>
      </c>
      <c r="K27" s="524">
        <v>0</v>
      </c>
      <c r="L27" s="524">
        <v>0</v>
      </c>
      <c r="M27" s="524">
        <v>0</v>
      </c>
      <c r="N27" s="532" t="s">
        <v>98</v>
      </c>
      <c r="O27" s="512">
        <v>20157053</v>
      </c>
      <c r="P27" s="512" t="s">
        <v>99</v>
      </c>
      <c r="Q27" s="512" t="s">
        <v>38</v>
      </c>
      <c r="R27" s="512" t="s">
        <v>18</v>
      </c>
      <c r="S27" s="512" t="s">
        <v>100</v>
      </c>
      <c r="T27" s="512">
        <v>0</v>
      </c>
      <c r="U27" s="524"/>
      <c r="V27" s="524"/>
      <c r="W27" s="534" t="s">
        <v>98</v>
      </c>
      <c r="X27" s="512" t="s">
        <v>18</v>
      </c>
      <c r="Y27" s="512" t="s">
        <v>100</v>
      </c>
      <c r="Z27" s="512">
        <v>0</v>
      </c>
      <c r="AA27" s="512">
        <v>55013.05</v>
      </c>
      <c r="AB27" s="524" t="s">
        <v>34</v>
      </c>
      <c r="AC27" s="524" t="s">
        <v>35</v>
      </c>
      <c r="AD27" s="512"/>
      <c r="AE27" s="512"/>
      <c r="AF27" s="512"/>
      <c r="AG27" s="512"/>
      <c r="AH27" s="524"/>
    </row>
    <row r="28" spans="1:34" ht="13.5">
      <c r="A28" s="526" t="s">
        <v>21</v>
      </c>
      <c r="B28" s="526" t="s">
        <v>21</v>
      </c>
      <c r="C28" s="526" t="s">
        <v>21</v>
      </c>
      <c r="D28" s="526" t="s">
        <v>21</v>
      </c>
      <c r="E28" s="526" t="s">
        <v>21</v>
      </c>
      <c r="F28" s="526" t="s">
        <v>21</v>
      </c>
      <c r="G28" s="526" t="s">
        <v>21</v>
      </c>
      <c r="H28" s="526" t="s">
        <v>21</v>
      </c>
      <c r="I28" s="526" t="s">
        <v>21</v>
      </c>
      <c r="J28" s="526" t="s">
        <v>21</v>
      </c>
      <c r="K28" s="526" t="s">
        <v>21</v>
      </c>
      <c r="L28" s="526" t="s">
        <v>21</v>
      </c>
      <c r="M28" s="526" t="s">
        <v>21</v>
      </c>
      <c r="N28" s="528" t="s">
        <v>101</v>
      </c>
      <c r="O28" s="528" t="s">
        <v>21</v>
      </c>
      <c r="P28" s="528" t="s">
        <v>21</v>
      </c>
      <c r="Q28" s="528" t="s">
        <v>21</v>
      </c>
      <c r="R28" s="528" t="s">
        <v>2</v>
      </c>
      <c r="S28" s="512"/>
      <c r="T28" s="512">
        <v>10576.93</v>
      </c>
      <c r="U28" s="530">
        <v>10576.93</v>
      </c>
      <c r="V28" s="524" t="s">
        <v>102</v>
      </c>
      <c r="W28" s="512" t="s">
        <v>103</v>
      </c>
      <c r="X28" s="512" t="s">
        <v>2</v>
      </c>
      <c r="Y28" s="512"/>
      <c r="Z28" s="512">
        <v>10576.93</v>
      </c>
      <c r="AA28" s="512">
        <v>3738805.8</v>
      </c>
      <c r="AB28" s="524" t="s">
        <v>40</v>
      </c>
      <c r="AC28" s="524" t="s">
        <v>35</v>
      </c>
      <c r="AD28" s="512"/>
      <c r="AE28" s="512"/>
      <c r="AF28" s="512"/>
      <c r="AG28" s="512"/>
      <c r="AH28" s="524"/>
    </row>
    <row r="29" spans="1:34" ht="13.5">
      <c r="A29" s="524">
        <v>0</v>
      </c>
      <c r="B29" s="524">
        <v>0</v>
      </c>
      <c r="C29" s="524">
        <v>0</v>
      </c>
      <c r="D29" s="524">
        <v>0</v>
      </c>
      <c r="E29" s="524">
        <v>0</v>
      </c>
      <c r="F29" s="524">
        <v>0</v>
      </c>
      <c r="G29" s="524">
        <v>0</v>
      </c>
      <c r="H29" s="524">
        <v>0</v>
      </c>
      <c r="I29" s="524">
        <v>0</v>
      </c>
      <c r="J29" s="524">
        <v>0</v>
      </c>
      <c r="K29" s="531">
        <v>123856</v>
      </c>
      <c r="L29" s="524">
        <v>0</v>
      </c>
      <c r="M29" s="524">
        <v>0</v>
      </c>
      <c r="N29" s="532" t="s">
        <v>104</v>
      </c>
      <c r="O29" s="512">
        <v>20118961</v>
      </c>
      <c r="P29" s="512" t="s">
        <v>105</v>
      </c>
      <c r="Q29" s="512" t="s">
        <v>38</v>
      </c>
      <c r="R29" s="512" t="s">
        <v>19</v>
      </c>
      <c r="S29" s="533">
        <v>45832</v>
      </c>
      <c r="T29" s="512">
        <v>123855.84</v>
      </c>
      <c r="U29" s="524"/>
      <c r="V29" s="524"/>
      <c r="W29" s="512" t="s">
        <v>106</v>
      </c>
      <c r="X29" s="512" t="s">
        <v>19</v>
      </c>
      <c r="Y29" s="533">
        <v>45832</v>
      </c>
      <c r="Z29" s="512">
        <v>123855.84</v>
      </c>
      <c r="AA29" s="512">
        <v>43201901</v>
      </c>
      <c r="AB29" s="524" t="s">
        <v>40</v>
      </c>
      <c r="AC29" s="524" t="s">
        <v>35</v>
      </c>
      <c r="AD29" s="512"/>
      <c r="AE29" s="512"/>
      <c r="AF29" s="512"/>
      <c r="AG29" s="512"/>
      <c r="AH29" s="524"/>
    </row>
    <row r="30" spans="1:34" ht="13.5">
      <c r="A30" s="526" t="s">
        <v>21</v>
      </c>
      <c r="B30" s="526" t="s">
        <v>21</v>
      </c>
      <c r="C30" s="526" t="s">
        <v>21</v>
      </c>
      <c r="D30" s="526" t="s">
        <v>21</v>
      </c>
      <c r="E30" s="526" t="s">
        <v>21</v>
      </c>
      <c r="F30" s="526" t="s">
        <v>21</v>
      </c>
      <c r="G30" s="526" t="s">
        <v>21</v>
      </c>
      <c r="H30" s="526" t="s">
        <v>21</v>
      </c>
      <c r="I30" s="526" t="s">
        <v>21</v>
      </c>
      <c r="J30" s="526" t="s">
        <v>21</v>
      </c>
      <c r="K30" s="526" t="s">
        <v>21</v>
      </c>
      <c r="L30" s="526" t="s">
        <v>21</v>
      </c>
      <c r="M30" s="526" t="s">
        <v>21</v>
      </c>
      <c r="N30" s="528" t="s">
        <v>107</v>
      </c>
      <c r="O30" s="528" t="s">
        <v>21</v>
      </c>
      <c r="P30" s="528" t="s">
        <v>21</v>
      </c>
      <c r="Q30" s="528" t="s">
        <v>21</v>
      </c>
      <c r="R30" s="528" t="s">
        <v>2</v>
      </c>
      <c r="S30" s="512"/>
      <c r="T30" s="512">
        <v>67787.8</v>
      </c>
      <c r="U30" s="530">
        <v>67787.8</v>
      </c>
      <c r="V30" s="524"/>
      <c r="W30" s="512" t="s">
        <v>108</v>
      </c>
      <c r="X30" s="512" t="s">
        <v>2</v>
      </c>
      <c r="Y30" s="512"/>
      <c r="Z30" s="512">
        <v>67787.8</v>
      </c>
      <c r="AA30" s="512">
        <v>76576.53</v>
      </c>
      <c r="AB30" s="524" t="s">
        <v>40</v>
      </c>
      <c r="AC30" s="524" t="s">
        <v>35</v>
      </c>
      <c r="AD30" s="512"/>
      <c r="AE30" s="512"/>
      <c r="AF30" s="512"/>
      <c r="AG30" s="512"/>
      <c r="AH30" s="524"/>
    </row>
    <row r="31" spans="1:34" ht="13.5">
      <c r="A31" s="524">
        <v>0</v>
      </c>
      <c r="B31" s="524">
        <v>0</v>
      </c>
      <c r="C31" s="524">
        <v>0</v>
      </c>
      <c r="D31" s="524">
        <v>0</v>
      </c>
      <c r="E31" s="524">
        <v>0</v>
      </c>
      <c r="F31" s="524">
        <v>0</v>
      </c>
      <c r="G31" s="524">
        <v>0</v>
      </c>
      <c r="H31" s="524">
        <v>0</v>
      </c>
      <c r="I31" s="524">
        <v>0</v>
      </c>
      <c r="J31" s="524">
        <v>0</v>
      </c>
      <c r="K31" s="524">
        <v>0</v>
      </c>
      <c r="L31" s="531">
        <v>505677</v>
      </c>
      <c r="M31" s="524">
        <v>0</v>
      </c>
      <c r="N31" s="532" t="s">
        <v>109</v>
      </c>
      <c r="O31" s="512">
        <v>20087918</v>
      </c>
      <c r="P31" s="512" t="s">
        <v>110</v>
      </c>
      <c r="Q31" s="512" t="s">
        <v>38</v>
      </c>
      <c r="R31" s="512" t="s">
        <v>3</v>
      </c>
      <c r="S31" s="533">
        <v>45832</v>
      </c>
      <c r="T31" s="512">
        <v>505676.63</v>
      </c>
      <c r="U31" s="524"/>
      <c r="V31" s="524" t="s">
        <v>102</v>
      </c>
      <c r="W31" s="512" t="s">
        <v>111</v>
      </c>
      <c r="X31" s="512" t="s">
        <v>3</v>
      </c>
      <c r="Y31" s="533">
        <v>45832</v>
      </c>
      <c r="Z31" s="512">
        <v>505676.63</v>
      </c>
      <c r="AA31" s="512">
        <v>571054.17000000004</v>
      </c>
      <c r="AB31" s="524" t="s">
        <v>40</v>
      </c>
      <c r="AC31" s="524" t="s">
        <v>35</v>
      </c>
      <c r="AD31" s="512"/>
      <c r="AE31" s="512"/>
      <c r="AF31" s="512"/>
      <c r="AG31" s="512"/>
      <c r="AH31" s="524"/>
    </row>
    <row r="32" spans="1:34" ht="13.5">
      <c r="A32" s="526" t="s">
        <v>21</v>
      </c>
      <c r="B32" s="526" t="s">
        <v>21</v>
      </c>
      <c r="C32" s="526" t="s">
        <v>21</v>
      </c>
      <c r="D32" s="526" t="s">
        <v>21</v>
      </c>
      <c r="E32" s="526" t="s">
        <v>21</v>
      </c>
      <c r="F32" s="526" t="s">
        <v>21</v>
      </c>
      <c r="G32" s="526" t="s">
        <v>21</v>
      </c>
      <c r="H32" s="526" t="s">
        <v>21</v>
      </c>
      <c r="I32" s="526" t="s">
        <v>21</v>
      </c>
      <c r="J32" s="526" t="s">
        <v>21</v>
      </c>
      <c r="K32" s="526" t="s">
        <v>21</v>
      </c>
      <c r="L32" s="526" t="s">
        <v>21</v>
      </c>
      <c r="M32" s="526" t="s">
        <v>21</v>
      </c>
      <c r="N32" s="528" t="s">
        <v>112</v>
      </c>
      <c r="O32" s="528" t="s">
        <v>21</v>
      </c>
      <c r="P32" s="528" t="s">
        <v>21</v>
      </c>
      <c r="Q32" s="528" t="s">
        <v>21</v>
      </c>
      <c r="R32" s="528" t="s">
        <v>2</v>
      </c>
      <c r="S32" s="512"/>
      <c r="T32" s="512">
        <v>37537</v>
      </c>
      <c r="U32" s="536">
        <v>37537</v>
      </c>
      <c r="V32" s="524"/>
      <c r="W32" s="512" t="s">
        <v>113</v>
      </c>
      <c r="X32" s="512" t="s">
        <v>2</v>
      </c>
      <c r="Y32" s="512"/>
      <c r="Z32" s="512">
        <v>37537</v>
      </c>
      <c r="AA32" s="512">
        <v>627085.56999999995</v>
      </c>
      <c r="AB32" s="524" t="s">
        <v>34</v>
      </c>
      <c r="AC32" s="524" t="s">
        <v>35</v>
      </c>
      <c r="AD32" s="512"/>
      <c r="AE32" s="512"/>
      <c r="AF32" s="512"/>
      <c r="AG32" s="512"/>
      <c r="AH32" s="524"/>
    </row>
    <row r="33" spans="1:34" ht="13.5">
      <c r="A33" s="524">
        <v>0</v>
      </c>
      <c r="B33" s="524">
        <v>0</v>
      </c>
      <c r="C33" s="524">
        <v>0</v>
      </c>
      <c r="D33" s="524">
        <v>0</v>
      </c>
      <c r="E33" s="524">
        <v>0</v>
      </c>
      <c r="F33" s="524">
        <v>0</v>
      </c>
      <c r="G33" s="524">
        <v>0</v>
      </c>
      <c r="H33" s="524">
        <v>0</v>
      </c>
      <c r="I33" s="524">
        <v>0</v>
      </c>
      <c r="J33" s="524">
        <v>0</v>
      </c>
      <c r="K33" s="524">
        <v>0</v>
      </c>
      <c r="L33" s="524">
        <v>0</v>
      </c>
      <c r="M33" s="531">
        <v>35238</v>
      </c>
      <c r="N33" s="532" t="s">
        <v>114</v>
      </c>
      <c r="O33" s="512">
        <v>20000669</v>
      </c>
      <c r="P33" s="512" t="s">
        <v>115</v>
      </c>
      <c r="Q33" s="512"/>
      <c r="R33" s="512" t="s">
        <v>9</v>
      </c>
      <c r="S33" s="533">
        <v>45832</v>
      </c>
      <c r="T33" s="512">
        <v>35237.86</v>
      </c>
      <c r="U33" s="524"/>
      <c r="V33" s="524"/>
      <c r="W33" s="512" t="s">
        <v>116</v>
      </c>
      <c r="X33" s="512" t="s">
        <v>9</v>
      </c>
      <c r="Y33" s="533">
        <v>45832</v>
      </c>
      <c r="Z33" s="512">
        <v>35237.86</v>
      </c>
      <c r="AA33" s="512">
        <v>603632.56999999995</v>
      </c>
      <c r="AB33" s="524" t="s">
        <v>40</v>
      </c>
      <c r="AC33" s="524" t="s">
        <v>35</v>
      </c>
      <c r="AD33" s="512"/>
      <c r="AE33" s="512"/>
      <c r="AF33" s="512"/>
      <c r="AG33" s="512"/>
      <c r="AH33" s="524"/>
    </row>
    <row r="34" spans="1:34" ht="13.5">
      <c r="A34" s="538">
        <v>5484032</v>
      </c>
      <c r="B34" s="538">
        <v>4286964</v>
      </c>
      <c r="C34" s="538">
        <v>602660</v>
      </c>
      <c r="D34" s="538">
        <v>49909</v>
      </c>
      <c r="E34" s="538">
        <v>47808</v>
      </c>
      <c r="F34" s="538">
        <v>169687</v>
      </c>
      <c r="G34" s="538">
        <v>548622</v>
      </c>
      <c r="H34" s="537">
        <v>0</v>
      </c>
      <c r="I34" s="538">
        <v>3191</v>
      </c>
      <c r="J34" s="537">
        <v>0</v>
      </c>
      <c r="K34" s="538">
        <v>123856</v>
      </c>
      <c r="L34" s="538">
        <v>505677</v>
      </c>
      <c r="M34" s="538">
        <v>35238</v>
      </c>
      <c r="N34" s="528" t="s">
        <v>117</v>
      </c>
      <c r="O34" s="528" t="s">
        <v>21</v>
      </c>
      <c r="P34" s="528" t="s">
        <v>21</v>
      </c>
      <c r="Q34" s="528" t="s">
        <v>21</v>
      </c>
      <c r="R34" s="528" t="s">
        <v>2</v>
      </c>
      <c r="S34" s="512"/>
      <c r="T34" s="512">
        <v>530728.07999999996</v>
      </c>
      <c r="U34" s="540">
        <v>530728.07999999996</v>
      </c>
      <c r="V34" s="524"/>
      <c r="W34" s="512" t="s">
        <v>118</v>
      </c>
      <c r="X34" s="512" t="s">
        <v>2</v>
      </c>
      <c r="Y34" s="512"/>
      <c r="Z34" s="512">
        <v>530728.07999999996</v>
      </c>
      <c r="AA34" s="512">
        <v>998681.29</v>
      </c>
      <c r="AB34" s="524" t="s">
        <v>34</v>
      </c>
      <c r="AC34" s="524" t="s">
        <v>35</v>
      </c>
      <c r="AD34" s="512"/>
      <c r="AE34" s="512"/>
      <c r="AF34" s="512"/>
      <c r="AG34" s="512"/>
      <c r="AH34" s="524"/>
    </row>
    <row r="35" spans="1:34" ht="13.5">
      <c r="A35" s="541">
        <v>530728</v>
      </c>
      <c r="B35" s="524">
        <v>0</v>
      </c>
      <c r="C35" s="524">
        <v>0</v>
      </c>
      <c r="D35" s="524">
        <v>0</v>
      </c>
      <c r="E35" s="524">
        <v>0</v>
      </c>
      <c r="F35" s="524">
        <v>0</v>
      </c>
      <c r="G35" s="524">
        <v>0</v>
      </c>
      <c r="H35" s="524">
        <v>0</v>
      </c>
      <c r="I35" s="524">
        <v>0</v>
      </c>
      <c r="J35" s="524">
        <v>0</v>
      </c>
      <c r="K35" s="524">
        <v>0</v>
      </c>
      <c r="L35" s="524">
        <v>0</v>
      </c>
      <c r="M35" s="524">
        <v>0</v>
      </c>
      <c r="N35" s="512" t="s">
        <v>119</v>
      </c>
      <c r="O35" s="512">
        <v>114746</v>
      </c>
      <c r="P35" s="512" t="s">
        <v>120</v>
      </c>
      <c r="Q35" s="512" t="s">
        <v>121</v>
      </c>
      <c r="R35" s="512" t="s">
        <v>2</v>
      </c>
      <c r="S35" s="533">
        <v>45832</v>
      </c>
      <c r="T35" s="512">
        <v>530728.07999999996</v>
      </c>
      <c r="U35" s="512"/>
      <c r="V35" s="524"/>
      <c r="W35" s="512" t="s">
        <v>122</v>
      </c>
      <c r="X35" s="512" t="s">
        <v>2</v>
      </c>
      <c r="Y35" s="533">
        <v>45832</v>
      </c>
      <c r="Z35" s="512">
        <v>530728.07999999996</v>
      </c>
      <c r="AA35" s="512">
        <v>998681.29</v>
      </c>
      <c r="AB35" s="524" t="s">
        <v>40</v>
      </c>
      <c r="AC35" s="524" t="s">
        <v>35</v>
      </c>
      <c r="AD35" s="512"/>
      <c r="AE35" s="512"/>
      <c r="AF35" s="512"/>
      <c r="AG35" s="512"/>
      <c r="AH35" s="524"/>
    </row>
    <row r="36" spans="1:34" ht="13.35" customHeight="1">
      <c r="A36" s="526" t="s">
        <v>21</v>
      </c>
      <c r="B36" s="526" t="s">
        <v>21</v>
      </c>
      <c r="C36" s="526" t="s">
        <v>21</v>
      </c>
      <c r="D36" s="526" t="s">
        <v>21</v>
      </c>
      <c r="E36" s="526" t="s">
        <v>21</v>
      </c>
      <c r="F36" s="526" t="s">
        <v>21</v>
      </c>
      <c r="G36" s="526" t="s">
        <v>21</v>
      </c>
      <c r="H36" s="526" t="s">
        <v>21</v>
      </c>
      <c r="I36" s="526" t="s">
        <v>21</v>
      </c>
      <c r="J36" s="526" t="s">
        <v>21</v>
      </c>
      <c r="K36" s="526" t="s">
        <v>21</v>
      </c>
      <c r="L36" s="526" t="s">
        <v>21</v>
      </c>
      <c r="M36" s="526" t="s">
        <v>21</v>
      </c>
      <c r="N36" s="527" t="s">
        <v>123</v>
      </c>
      <c r="O36" s="528" t="s">
        <v>21</v>
      </c>
      <c r="P36" s="528" t="s">
        <v>21</v>
      </c>
      <c r="Q36" s="528" t="s">
        <v>21</v>
      </c>
      <c r="R36" s="528" t="s">
        <v>2</v>
      </c>
      <c r="S36" s="512"/>
      <c r="T36" s="512">
        <v>0</v>
      </c>
      <c r="U36" s="532" t="s">
        <v>124</v>
      </c>
      <c r="V36" s="524"/>
      <c r="W36" s="512" t="s">
        <v>125</v>
      </c>
      <c r="X36" s="512" t="s">
        <v>2</v>
      </c>
      <c r="Y36" s="512"/>
      <c r="Z36" s="512">
        <v>0</v>
      </c>
      <c r="AA36" s="512">
        <v>205286.9</v>
      </c>
      <c r="AB36" s="524" t="s">
        <v>34</v>
      </c>
      <c r="AC36" s="524" t="s">
        <v>35</v>
      </c>
      <c r="AD36" s="512"/>
      <c r="AE36" s="512"/>
      <c r="AF36" s="512"/>
      <c r="AG36" s="512"/>
      <c r="AH36" s="524"/>
    </row>
    <row r="37" spans="1:34" ht="13.5">
      <c r="A37" s="524">
        <v>0</v>
      </c>
      <c r="B37" s="524">
        <v>0</v>
      </c>
      <c r="C37" s="524">
        <v>0</v>
      </c>
      <c r="D37" s="524">
        <v>0</v>
      </c>
      <c r="E37" s="524">
        <v>0</v>
      </c>
      <c r="F37" s="524">
        <v>0</v>
      </c>
      <c r="G37" s="524">
        <v>0</v>
      </c>
      <c r="H37" s="524">
        <v>0</v>
      </c>
      <c r="I37" s="524">
        <v>0</v>
      </c>
      <c r="J37" s="524">
        <v>0</v>
      </c>
      <c r="K37" s="524">
        <v>0</v>
      </c>
      <c r="L37" s="524">
        <v>0</v>
      </c>
      <c r="M37" s="524">
        <v>0</v>
      </c>
      <c r="N37" s="513" t="s">
        <v>44</v>
      </c>
      <c r="O37" s="512"/>
      <c r="P37" s="512" t="s">
        <v>45</v>
      </c>
      <c r="Q37" s="512" t="s">
        <v>38</v>
      </c>
      <c r="R37" s="512" t="s">
        <v>2</v>
      </c>
      <c r="S37" s="533">
        <v>45832</v>
      </c>
      <c r="T37" s="512">
        <v>0</v>
      </c>
      <c r="U37" s="512"/>
      <c r="V37" s="524"/>
      <c r="W37" s="512" t="s">
        <v>43</v>
      </c>
      <c r="X37" s="512" t="s">
        <v>2</v>
      </c>
      <c r="Y37" s="533">
        <v>45832</v>
      </c>
      <c r="Z37" s="512">
        <v>0</v>
      </c>
      <c r="AA37" s="512">
        <v>205286.9</v>
      </c>
      <c r="AB37" s="524" t="s">
        <v>40</v>
      </c>
      <c r="AC37" s="524" t="s">
        <v>35</v>
      </c>
      <c r="AD37" s="512"/>
      <c r="AE37" s="512"/>
      <c r="AF37" s="512"/>
      <c r="AG37" s="512"/>
      <c r="AH37" s="524"/>
    </row>
    <row r="38" spans="1:34" ht="13.5">
      <c r="A38" s="526" t="s">
        <v>21</v>
      </c>
      <c r="B38" s="526" t="s">
        <v>21</v>
      </c>
      <c r="C38" s="526" t="s">
        <v>21</v>
      </c>
      <c r="D38" s="526" t="s">
        <v>21</v>
      </c>
      <c r="E38" s="526" t="s">
        <v>21</v>
      </c>
      <c r="F38" s="526" t="s">
        <v>21</v>
      </c>
      <c r="G38" s="526" t="s">
        <v>21</v>
      </c>
      <c r="H38" s="526" t="s">
        <v>21</v>
      </c>
      <c r="I38" s="526" t="s">
        <v>21</v>
      </c>
      <c r="J38" s="526" t="s">
        <v>21</v>
      </c>
      <c r="K38" s="526" t="s">
        <v>21</v>
      </c>
      <c r="L38" s="526" t="s">
        <v>21</v>
      </c>
      <c r="M38" s="526" t="s">
        <v>21</v>
      </c>
      <c r="N38" s="528" t="s">
        <v>126</v>
      </c>
      <c r="O38" s="528" t="s">
        <v>21</v>
      </c>
      <c r="P38" s="528" t="s">
        <v>21</v>
      </c>
      <c r="Q38" s="528" t="s">
        <v>21</v>
      </c>
      <c r="R38" s="528" t="s">
        <v>2</v>
      </c>
      <c r="S38" s="512"/>
      <c r="T38" s="512">
        <v>823356.67</v>
      </c>
      <c r="U38" s="540">
        <v>823356.67</v>
      </c>
      <c r="V38" s="524"/>
      <c r="W38" s="512" t="s">
        <v>127</v>
      </c>
      <c r="X38" s="512" t="s">
        <v>2</v>
      </c>
      <c r="Y38" s="512"/>
      <c r="Z38" s="512">
        <v>823356.67</v>
      </c>
      <c r="AA38" s="512">
        <v>801781.05</v>
      </c>
      <c r="AB38" s="524" t="s">
        <v>34</v>
      </c>
      <c r="AC38" s="524" t="s">
        <v>35</v>
      </c>
      <c r="AD38" s="512"/>
      <c r="AE38" s="512"/>
      <c r="AF38" s="512"/>
      <c r="AG38" s="512"/>
      <c r="AH38" s="524"/>
    </row>
    <row r="39" spans="1:34" ht="13.5">
      <c r="A39" s="524">
        <v>0</v>
      </c>
      <c r="B39" s="524">
        <v>0</v>
      </c>
      <c r="C39" s="524">
        <v>0</v>
      </c>
      <c r="D39" s="524">
        <v>0</v>
      </c>
      <c r="E39" s="524">
        <v>0</v>
      </c>
      <c r="F39" s="524">
        <v>0</v>
      </c>
      <c r="G39" s="524">
        <v>0</v>
      </c>
      <c r="H39" s="524">
        <v>0</v>
      </c>
      <c r="I39" s="524">
        <v>0</v>
      </c>
      <c r="J39" s="524">
        <v>0</v>
      </c>
      <c r="K39" s="524">
        <v>0</v>
      </c>
      <c r="L39" s="524">
        <v>0</v>
      </c>
      <c r="M39" s="524">
        <v>0</v>
      </c>
      <c r="N39" s="512" t="s">
        <v>128</v>
      </c>
      <c r="O39" s="512"/>
      <c r="P39" s="512" t="s">
        <v>129</v>
      </c>
      <c r="Q39" s="512"/>
      <c r="R39" s="512" t="s">
        <v>2</v>
      </c>
      <c r="S39" s="533">
        <v>45607</v>
      </c>
      <c r="T39" s="512">
        <v>0</v>
      </c>
      <c r="U39" s="512"/>
      <c r="V39" s="524"/>
      <c r="W39" s="512" t="s">
        <v>128</v>
      </c>
      <c r="X39" s="512" t="s">
        <v>2</v>
      </c>
      <c r="Y39" s="533">
        <v>45607</v>
      </c>
      <c r="Z39" s="512">
        <v>0</v>
      </c>
      <c r="AA39" s="512">
        <v>100000</v>
      </c>
      <c r="AB39" s="524" t="s">
        <v>34</v>
      </c>
      <c r="AC39" s="524" t="s">
        <v>35</v>
      </c>
      <c r="AD39" s="512"/>
      <c r="AE39" s="512"/>
      <c r="AF39" s="512"/>
      <c r="AG39" s="512"/>
      <c r="AH39" s="524"/>
    </row>
    <row r="40" spans="1:34" ht="13.5">
      <c r="A40" s="541">
        <v>500000</v>
      </c>
      <c r="B40" s="524">
        <v>0</v>
      </c>
      <c r="C40" s="524">
        <v>0</v>
      </c>
      <c r="D40" s="524">
        <v>0</v>
      </c>
      <c r="E40" s="524">
        <v>0</v>
      </c>
      <c r="F40" s="524">
        <v>0</v>
      </c>
      <c r="G40" s="524">
        <v>0</v>
      </c>
      <c r="H40" s="524">
        <v>0</v>
      </c>
      <c r="I40" s="524">
        <v>0</v>
      </c>
      <c r="J40" s="524">
        <v>0</v>
      </c>
      <c r="K40" s="524">
        <v>0</v>
      </c>
      <c r="L40" s="524">
        <v>0</v>
      </c>
      <c r="M40" s="524">
        <v>0</v>
      </c>
      <c r="N40" s="512" t="s">
        <v>130</v>
      </c>
      <c r="O40" s="512"/>
      <c r="P40" s="512" t="s">
        <v>131</v>
      </c>
      <c r="Q40" s="512" t="s">
        <v>132</v>
      </c>
      <c r="R40" s="512" t="s">
        <v>2</v>
      </c>
      <c r="S40" s="533">
        <v>45832</v>
      </c>
      <c r="T40" s="512">
        <v>500000</v>
      </c>
      <c r="U40" s="512"/>
      <c r="V40" s="524"/>
      <c r="W40" s="512" t="s">
        <v>133</v>
      </c>
      <c r="X40" s="512" t="s">
        <v>2</v>
      </c>
      <c r="Y40" s="533">
        <v>45832</v>
      </c>
      <c r="Z40" s="512">
        <v>500000</v>
      </c>
      <c r="AA40" s="512">
        <v>500000</v>
      </c>
      <c r="AB40" s="524" t="s">
        <v>40</v>
      </c>
      <c r="AC40" s="524" t="s">
        <v>35</v>
      </c>
      <c r="AD40" s="512"/>
      <c r="AE40" s="512"/>
      <c r="AF40" s="512"/>
      <c r="AG40" s="512"/>
      <c r="AH40" s="524"/>
    </row>
    <row r="41" spans="1:34" ht="13.5">
      <c r="A41" s="541">
        <v>323357</v>
      </c>
      <c r="B41" s="524">
        <v>0</v>
      </c>
      <c r="C41" s="524">
        <v>0</v>
      </c>
      <c r="D41" s="524">
        <v>0</v>
      </c>
      <c r="E41" s="524">
        <v>0</v>
      </c>
      <c r="F41" s="524">
        <v>0</v>
      </c>
      <c r="G41" s="524">
        <v>0</v>
      </c>
      <c r="H41" s="524">
        <v>0</v>
      </c>
      <c r="I41" s="524">
        <v>0</v>
      </c>
      <c r="J41" s="524">
        <v>0</v>
      </c>
      <c r="K41" s="524">
        <v>0</v>
      </c>
      <c r="L41" s="524">
        <v>0</v>
      </c>
      <c r="M41" s="524">
        <v>0</v>
      </c>
      <c r="N41" s="512" t="s">
        <v>134</v>
      </c>
      <c r="O41" s="512"/>
      <c r="P41" s="512" t="s">
        <v>135</v>
      </c>
      <c r="Q41" s="512" t="s">
        <v>136</v>
      </c>
      <c r="R41" s="512" t="s">
        <v>2</v>
      </c>
      <c r="S41" s="533">
        <v>45832</v>
      </c>
      <c r="T41" s="512">
        <v>323356.67</v>
      </c>
      <c r="U41" s="512"/>
      <c r="V41" s="524"/>
      <c r="W41" s="512" t="s">
        <v>137</v>
      </c>
      <c r="X41" s="512" t="s">
        <v>2</v>
      </c>
      <c r="Y41" s="533">
        <v>45832</v>
      </c>
      <c r="Z41" s="512">
        <v>323356.67</v>
      </c>
      <c r="AA41" s="512">
        <v>101781.05</v>
      </c>
      <c r="AB41" s="524" t="s">
        <v>34</v>
      </c>
      <c r="AC41" s="524" t="s">
        <v>35</v>
      </c>
      <c r="AD41" s="512"/>
      <c r="AE41" s="512"/>
      <c r="AF41" s="512"/>
      <c r="AG41" s="512"/>
      <c r="AH41" s="524"/>
    </row>
    <row r="42" spans="1:34" ht="13.5">
      <c r="A42" s="524">
        <v>0</v>
      </c>
      <c r="B42" s="524">
        <v>0</v>
      </c>
      <c r="C42" s="524">
        <v>0</v>
      </c>
      <c r="D42" s="524">
        <v>0</v>
      </c>
      <c r="E42" s="524">
        <v>0</v>
      </c>
      <c r="F42" s="524">
        <v>0</v>
      </c>
      <c r="G42" s="524">
        <v>0</v>
      </c>
      <c r="H42" s="524">
        <v>0</v>
      </c>
      <c r="I42" s="524">
        <v>0</v>
      </c>
      <c r="J42" s="524">
        <v>0</v>
      </c>
      <c r="K42" s="524">
        <v>0</v>
      </c>
      <c r="L42" s="524">
        <v>0</v>
      </c>
      <c r="M42" s="524">
        <v>0</v>
      </c>
      <c r="N42" s="512" t="s">
        <v>138</v>
      </c>
      <c r="O42" s="512"/>
      <c r="P42" s="512" t="s">
        <v>139</v>
      </c>
      <c r="Q42" s="512" t="s">
        <v>132</v>
      </c>
      <c r="R42" s="512" t="s">
        <v>2</v>
      </c>
      <c r="S42" s="533">
        <v>45542</v>
      </c>
      <c r="T42" s="512">
        <v>0</v>
      </c>
      <c r="U42" s="512"/>
      <c r="V42" s="524"/>
      <c r="W42" s="534" t="s">
        <v>138</v>
      </c>
      <c r="X42" s="512" t="s">
        <v>2</v>
      </c>
      <c r="Y42" s="533">
        <v>45542</v>
      </c>
      <c r="Z42" s="512">
        <v>0</v>
      </c>
      <c r="AA42" s="512">
        <v>0</v>
      </c>
      <c r="AB42" s="524" t="s">
        <v>34</v>
      </c>
      <c r="AC42" s="524" t="s">
        <v>35</v>
      </c>
      <c r="AD42" s="512"/>
      <c r="AE42" s="512"/>
      <c r="AF42" s="512"/>
      <c r="AG42" s="512"/>
      <c r="AH42" s="524"/>
    </row>
    <row r="43" spans="1:34" ht="13.5">
      <c r="A43" s="526" t="s">
        <v>21</v>
      </c>
      <c r="B43" s="526" t="s">
        <v>21</v>
      </c>
      <c r="C43" s="526" t="s">
        <v>21</v>
      </c>
      <c r="D43" s="526" t="s">
        <v>21</v>
      </c>
      <c r="E43" s="526" t="s">
        <v>21</v>
      </c>
      <c r="F43" s="526" t="s">
        <v>21</v>
      </c>
      <c r="G43" s="526" t="s">
        <v>21</v>
      </c>
      <c r="H43" s="526" t="s">
        <v>21</v>
      </c>
      <c r="I43" s="526" t="s">
        <v>21</v>
      </c>
      <c r="J43" s="526" t="s">
        <v>21</v>
      </c>
      <c r="K43" s="526" t="s">
        <v>21</v>
      </c>
      <c r="L43" s="526" t="s">
        <v>21</v>
      </c>
      <c r="M43" s="526" t="s">
        <v>21</v>
      </c>
      <c r="N43" s="528" t="s">
        <v>140</v>
      </c>
      <c r="O43" s="528" t="s">
        <v>21</v>
      </c>
      <c r="P43" s="528" t="s">
        <v>21</v>
      </c>
      <c r="Q43" s="528" t="s">
        <v>21</v>
      </c>
      <c r="R43" s="528" t="s">
        <v>2</v>
      </c>
      <c r="S43" s="512"/>
      <c r="T43" s="512">
        <v>0</v>
      </c>
      <c r="U43" s="539" t="s">
        <v>124</v>
      </c>
      <c r="V43" s="524"/>
      <c r="W43" s="534" t="s">
        <v>140</v>
      </c>
      <c r="X43" s="512" t="s">
        <v>2</v>
      </c>
      <c r="Y43" s="512"/>
      <c r="Z43" s="512">
        <v>0</v>
      </c>
      <c r="AA43" s="512">
        <v>4737080.5</v>
      </c>
      <c r="AB43" s="524" t="s">
        <v>34</v>
      </c>
      <c r="AC43" s="524" t="s">
        <v>35</v>
      </c>
      <c r="AD43" s="512"/>
      <c r="AE43" s="512"/>
      <c r="AF43" s="512"/>
      <c r="AG43" s="512"/>
      <c r="AH43" s="524"/>
    </row>
    <row r="44" spans="1:34" ht="13.5">
      <c r="A44" s="524">
        <v>0</v>
      </c>
      <c r="B44" s="524">
        <v>0</v>
      </c>
      <c r="C44" s="524">
        <v>0</v>
      </c>
      <c r="D44" s="524">
        <v>0</v>
      </c>
      <c r="E44" s="524">
        <v>0</v>
      </c>
      <c r="F44" s="524">
        <v>0</v>
      </c>
      <c r="G44" s="524">
        <v>0</v>
      </c>
      <c r="H44" s="524">
        <v>0</v>
      </c>
      <c r="I44" s="524">
        <v>0</v>
      </c>
      <c r="J44" s="524">
        <v>0</v>
      </c>
      <c r="K44" s="524">
        <v>0</v>
      </c>
      <c r="L44" s="524">
        <v>0</v>
      </c>
      <c r="M44" s="524">
        <v>0</v>
      </c>
      <c r="N44" s="512" t="s">
        <v>141</v>
      </c>
      <c r="O44" s="512">
        <v>66271</v>
      </c>
      <c r="P44" s="512" t="s">
        <v>142</v>
      </c>
      <c r="Q44" s="512" t="s">
        <v>143</v>
      </c>
      <c r="R44" s="512" t="s">
        <v>19</v>
      </c>
      <c r="S44" s="512" t="s">
        <v>144</v>
      </c>
      <c r="T44" s="512">
        <v>0</v>
      </c>
      <c r="U44" s="512"/>
      <c r="V44" s="524"/>
      <c r="W44" s="534" t="s">
        <v>141</v>
      </c>
      <c r="X44" s="512" t="s">
        <v>19</v>
      </c>
      <c r="Y44" s="512" t="s">
        <v>144</v>
      </c>
      <c r="Z44" s="512">
        <v>0</v>
      </c>
      <c r="AA44" s="512">
        <v>54736965</v>
      </c>
      <c r="AB44" s="524" t="s">
        <v>34</v>
      </c>
      <c r="AC44" s="524" t="s">
        <v>35</v>
      </c>
      <c r="AD44" s="512"/>
      <c r="AE44" s="512"/>
      <c r="AF44" s="512"/>
      <c r="AG44" s="512"/>
      <c r="AH44" s="524"/>
    </row>
    <row r="45" spans="1:34" ht="13.5">
      <c r="A45" s="526" t="s">
        <v>21</v>
      </c>
      <c r="B45" s="526" t="s">
        <v>21</v>
      </c>
      <c r="C45" s="526" t="s">
        <v>21</v>
      </c>
      <c r="D45" s="526" t="s">
        <v>21</v>
      </c>
      <c r="E45" s="526" t="s">
        <v>21</v>
      </c>
      <c r="F45" s="526" t="s">
        <v>21</v>
      </c>
      <c r="G45" s="526" t="s">
        <v>21</v>
      </c>
      <c r="H45" s="526" t="s">
        <v>21</v>
      </c>
      <c r="I45" s="526" t="s">
        <v>21</v>
      </c>
      <c r="J45" s="526" t="s">
        <v>21</v>
      </c>
      <c r="K45" s="526" t="s">
        <v>21</v>
      </c>
      <c r="L45" s="526" t="s">
        <v>21</v>
      </c>
      <c r="M45" s="526" t="s">
        <v>21</v>
      </c>
      <c r="N45" s="527" t="s">
        <v>145</v>
      </c>
      <c r="O45" s="528" t="s">
        <v>21</v>
      </c>
      <c r="P45" s="528" t="s">
        <v>21</v>
      </c>
      <c r="Q45" s="528" t="s">
        <v>21</v>
      </c>
      <c r="R45" s="528" t="s">
        <v>2</v>
      </c>
      <c r="S45" s="512"/>
      <c r="T45" s="512">
        <v>13905.76</v>
      </c>
      <c r="U45" s="540">
        <v>13905.76</v>
      </c>
      <c r="V45" s="524" t="s">
        <v>102</v>
      </c>
      <c r="W45" s="512" t="s">
        <v>146</v>
      </c>
      <c r="X45" s="512" t="s">
        <v>2</v>
      </c>
      <c r="Y45" s="512"/>
      <c r="Z45" s="512">
        <v>13905.76</v>
      </c>
      <c r="AA45" s="512">
        <v>2275668</v>
      </c>
      <c r="AB45" s="524" t="s">
        <v>40</v>
      </c>
      <c r="AC45" s="524" t="s">
        <v>35</v>
      </c>
      <c r="AD45" s="512"/>
      <c r="AE45" s="512"/>
      <c r="AF45" s="512"/>
      <c r="AG45" s="512"/>
      <c r="AH45" s="524"/>
    </row>
    <row r="46" spans="1:34" ht="13.5">
      <c r="A46" s="524">
        <v>0</v>
      </c>
      <c r="B46" s="524">
        <v>0</v>
      </c>
      <c r="C46" s="524">
        <v>0</v>
      </c>
      <c r="D46" s="524">
        <v>0</v>
      </c>
      <c r="E46" s="524">
        <v>0</v>
      </c>
      <c r="F46" s="524">
        <v>0</v>
      </c>
      <c r="G46" s="524">
        <v>0</v>
      </c>
      <c r="H46" s="524">
        <v>0</v>
      </c>
      <c r="I46" s="524">
        <v>0</v>
      </c>
      <c r="J46" s="524">
        <v>0</v>
      </c>
      <c r="K46" s="541">
        <v>162836</v>
      </c>
      <c r="L46" s="524">
        <v>0</v>
      </c>
      <c r="M46" s="524">
        <v>0</v>
      </c>
      <c r="N46" s="512" t="s">
        <v>147</v>
      </c>
      <c r="O46" s="512">
        <v>64405</v>
      </c>
      <c r="P46" s="512" t="s">
        <v>148</v>
      </c>
      <c r="Q46" s="512" t="s">
        <v>143</v>
      </c>
      <c r="R46" s="512" t="s">
        <v>19</v>
      </c>
      <c r="S46" s="533">
        <v>45832</v>
      </c>
      <c r="T46" s="512">
        <v>162836.4</v>
      </c>
      <c r="U46" s="512"/>
      <c r="V46" s="524"/>
      <c r="W46" s="512" t="s">
        <v>149</v>
      </c>
      <c r="X46" s="512" t="s">
        <v>19</v>
      </c>
      <c r="Y46" s="533">
        <v>45832</v>
      </c>
      <c r="Z46" s="512">
        <v>162836.4</v>
      </c>
      <c r="AA46" s="512">
        <v>26295343</v>
      </c>
      <c r="AB46" s="524" t="s">
        <v>34</v>
      </c>
      <c r="AC46" s="524" t="s">
        <v>35</v>
      </c>
      <c r="AD46" s="512"/>
      <c r="AE46" s="512"/>
      <c r="AF46" s="512"/>
      <c r="AG46" s="512"/>
      <c r="AH46" s="524"/>
    </row>
    <row r="47" spans="1:34" ht="13.5">
      <c r="A47" s="526" t="s">
        <v>21</v>
      </c>
      <c r="B47" s="526" t="s">
        <v>21</v>
      </c>
      <c r="C47" s="526" t="s">
        <v>21</v>
      </c>
      <c r="D47" s="526" t="s">
        <v>21</v>
      </c>
      <c r="E47" s="526" t="s">
        <v>21</v>
      </c>
      <c r="F47" s="526" t="s">
        <v>21</v>
      </c>
      <c r="G47" s="526" t="s">
        <v>21</v>
      </c>
      <c r="H47" s="526" t="s">
        <v>21</v>
      </c>
      <c r="I47" s="526" t="s">
        <v>21</v>
      </c>
      <c r="J47" s="526" t="s">
        <v>21</v>
      </c>
      <c r="K47" s="526" t="s">
        <v>21</v>
      </c>
      <c r="L47" s="526" t="s">
        <v>21</v>
      </c>
      <c r="M47" s="526" t="s">
        <v>21</v>
      </c>
      <c r="N47" s="528" t="s">
        <v>150</v>
      </c>
      <c r="O47" s="528" t="s">
        <v>21</v>
      </c>
      <c r="P47" s="528" t="s">
        <v>21</v>
      </c>
      <c r="Q47" s="528" t="s">
        <v>21</v>
      </c>
      <c r="R47" s="528" t="s">
        <v>2</v>
      </c>
      <c r="S47" s="512"/>
      <c r="T47" s="512">
        <v>3882244.57</v>
      </c>
      <c r="U47" s="540">
        <v>3882244.57</v>
      </c>
      <c r="V47" s="524"/>
      <c r="W47" s="512" t="s">
        <v>151</v>
      </c>
      <c r="X47" s="512" t="s">
        <v>2</v>
      </c>
      <c r="Y47" s="512"/>
      <c r="Z47" s="512">
        <v>3882244.57</v>
      </c>
      <c r="AA47" s="512">
        <v>2789814.3</v>
      </c>
      <c r="AB47" s="524" t="s">
        <v>40</v>
      </c>
      <c r="AC47" s="524" t="s">
        <v>35</v>
      </c>
      <c r="AD47" s="512"/>
      <c r="AE47" s="512"/>
      <c r="AF47" s="512"/>
      <c r="AG47" s="512"/>
      <c r="AH47" s="524"/>
    </row>
    <row r="48" spans="1:34" ht="13.5">
      <c r="A48" s="524">
        <v>0</v>
      </c>
      <c r="B48" s="524">
        <v>0</v>
      </c>
      <c r="C48" s="541">
        <v>182333</v>
      </c>
      <c r="D48" s="524">
        <v>0</v>
      </c>
      <c r="E48" s="524">
        <v>0</v>
      </c>
      <c r="F48" s="524">
        <v>0</v>
      </c>
      <c r="G48" s="524">
        <v>0</v>
      </c>
      <c r="H48" s="524">
        <v>0</v>
      </c>
      <c r="I48" s="524">
        <v>0</v>
      </c>
      <c r="J48" s="524">
        <v>0</v>
      </c>
      <c r="K48" s="524">
        <v>0</v>
      </c>
      <c r="L48" s="524">
        <v>0</v>
      </c>
      <c r="M48" s="524">
        <v>0</v>
      </c>
      <c r="N48" s="512" t="s">
        <v>152</v>
      </c>
      <c r="O48" s="512">
        <v>4990320</v>
      </c>
      <c r="P48" s="512" t="s">
        <v>153</v>
      </c>
      <c r="Q48" s="512" t="s">
        <v>154</v>
      </c>
      <c r="R48" s="512" t="s">
        <v>5</v>
      </c>
      <c r="S48" s="533">
        <v>45832</v>
      </c>
      <c r="T48" s="512">
        <v>182332.76</v>
      </c>
      <c r="U48" s="512"/>
      <c r="V48" s="524"/>
      <c r="W48" s="512" t="s">
        <v>155</v>
      </c>
      <c r="X48" s="512" t="s">
        <v>5</v>
      </c>
      <c r="Y48" s="533">
        <v>45832</v>
      </c>
      <c r="Z48" s="512">
        <v>182332.76</v>
      </c>
      <c r="AA48" s="512">
        <v>90376.6</v>
      </c>
      <c r="AB48" s="524" t="s">
        <v>40</v>
      </c>
      <c r="AC48" s="524" t="s">
        <v>35</v>
      </c>
      <c r="AD48" s="512"/>
      <c r="AE48" s="512"/>
      <c r="AF48" s="512"/>
      <c r="AG48" s="512"/>
      <c r="AH48" s="524"/>
    </row>
    <row r="49" spans="1:34" ht="13.5">
      <c r="A49" s="541">
        <v>38141</v>
      </c>
      <c r="B49" s="524">
        <v>0</v>
      </c>
      <c r="C49" s="524">
        <v>0</v>
      </c>
      <c r="D49" s="524">
        <v>0</v>
      </c>
      <c r="E49" s="524">
        <v>0</v>
      </c>
      <c r="F49" s="524">
        <v>0</v>
      </c>
      <c r="G49" s="524">
        <v>0</v>
      </c>
      <c r="H49" s="524">
        <v>0</v>
      </c>
      <c r="I49" s="524">
        <v>0</v>
      </c>
      <c r="J49" s="524">
        <v>0</v>
      </c>
      <c r="K49" s="524">
        <v>0</v>
      </c>
      <c r="L49" s="524">
        <v>0</v>
      </c>
      <c r="M49" s="524">
        <v>0</v>
      </c>
      <c r="N49" s="512" t="s">
        <v>156</v>
      </c>
      <c r="O49" s="512">
        <v>4990334</v>
      </c>
      <c r="P49" s="512" t="s">
        <v>157</v>
      </c>
      <c r="Q49" s="512" t="s">
        <v>154</v>
      </c>
      <c r="R49" s="512" t="s">
        <v>2</v>
      </c>
      <c r="S49" s="533">
        <v>45832</v>
      </c>
      <c r="T49" s="512">
        <v>38140.81</v>
      </c>
      <c r="U49" s="512"/>
      <c r="V49" s="524"/>
      <c r="W49" s="512" t="s">
        <v>158</v>
      </c>
      <c r="X49" s="512" t="s">
        <v>2</v>
      </c>
      <c r="Y49" s="533">
        <v>45832</v>
      </c>
      <c r="Z49" s="512">
        <v>38140.81</v>
      </c>
      <c r="AA49" s="512">
        <v>64635.24</v>
      </c>
      <c r="AB49" s="524" t="s">
        <v>40</v>
      </c>
      <c r="AC49" s="524" t="s">
        <v>35</v>
      </c>
      <c r="AD49" s="512"/>
      <c r="AE49" s="512"/>
      <c r="AF49" s="512"/>
      <c r="AG49" s="512"/>
      <c r="AH49" s="524"/>
    </row>
    <row r="50" spans="1:34" ht="13.5">
      <c r="A50" s="524">
        <v>0</v>
      </c>
      <c r="B50" s="524">
        <v>0</v>
      </c>
      <c r="C50" s="524">
        <v>0</v>
      </c>
      <c r="D50" s="524">
        <v>0</v>
      </c>
      <c r="E50" s="541">
        <v>40793285</v>
      </c>
      <c r="F50" s="524">
        <v>0</v>
      </c>
      <c r="G50" s="524">
        <v>0</v>
      </c>
      <c r="H50" s="524">
        <v>0</v>
      </c>
      <c r="I50" s="524">
        <v>0</v>
      </c>
      <c r="J50" s="524">
        <v>0</v>
      </c>
      <c r="K50" s="524">
        <v>0</v>
      </c>
      <c r="L50" s="524">
        <v>0</v>
      </c>
      <c r="M50" s="524">
        <v>0</v>
      </c>
      <c r="N50" s="512" t="s">
        <v>159</v>
      </c>
      <c r="O50" s="512">
        <v>603371922</v>
      </c>
      <c r="P50" s="512"/>
      <c r="Q50" s="512" t="s">
        <v>154</v>
      </c>
      <c r="R50" s="512" t="s">
        <v>6</v>
      </c>
      <c r="S50" s="533">
        <v>45832</v>
      </c>
      <c r="T50" s="512">
        <v>40793285.219999999</v>
      </c>
      <c r="U50" s="512"/>
      <c r="V50" s="524"/>
      <c r="W50" s="512" t="s">
        <v>160</v>
      </c>
      <c r="X50" s="512" t="s">
        <v>6</v>
      </c>
      <c r="Y50" s="533">
        <v>45832</v>
      </c>
      <c r="Z50" s="512">
        <v>40793285.219999999</v>
      </c>
      <c r="AA50" s="512">
        <v>29897814</v>
      </c>
      <c r="AB50" s="524" t="s">
        <v>34</v>
      </c>
      <c r="AC50" s="524" t="s">
        <v>35</v>
      </c>
      <c r="AD50" s="512"/>
      <c r="AE50" s="512"/>
      <c r="AF50" s="512"/>
      <c r="AG50" s="512"/>
      <c r="AH50" s="524"/>
    </row>
    <row r="51" spans="1:34" ht="13.5">
      <c r="A51" s="526" t="s">
        <v>21</v>
      </c>
      <c r="B51" s="526" t="s">
        <v>21</v>
      </c>
      <c r="C51" s="526" t="s">
        <v>21</v>
      </c>
      <c r="D51" s="526" t="s">
        <v>21</v>
      </c>
      <c r="E51" s="526" t="s">
        <v>21</v>
      </c>
      <c r="F51" s="526" t="s">
        <v>21</v>
      </c>
      <c r="G51" s="526" t="s">
        <v>21</v>
      </c>
      <c r="H51" s="526" t="s">
        <v>21</v>
      </c>
      <c r="I51" s="526" t="s">
        <v>21</v>
      </c>
      <c r="J51" s="526" t="s">
        <v>21</v>
      </c>
      <c r="K51" s="526" t="s">
        <v>21</v>
      </c>
      <c r="L51" s="526" t="s">
        <v>21</v>
      </c>
      <c r="M51" s="526" t="s">
        <v>21</v>
      </c>
      <c r="N51" s="528" t="s">
        <v>161</v>
      </c>
      <c r="O51" s="528" t="s">
        <v>21</v>
      </c>
      <c r="P51" s="528" t="s">
        <v>21</v>
      </c>
      <c r="Q51" s="528" t="s">
        <v>21</v>
      </c>
      <c r="R51" s="528" t="s">
        <v>2</v>
      </c>
      <c r="S51" s="512"/>
      <c r="T51" s="512">
        <v>-2814.26</v>
      </c>
      <c r="U51" s="532" t="s">
        <v>162</v>
      </c>
      <c r="V51" s="524"/>
      <c r="W51" s="512" t="s">
        <v>163</v>
      </c>
      <c r="X51" s="512" t="s">
        <v>2</v>
      </c>
      <c r="Y51" s="512"/>
      <c r="Z51" s="512">
        <v>-2814.26</v>
      </c>
      <c r="AA51" s="512">
        <v>669440.38</v>
      </c>
      <c r="AB51" s="524" t="s">
        <v>40</v>
      </c>
      <c r="AC51" s="524" t="s">
        <v>35</v>
      </c>
      <c r="AD51" s="512"/>
      <c r="AE51" s="512"/>
      <c r="AF51" s="512"/>
      <c r="AG51" s="512"/>
      <c r="AH51" s="524"/>
    </row>
    <row r="52" spans="1:34" ht="13.5">
      <c r="A52" s="529">
        <v>0</v>
      </c>
      <c r="B52" s="524">
        <v>0</v>
      </c>
      <c r="C52" s="524">
        <v>0</v>
      </c>
      <c r="D52" s="524">
        <v>0</v>
      </c>
      <c r="E52" s="524">
        <v>0</v>
      </c>
      <c r="F52" s="524">
        <v>0</v>
      </c>
      <c r="G52" s="524">
        <v>0</v>
      </c>
      <c r="H52" s="524">
        <v>0</v>
      </c>
      <c r="I52" s="524">
        <v>0</v>
      </c>
      <c r="J52" s="524">
        <v>0</v>
      </c>
      <c r="K52" s="524">
        <v>0</v>
      </c>
      <c r="L52" s="524">
        <v>0</v>
      </c>
      <c r="M52" s="524">
        <v>0</v>
      </c>
      <c r="N52" s="532" t="s">
        <v>164</v>
      </c>
      <c r="O52" s="512">
        <v>20387184</v>
      </c>
      <c r="P52" s="512" t="s">
        <v>165</v>
      </c>
      <c r="Q52" s="512" t="s">
        <v>166</v>
      </c>
      <c r="R52" s="512" t="s">
        <v>2</v>
      </c>
      <c r="S52" s="533">
        <v>45832</v>
      </c>
      <c r="T52" s="512">
        <v>0</v>
      </c>
      <c r="U52" s="512"/>
      <c r="V52" s="524"/>
      <c r="W52" s="512" t="s">
        <v>167</v>
      </c>
      <c r="X52" s="512" t="s">
        <v>2</v>
      </c>
      <c r="Y52" s="533">
        <v>45832</v>
      </c>
      <c r="Z52" s="512">
        <v>0</v>
      </c>
      <c r="AA52" s="512">
        <v>0</v>
      </c>
      <c r="AB52" s="524" t="s">
        <v>40</v>
      </c>
      <c r="AC52" s="524" t="s">
        <v>35</v>
      </c>
      <c r="AD52" s="512"/>
      <c r="AE52" s="512"/>
      <c r="AF52" s="512"/>
      <c r="AG52" s="512"/>
      <c r="AH52" s="524"/>
    </row>
    <row r="53" spans="1:34" ht="13.5">
      <c r="A53" s="524">
        <v>0</v>
      </c>
      <c r="B53" s="524">
        <v>0</v>
      </c>
      <c r="C53" s="524">
        <v>0</v>
      </c>
      <c r="D53" s="524">
        <v>0</v>
      </c>
      <c r="E53" s="524">
        <v>0</v>
      </c>
      <c r="F53" s="524">
        <v>0</v>
      </c>
      <c r="G53" s="524">
        <v>0</v>
      </c>
      <c r="H53" s="524">
        <v>0</v>
      </c>
      <c r="I53" s="524">
        <v>0</v>
      </c>
      <c r="J53" s="524">
        <v>0</v>
      </c>
      <c r="K53" s="524">
        <v>0</v>
      </c>
      <c r="L53" s="524">
        <v>0</v>
      </c>
      <c r="M53" s="524">
        <v>0</v>
      </c>
      <c r="N53" s="532" t="s">
        <v>168</v>
      </c>
      <c r="O53" s="512">
        <v>20387285</v>
      </c>
      <c r="P53" s="512" t="s">
        <v>169</v>
      </c>
      <c r="Q53" s="512" t="s">
        <v>166</v>
      </c>
      <c r="R53" s="512" t="s">
        <v>5</v>
      </c>
      <c r="S53" s="533">
        <v>45832</v>
      </c>
      <c r="T53" s="512">
        <v>0</v>
      </c>
      <c r="U53" s="512"/>
      <c r="V53" s="524"/>
      <c r="W53" s="512" t="s">
        <v>170</v>
      </c>
      <c r="X53" s="512" t="s">
        <v>5</v>
      </c>
      <c r="Y53" s="533">
        <v>45832</v>
      </c>
      <c r="Z53" s="512">
        <v>0</v>
      </c>
      <c r="AA53" s="512">
        <v>0</v>
      </c>
      <c r="AB53" s="524" t="s">
        <v>40</v>
      </c>
      <c r="AC53" s="524" t="s">
        <v>35</v>
      </c>
      <c r="AD53" s="512"/>
      <c r="AE53" s="512"/>
      <c r="AF53" s="512"/>
      <c r="AG53" s="512"/>
      <c r="AH53" s="524"/>
    </row>
    <row r="54" spans="1:34" ht="13.5">
      <c r="A54" s="524">
        <v>0</v>
      </c>
      <c r="B54" s="531">
        <v>-2400</v>
      </c>
      <c r="C54" s="524">
        <v>0</v>
      </c>
      <c r="D54" s="524">
        <v>0</v>
      </c>
      <c r="E54" s="524">
        <v>0</v>
      </c>
      <c r="F54" s="524">
        <v>0</v>
      </c>
      <c r="G54" s="524">
        <v>0</v>
      </c>
      <c r="H54" s="524">
        <v>0</v>
      </c>
      <c r="I54" s="524">
        <v>0</v>
      </c>
      <c r="J54" s="524">
        <v>0</v>
      </c>
      <c r="K54" s="524">
        <v>0</v>
      </c>
      <c r="L54" s="524">
        <v>0</v>
      </c>
      <c r="M54" s="524">
        <v>0</v>
      </c>
      <c r="N54" s="535" t="s">
        <v>171</v>
      </c>
      <c r="O54" s="512">
        <v>20222991</v>
      </c>
      <c r="P54" s="512" t="s">
        <v>172</v>
      </c>
      <c r="Q54" s="512" t="s">
        <v>166</v>
      </c>
      <c r="R54" s="512" t="s">
        <v>4</v>
      </c>
      <c r="S54" s="533">
        <v>45832</v>
      </c>
      <c r="T54" s="512">
        <v>-2400</v>
      </c>
      <c r="U54" s="512"/>
      <c r="V54" s="524" t="s">
        <v>102</v>
      </c>
      <c r="W54" s="512" t="s">
        <v>173</v>
      </c>
      <c r="X54" s="512" t="s">
        <v>4</v>
      </c>
      <c r="Y54" s="533">
        <v>45832</v>
      </c>
      <c r="Z54" s="512">
        <v>-2400</v>
      </c>
      <c r="AA54" s="512">
        <v>572505.41</v>
      </c>
      <c r="AB54" s="524" t="s">
        <v>34</v>
      </c>
      <c r="AC54" s="524" t="s">
        <v>35</v>
      </c>
      <c r="AD54" s="512"/>
      <c r="AE54" s="512"/>
      <c r="AF54" s="512"/>
      <c r="AG54" s="512"/>
      <c r="AH54" s="524"/>
    </row>
    <row r="55" spans="1:34" ht="13.5">
      <c r="A55" s="526" t="s">
        <v>21</v>
      </c>
      <c r="B55" s="526" t="s">
        <v>21</v>
      </c>
      <c r="C55" s="526" t="s">
        <v>21</v>
      </c>
      <c r="D55" s="526" t="s">
        <v>21</v>
      </c>
      <c r="E55" s="526" t="s">
        <v>21</v>
      </c>
      <c r="F55" s="526" t="s">
        <v>21</v>
      </c>
      <c r="G55" s="526" t="s">
        <v>21</v>
      </c>
      <c r="H55" s="526" t="s">
        <v>21</v>
      </c>
      <c r="I55" s="526" t="s">
        <v>21</v>
      </c>
      <c r="J55" s="526" t="s">
        <v>21</v>
      </c>
      <c r="K55" s="526" t="s">
        <v>21</v>
      </c>
      <c r="L55" s="526" t="s">
        <v>21</v>
      </c>
      <c r="M55" s="526" t="s">
        <v>21</v>
      </c>
      <c r="N55" s="528" t="s">
        <v>174</v>
      </c>
      <c r="O55" s="528" t="s">
        <v>21</v>
      </c>
      <c r="P55" s="528" t="s">
        <v>21</v>
      </c>
      <c r="Q55" s="528" t="s">
        <v>21</v>
      </c>
      <c r="R55" s="528" t="s">
        <v>2</v>
      </c>
      <c r="S55" s="512"/>
      <c r="T55" s="512">
        <v>0</v>
      </c>
      <c r="U55" s="532" t="s">
        <v>124</v>
      </c>
      <c r="V55" s="524"/>
      <c r="W55" s="512" t="s">
        <v>175</v>
      </c>
      <c r="X55" s="512" t="s">
        <v>2</v>
      </c>
      <c r="Y55" s="512"/>
      <c r="Z55" s="512">
        <v>0</v>
      </c>
      <c r="AA55" s="512">
        <v>0</v>
      </c>
      <c r="AB55" s="524" t="s">
        <v>40</v>
      </c>
      <c r="AC55" s="524" t="s">
        <v>35</v>
      </c>
      <c r="AD55" s="512"/>
      <c r="AE55" s="512"/>
      <c r="AF55" s="512"/>
      <c r="AG55" s="512"/>
      <c r="AH55" s="524"/>
    </row>
    <row r="56" spans="1:34" ht="13.5">
      <c r="A56" s="524">
        <v>0</v>
      </c>
      <c r="B56" s="524">
        <v>0</v>
      </c>
      <c r="C56" s="524">
        <v>0</v>
      </c>
      <c r="D56" s="524">
        <v>0</v>
      </c>
      <c r="E56" s="524">
        <v>0</v>
      </c>
      <c r="F56" s="524">
        <v>0</v>
      </c>
      <c r="G56" s="524">
        <v>0</v>
      </c>
      <c r="H56" s="524">
        <v>0</v>
      </c>
      <c r="I56" s="524">
        <v>0</v>
      </c>
      <c r="J56" s="524">
        <v>0</v>
      </c>
      <c r="K56" s="524">
        <v>0</v>
      </c>
      <c r="L56" s="524">
        <v>0</v>
      </c>
      <c r="M56" s="524">
        <v>0</v>
      </c>
      <c r="N56" s="535" t="s">
        <v>176</v>
      </c>
      <c r="O56" s="512">
        <v>20448115</v>
      </c>
      <c r="P56" s="512" t="s">
        <v>177</v>
      </c>
      <c r="Q56" s="512" t="s">
        <v>166</v>
      </c>
      <c r="R56" s="512" t="s">
        <v>4</v>
      </c>
      <c r="S56" s="533">
        <v>45832</v>
      </c>
      <c r="T56" s="512">
        <v>0</v>
      </c>
      <c r="U56" s="512"/>
      <c r="V56" s="524"/>
      <c r="W56" s="512" t="s">
        <v>178</v>
      </c>
      <c r="X56" s="512" t="s">
        <v>4</v>
      </c>
      <c r="Y56" s="533">
        <v>45832</v>
      </c>
      <c r="Z56" s="512">
        <v>0</v>
      </c>
      <c r="AA56" s="512">
        <v>0</v>
      </c>
      <c r="AB56" s="524" t="s">
        <v>40</v>
      </c>
      <c r="AC56" s="524" t="s">
        <v>35</v>
      </c>
      <c r="AD56" s="512"/>
      <c r="AE56" s="512"/>
      <c r="AF56" s="512"/>
      <c r="AG56" s="512"/>
      <c r="AH56" s="524"/>
    </row>
    <row r="57" spans="1:34" ht="13.5">
      <c r="A57" s="529">
        <v>0</v>
      </c>
      <c r="B57" s="524">
        <v>0</v>
      </c>
      <c r="C57" s="524">
        <v>0</v>
      </c>
      <c r="D57" s="524">
        <v>0</v>
      </c>
      <c r="E57" s="524">
        <v>0</v>
      </c>
      <c r="F57" s="524">
        <v>0</v>
      </c>
      <c r="G57" s="524">
        <v>0</v>
      </c>
      <c r="H57" s="524">
        <v>0</v>
      </c>
      <c r="I57" s="524">
        <v>0</v>
      </c>
      <c r="J57" s="524">
        <v>0</v>
      </c>
      <c r="K57" s="524">
        <v>0</v>
      </c>
      <c r="L57" s="524">
        <v>0</v>
      </c>
      <c r="M57" s="524">
        <v>0</v>
      </c>
      <c r="N57" s="532" t="s">
        <v>179</v>
      </c>
      <c r="O57" s="512">
        <v>90029801</v>
      </c>
      <c r="P57" s="512" t="s">
        <v>180</v>
      </c>
      <c r="Q57" s="512" t="s">
        <v>181</v>
      </c>
      <c r="R57" s="512" t="s">
        <v>2</v>
      </c>
      <c r="S57" s="533">
        <v>45832</v>
      </c>
      <c r="T57" s="512">
        <v>0</v>
      </c>
      <c r="U57" s="512"/>
      <c r="V57" s="524"/>
      <c r="W57" s="512" t="s">
        <v>182</v>
      </c>
      <c r="X57" s="512" t="s">
        <v>2</v>
      </c>
      <c r="Y57" s="533">
        <v>45832</v>
      </c>
      <c r="Z57" s="512">
        <v>0</v>
      </c>
      <c r="AA57" s="512">
        <v>0</v>
      </c>
      <c r="AB57" s="524" t="s">
        <v>34</v>
      </c>
      <c r="AC57" s="524" t="s">
        <v>35</v>
      </c>
      <c r="AD57" s="512"/>
      <c r="AE57" s="512"/>
      <c r="AF57" s="512"/>
      <c r="AG57" s="512"/>
      <c r="AH57" s="524"/>
    </row>
    <row r="58" spans="1:34" ht="13.5">
      <c r="A58" s="526" t="s">
        <v>21</v>
      </c>
      <c r="B58" s="526" t="s">
        <v>21</v>
      </c>
      <c r="C58" s="526" t="s">
        <v>21</v>
      </c>
      <c r="D58" s="526" t="s">
        <v>21</v>
      </c>
      <c r="E58" s="526" t="s">
        <v>21</v>
      </c>
      <c r="F58" s="526" t="s">
        <v>21</v>
      </c>
      <c r="G58" s="526" t="s">
        <v>21</v>
      </c>
      <c r="H58" s="526" t="s">
        <v>21</v>
      </c>
      <c r="I58" s="526" t="s">
        <v>21</v>
      </c>
      <c r="J58" s="526" t="s">
        <v>21</v>
      </c>
      <c r="K58" s="526" t="s">
        <v>21</v>
      </c>
      <c r="L58" s="526" t="s">
        <v>21</v>
      </c>
      <c r="M58" s="526" t="s">
        <v>21</v>
      </c>
      <c r="N58" s="528" t="s">
        <v>183</v>
      </c>
      <c r="O58" s="528" t="s">
        <v>21</v>
      </c>
      <c r="P58" s="528" t="s">
        <v>21</v>
      </c>
      <c r="Q58" s="528" t="s">
        <v>21</v>
      </c>
      <c r="R58" s="528" t="s">
        <v>2</v>
      </c>
      <c r="S58" s="512"/>
      <c r="T58" s="512">
        <v>0</v>
      </c>
      <c r="U58" s="532" t="s">
        <v>124</v>
      </c>
      <c r="V58" s="524"/>
      <c r="W58" s="512" t="s">
        <v>184</v>
      </c>
      <c r="X58" s="512" t="s">
        <v>2</v>
      </c>
      <c r="Y58" s="512"/>
      <c r="Z58" s="512">
        <v>0</v>
      </c>
      <c r="AA58" s="512">
        <v>0</v>
      </c>
      <c r="AB58" s="524" t="s">
        <v>40</v>
      </c>
      <c r="AC58" s="524" t="s">
        <v>35</v>
      </c>
      <c r="AD58" s="512"/>
      <c r="AE58" s="512"/>
      <c r="AF58" s="512"/>
      <c r="AG58" s="512"/>
      <c r="AH58" s="524"/>
    </row>
    <row r="59" spans="1:34" ht="13.5">
      <c r="A59" s="529">
        <v>0</v>
      </c>
      <c r="B59" s="524">
        <v>0</v>
      </c>
      <c r="C59" s="524">
        <v>0</v>
      </c>
      <c r="D59" s="524">
        <v>0</v>
      </c>
      <c r="E59" s="524">
        <v>0</v>
      </c>
      <c r="F59" s="524">
        <v>0</v>
      </c>
      <c r="G59" s="524">
        <v>0</v>
      </c>
      <c r="H59" s="524">
        <v>0</v>
      </c>
      <c r="I59" s="524">
        <v>0</v>
      </c>
      <c r="J59" s="524">
        <v>0</v>
      </c>
      <c r="K59" s="524">
        <v>0</v>
      </c>
      <c r="L59" s="524">
        <v>0</v>
      </c>
      <c r="M59" s="524">
        <v>0</v>
      </c>
      <c r="N59" s="532" t="s">
        <v>185</v>
      </c>
      <c r="O59" s="512">
        <v>32664030000</v>
      </c>
      <c r="P59" s="512" t="s">
        <v>186</v>
      </c>
      <c r="Q59" s="512" t="s">
        <v>187</v>
      </c>
      <c r="R59" s="512" t="s">
        <v>2</v>
      </c>
      <c r="S59" s="533">
        <v>45832</v>
      </c>
      <c r="T59" s="512">
        <v>0</v>
      </c>
      <c r="U59" s="512"/>
      <c r="V59" s="524"/>
      <c r="W59" s="512" t="s">
        <v>188</v>
      </c>
      <c r="X59" s="512" t="s">
        <v>2</v>
      </c>
      <c r="Y59" s="533">
        <v>45832</v>
      </c>
      <c r="Z59" s="512">
        <v>0</v>
      </c>
      <c r="AA59" s="512">
        <v>0</v>
      </c>
      <c r="AB59" s="524" t="s">
        <v>34</v>
      </c>
      <c r="AC59" s="524" t="s">
        <v>35</v>
      </c>
      <c r="AD59" s="512"/>
      <c r="AE59" s="512"/>
      <c r="AF59" s="512"/>
      <c r="AG59" s="512"/>
      <c r="AH59" s="524"/>
    </row>
    <row r="60" spans="1:34" ht="13.5">
      <c r="A60" s="526" t="s">
        <v>21</v>
      </c>
      <c r="B60" s="526" t="s">
        <v>21</v>
      </c>
      <c r="C60" s="526" t="s">
        <v>21</v>
      </c>
      <c r="D60" s="526" t="s">
        <v>21</v>
      </c>
      <c r="E60" s="526" t="s">
        <v>21</v>
      </c>
      <c r="F60" s="526" t="s">
        <v>21</v>
      </c>
      <c r="G60" s="526" t="s">
        <v>21</v>
      </c>
      <c r="H60" s="526" t="s">
        <v>21</v>
      </c>
      <c r="I60" s="526" t="s">
        <v>21</v>
      </c>
      <c r="J60" s="526" t="s">
        <v>21</v>
      </c>
      <c r="K60" s="526" t="s">
        <v>21</v>
      </c>
      <c r="L60" s="526" t="s">
        <v>21</v>
      </c>
      <c r="M60" s="526" t="s">
        <v>21</v>
      </c>
      <c r="N60" s="528" t="s">
        <v>189</v>
      </c>
      <c r="O60" s="528" t="s">
        <v>21</v>
      </c>
      <c r="P60" s="528" t="s">
        <v>21</v>
      </c>
      <c r="Q60" s="528" t="s">
        <v>21</v>
      </c>
      <c r="R60" s="528" t="s">
        <v>2</v>
      </c>
      <c r="S60" s="512"/>
      <c r="T60" s="512">
        <v>0</v>
      </c>
      <c r="U60" s="532" t="s">
        <v>124</v>
      </c>
      <c r="V60" s="524"/>
      <c r="W60" s="512" t="s">
        <v>190</v>
      </c>
      <c r="X60" s="512" t="s">
        <v>2</v>
      </c>
      <c r="Y60" s="512"/>
      <c r="Z60" s="512">
        <v>0</v>
      </c>
      <c r="AA60" s="512">
        <v>-51950.63</v>
      </c>
      <c r="AB60" s="524" t="s">
        <v>40</v>
      </c>
      <c r="AC60" s="524" t="s">
        <v>35</v>
      </c>
      <c r="AD60" s="512"/>
      <c r="AE60" s="512"/>
      <c r="AF60" s="512"/>
      <c r="AG60" s="512"/>
      <c r="AH60" s="524"/>
    </row>
    <row r="61" spans="1:34" s="6" customFormat="1" ht="13.5">
      <c r="A61" s="529">
        <v>0</v>
      </c>
      <c r="B61" s="524">
        <v>0</v>
      </c>
      <c r="C61" s="524">
        <v>0</v>
      </c>
      <c r="D61" s="524">
        <v>0</v>
      </c>
      <c r="E61" s="524">
        <v>0</v>
      </c>
      <c r="F61" s="524">
        <v>0</v>
      </c>
      <c r="G61" s="524">
        <v>0</v>
      </c>
      <c r="H61" s="524">
        <v>0</v>
      </c>
      <c r="I61" s="524">
        <v>0</v>
      </c>
      <c r="J61" s="524">
        <v>0</v>
      </c>
      <c r="K61" s="524">
        <v>0</v>
      </c>
      <c r="L61" s="524">
        <v>0</v>
      </c>
      <c r="M61" s="524">
        <v>0</v>
      </c>
      <c r="N61" s="532" t="s">
        <v>191</v>
      </c>
      <c r="O61" s="512">
        <v>1807934</v>
      </c>
      <c r="P61" s="512" t="s">
        <v>192</v>
      </c>
      <c r="Q61" s="512" t="s">
        <v>193</v>
      </c>
      <c r="R61" s="512" t="s">
        <v>2</v>
      </c>
      <c r="S61" s="533">
        <v>45832</v>
      </c>
      <c r="T61" s="512">
        <v>0</v>
      </c>
      <c r="U61" s="512"/>
      <c r="V61" s="524"/>
      <c r="W61" s="512" t="s">
        <v>194</v>
      </c>
      <c r="X61" s="512" t="s">
        <v>2</v>
      </c>
      <c r="Y61" s="533">
        <v>45832</v>
      </c>
      <c r="Z61" s="512">
        <v>0</v>
      </c>
      <c r="AA61" s="512">
        <v>0</v>
      </c>
      <c r="AB61" s="524" t="s">
        <v>40</v>
      </c>
      <c r="AC61" s="524" t="s">
        <v>35</v>
      </c>
      <c r="AD61" s="512"/>
      <c r="AE61" s="512"/>
      <c r="AF61" s="512"/>
      <c r="AG61" s="512"/>
      <c r="AH61" s="524"/>
    </row>
    <row r="62" spans="1:34" ht="13.5">
      <c r="A62" s="529">
        <v>0</v>
      </c>
      <c r="B62" s="524">
        <v>0</v>
      </c>
      <c r="C62" s="524">
        <v>0</v>
      </c>
      <c r="D62" s="524">
        <v>0</v>
      </c>
      <c r="E62" s="524">
        <v>0</v>
      </c>
      <c r="F62" s="524">
        <v>0</v>
      </c>
      <c r="G62" s="524">
        <v>0</v>
      </c>
      <c r="H62" s="524">
        <v>0</v>
      </c>
      <c r="I62" s="524">
        <v>0</v>
      </c>
      <c r="J62" s="524">
        <v>0</v>
      </c>
      <c r="K62" s="524">
        <v>0</v>
      </c>
      <c r="L62" s="524">
        <v>0</v>
      </c>
      <c r="M62" s="524">
        <v>0</v>
      </c>
      <c r="N62" s="532" t="s">
        <v>195</v>
      </c>
      <c r="O62" s="512">
        <v>1731445</v>
      </c>
      <c r="P62" s="512" t="s">
        <v>196</v>
      </c>
      <c r="Q62" s="512" t="s">
        <v>193</v>
      </c>
      <c r="R62" s="512" t="s">
        <v>2</v>
      </c>
      <c r="S62" s="533">
        <v>45832</v>
      </c>
      <c r="T62" s="512">
        <v>0</v>
      </c>
      <c r="U62" s="512"/>
      <c r="V62" s="524"/>
      <c r="W62" s="512" t="s">
        <v>197</v>
      </c>
      <c r="X62" s="512" t="s">
        <v>2</v>
      </c>
      <c r="Y62" s="533">
        <v>45832</v>
      </c>
      <c r="Z62" s="512">
        <v>0</v>
      </c>
      <c r="AA62" s="512">
        <v>-51950.63</v>
      </c>
      <c r="AB62" s="524" t="s">
        <v>34</v>
      </c>
      <c r="AC62" s="524" t="s">
        <v>35</v>
      </c>
      <c r="AD62" s="512"/>
      <c r="AE62" s="512"/>
      <c r="AF62" s="512"/>
      <c r="AG62" s="512"/>
      <c r="AH62" s="524"/>
    </row>
    <row r="63" spans="1:34" ht="13.5">
      <c r="A63" s="526" t="s">
        <v>21</v>
      </c>
      <c r="B63" s="526" t="s">
        <v>21</v>
      </c>
      <c r="C63" s="526" t="s">
        <v>21</v>
      </c>
      <c r="D63" s="526" t="s">
        <v>21</v>
      </c>
      <c r="E63" s="526" t="s">
        <v>21</v>
      </c>
      <c r="F63" s="526" t="s">
        <v>21</v>
      </c>
      <c r="G63" s="526" t="s">
        <v>21</v>
      </c>
      <c r="H63" s="526" t="s">
        <v>21</v>
      </c>
      <c r="I63" s="526" t="s">
        <v>21</v>
      </c>
      <c r="J63" s="526" t="s">
        <v>21</v>
      </c>
      <c r="K63" s="526" t="s">
        <v>21</v>
      </c>
      <c r="L63" s="526" t="s">
        <v>21</v>
      </c>
      <c r="M63" s="526" t="s">
        <v>21</v>
      </c>
      <c r="N63" s="528" t="s">
        <v>198</v>
      </c>
      <c r="O63" s="528" t="s">
        <v>21</v>
      </c>
      <c r="P63" s="528" t="s">
        <v>21</v>
      </c>
      <c r="Q63" s="528" t="s">
        <v>21</v>
      </c>
      <c r="R63" s="528" t="s">
        <v>2</v>
      </c>
      <c r="S63" s="512"/>
      <c r="T63" s="512">
        <v>700000</v>
      </c>
      <c r="U63" s="536">
        <v>700000</v>
      </c>
      <c r="V63" s="524"/>
      <c r="W63" s="512" t="s">
        <v>199</v>
      </c>
      <c r="X63" s="512" t="s">
        <v>2</v>
      </c>
      <c r="Y63" s="512"/>
      <c r="Z63" s="512">
        <v>700000</v>
      </c>
      <c r="AA63" s="512">
        <v>700000</v>
      </c>
      <c r="AB63" s="524" t="s">
        <v>40</v>
      </c>
      <c r="AC63" s="524" t="s">
        <v>35</v>
      </c>
      <c r="AD63" s="512"/>
      <c r="AE63" s="512"/>
      <c r="AF63" s="512"/>
      <c r="AG63" s="512"/>
      <c r="AH63" s="524"/>
    </row>
    <row r="64" spans="1:34" ht="13.5">
      <c r="A64" s="531">
        <v>700000</v>
      </c>
      <c r="B64" s="524">
        <v>0</v>
      </c>
      <c r="C64" s="524">
        <v>0</v>
      </c>
      <c r="D64" s="524">
        <v>0</v>
      </c>
      <c r="E64" s="524">
        <v>0</v>
      </c>
      <c r="F64" s="524">
        <v>0</v>
      </c>
      <c r="G64" s="524">
        <v>0</v>
      </c>
      <c r="H64" s="524">
        <v>0</v>
      </c>
      <c r="I64" s="524">
        <v>0</v>
      </c>
      <c r="J64" s="524">
        <v>0</v>
      </c>
      <c r="K64" s="524">
        <v>0</v>
      </c>
      <c r="L64" s="524">
        <v>0</v>
      </c>
      <c r="M64" s="524">
        <v>0</v>
      </c>
      <c r="N64" s="532" t="s">
        <v>200</v>
      </c>
      <c r="O64" s="512">
        <v>10474730</v>
      </c>
      <c r="P64" s="512" t="s">
        <v>201</v>
      </c>
      <c r="Q64" s="512" t="s">
        <v>202</v>
      </c>
      <c r="R64" s="512" t="s">
        <v>2</v>
      </c>
      <c r="S64" s="533">
        <v>45832</v>
      </c>
      <c r="T64" s="512">
        <v>700000</v>
      </c>
      <c r="U64" s="512"/>
      <c r="V64" s="524"/>
      <c r="W64" s="512" t="s">
        <v>203</v>
      </c>
      <c r="X64" s="512" t="s">
        <v>2</v>
      </c>
      <c r="Y64" s="533">
        <v>45832</v>
      </c>
      <c r="Z64" s="512">
        <v>700000</v>
      </c>
      <c r="AA64" s="512">
        <v>700000</v>
      </c>
      <c r="AB64" s="524" t="s">
        <v>34</v>
      </c>
      <c r="AC64" s="524" t="s">
        <v>35</v>
      </c>
      <c r="AD64" s="512"/>
      <c r="AE64" s="512"/>
      <c r="AF64" s="512"/>
      <c r="AG64" s="512"/>
      <c r="AH64" s="524"/>
    </row>
    <row r="65" spans="1:34" ht="13.5">
      <c r="A65" s="526" t="s">
        <v>21</v>
      </c>
      <c r="B65" s="526" t="s">
        <v>21</v>
      </c>
      <c r="C65" s="526" t="s">
        <v>21</v>
      </c>
      <c r="D65" s="526" t="s">
        <v>21</v>
      </c>
      <c r="E65" s="526" t="s">
        <v>21</v>
      </c>
      <c r="F65" s="526" t="s">
        <v>21</v>
      </c>
      <c r="G65" s="526" t="s">
        <v>21</v>
      </c>
      <c r="H65" s="526" t="s">
        <v>21</v>
      </c>
      <c r="I65" s="526" t="s">
        <v>21</v>
      </c>
      <c r="J65" s="526" t="s">
        <v>21</v>
      </c>
      <c r="K65" s="526" t="s">
        <v>21</v>
      </c>
      <c r="L65" s="526" t="s">
        <v>21</v>
      </c>
      <c r="M65" s="526" t="s">
        <v>21</v>
      </c>
      <c r="N65" s="528" t="s">
        <v>204</v>
      </c>
      <c r="O65" s="528" t="s">
        <v>21</v>
      </c>
      <c r="P65" s="528" t="s">
        <v>21</v>
      </c>
      <c r="Q65" s="528" t="s">
        <v>21</v>
      </c>
      <c r="R65" s="528" t="s">
        <v>2</v>
      </c>
      <c r="S65" s="512"/>
      <c r="T65" s="512">
        <v>550000</v>
      </c>
      <c r="U65" s="536">
        <v>550000</v>
      </c>
      <c r="V65" s="524"/>
      <c r="W65" s="512" t="s">
        <v>205</v>
      </c>
      <c r="X65" s="512" t="s">
        <v>2</v>
      </c>
      <c r="Y65" s="512"/>
      <c r="Z65" s="512">
        <v>550000</v>
      </c>
      <c r="AA65" s="512">
        <v>12379876</v>
      </c>
      <c r="AB65" s="524" t="s">
        <v>40</v>
      </c>
      <c r="AC65" s="524" t="s">
        <v>35</v>
      </c>
      <c r="AD65" s="512"/>
      <c r="AE65" s="512"/>
      <c r="AF65" s="512"/>
      <c r="AG65" s="512"/>
      <c r="AH65" s="524"/>
    </row>
    <row r="66" spans="1:34" ht="13.5">
      <c r="A66" s="531">
        <v>550000</v>
      </c>
      <c r="B66" s="524">
        <v>0</v>
      </c>
      <c r="C66" s="524">
        <v>0</v>
      </c>
      <c r="D66" s="524">
        <v>0</v>
      </c>
      <c r="E66" s="524">
        <v>0</v>
      </c>
      <c r="F66" s="524">
        <v>0</v>
      </c>
      <c r="G66" s="524">
        <v>0</v>
      </c>
      <c r="H66" s="524">
        <v>0</v>
      </c>
      <c r="I66" s="524">
        <v>0</v>
      </c>
      <c r="J66" s="524">
        <v>0</v>
      </c>
      <c r="K66" s="524">
        <v>0</v>
      </c>
      <c r="L66" s="524">
        <v>0</v>
      </c>
      <c r="M66" s="524">
        <v>0</v>
      </c>
      <c r="N66" s="532" t="s">
        <v>206</v>
      </c>
      <c r="O66" s="512">
        <v>25010331</v>
      </c>
      <c r="P66" s="512" t="s">
        <v>207</v>
      </c>
      <c r="Q66" s="512" t="s">
        <v>132</v>
      </c>
      <c r="R66" s="512" t="s">
        <v>2</v>
      </c>
      <c r="S66" s="533">
        <v>45832</v>
      </c>
      <c r="T66" s="512">
        <v>550000</v>
      </c>
      <c r="U66" s="512"/>
      <c r="V66" s="524"/>
      <c r="W66" s="512" t="s">
        <v>208</v>
      </c>
      <c r="X66" s="512" t="s">
        <v>2</v>
      </c>
      <c r="Y66" s="533">
        <v>45832</v>
      </c>
      <c r="Z66" s="512">
        <v>550000</v>
      </c>
      <c r="AA66" s="512">
        <v>12379876</v>
      </c>
      <c r="AB66" s="524" t="s">
        <v>34</v>
      </c>
      <c r="AC66" s="524" t="s">
        <v>35</v>
      </c>
      <c r="AD66" s="512"/>
      <c r="AE66" s="512"/>
      <c r="AF66" s="512"/>
      <c r="AG66" s="512"/>
      <c r="AH66" s="524"/>
    </row>
    <row r="67" spans="1:34" ht="13.5">
      <c r="A67" s="526" t="s">
        <v>21</v>
      </c>
      <c r="B67" s="526" t="s">
        <v>21</v>
      </c>
      <c r="C67" s="526" t="s">
        <v>21</v>
      </c>
      <c r="D67" s="526" t="s">
        <v>21</v>
      </c>
      <c r="E67" s="526" t="s">
        <v>21</v>
      </c>
      <c r="F67" s="526" t="s">
        <v>21</v>
      </c>
      <c r="G67" s="526" t="s">
        <v>21</v>
      </c>
      <c r="H67" s="526" t="s">
        <v>21</v>
      </c>
      <c r="I67" s="526" t="s">
        <v>21</v>
      </c>
      <c r="J67" s="526" t="s">
        <v>21</v>
      </c>
      <c r="K67" s="526" t="s">
        <v>21</v>
      </c>
      <c r="L67" s="526" t="s">
        <v>21</v>
      </c>
      <c r="M67" s="526" t="s">
        <v>21</v>
      </c>
      <c r="N67" s="528" t="s">
        <v>209</v>
      </c>
      <c r="O67" s="528" t="s">
        <v>21</v>
      </c>
      <c r="P67" s="528" t="s">
        <v>21</v>
      </c>
      <c r="Q67" s="528" t="s">
        <v>21</v>
      </c>
      <c r="R67" s="528" t="s">
        <v>2</v>
      </c>
      <c r="S67" s="512"/>
      <c r="T67" s="512">
        <v>0</v>
      </c>
      <c r="U67" s="532" t="s">
        <v>124</v>
      </c>
      <c r="V67" s="524"/>
      <c r="W67" s="512" t="s">
        <v>210</v>
      </c>
      <c r="X67" s="512" t="s">
        <v>2</v>
      </c>
      <c r="Y67" s="512"/>
      <c r="Z67" s="512">
        <v>0</v>
      </c>
      <c r="AA67" s="512">
        <v>0</v>
      </c>
      <c r="AB67" s="524" t="s">
        <v>40</v>
      </c>
      <c r="AC67" s="524" t="s">
        <v>35</v>
      </c>
      <c r="AD67" s="512"/>
      <c r="AE67" s="512"/>
      <c r="AF67" s="512"/>
      <c r="AG67" s="512"/>
      <c r="AH67" s="524"/>
    </row>
    <row r="68" spans="1:34" ht="13.5">
      <c r="A68" s="529">
        <v>0</v>
      </c>
      <c r="B68" s="524">
        <v>0</v>
      </c>
      <c r="C68" s="524">
        <v>0</v>
      </c>
      <c r="D68" s="524">
        <v>0</v>
      </c>
      <c r="E68" s="524">
        <v>0</v>
      </c>
      <c r="F68" s="524">
        <v>0</v>
      </c>
      <c r="G68" s="524">
        <v>0</v>
      </c>
      <c r="H68" s="524">
        <v>0</v>
      </c>
      <c r="I68" s="524">
        <v>0</v>
      </c>
      <c r="J68" s="524">
        <v>0</v>
      </c>
      <c r="K68" s="524">
        <v>0</v>
      </c>
      <c r="L68" s="524">
        <v>0</v>
      </c>
      <c r="M68" s="524">
        <v>0</v>
      </c>
      <c r="N68" s="532" t="s">
        <v>211</v>
      </c>
      <c r="O68" s="512"/>
      <c r="P68" s="512" t="s">
        <v>212</v>
      </c>
      <c r="Q68" s="512" t="s">
        <v>213</v>
      </c>
      <c r="R68" s="512" t="s">
        <v>2</v>
      </c>
      <c r="S68" s="533">
        <v>45831</v>
      </c>
      <c r="T68" s="512">
        <v>0</v>
      </c>
      <c r="U68" s="512"/>
      <c r="V68" s="524"/>
      <c r="W68" s="512" t="s">
        <v>214</v>
      </c>
      <c r="X68" s="512" t="s">
        <v>2</v>
      </c>
      <c r="Y68" s="533">
        <v>45831</v>
      </c>
      <c r="Z68" s="512">
        <v>0</v>
      </c>
      <c r="AA68" s="512">
        <v>0</v>
      </c>
      <c r="AB68" s="524" t="s">
        <v>34</v>
      </c>
      <c r="AC68" s="524" t="s">
        <v>35</v>
      </c>
      <c r="AD68" s="512"/>
      <c r="AE68" s="512"/>
      <c r="AF68" s="512"/>
      <c r="AG68" s="512"/>
      <c r="AH68" s="524"/>
    </row>
    <row r="69" spans="1:34" ht="13.5">
      <c r="A69" s="526" t="s">
        <v>21</v>
      </c>
      <c r="B69" s="526" t="s">
        <v>21</v>
      </c>
      <c r="C69" s="526" t="s">
        <v>21</v>
      </c>
      <c r="D69" s="526" t="s">
        <v>21</v>
      </c>
      <c r="E69" s="526" t="s">
        <v>21</v>
      </c>
      <c r="F69" s="526" t="s">
        <v>21</v>
      </c>
      <c r="G69" s="526" t="s">
        <v>21</v>
      </c>
      <c r="H69" s="526" t="s">
        <v>21</v>
      </c>
      <c r="I69" s="526" t="s">
        <v>21</v>
      </c>
      <c r="J69" s="526" t="s">
        <v>21</v>
      </c>
      <c r="K69" s="526" t="s">
        <v>21</v>
      </c>
      <c r="L69" s="526" t="s">
        <v>21</v>
      </c>
      <c r="M69" s="526" t="s">
        <v>21</v>
      </c>
      <c r="N69" s="528" t="s">
        <v>215</v>
      </c>
      <c r="O69" s="528" t="s">
        <v>21</v>
      </c>
      <c r="P69" s="528" t="s">
        <v>21</v>
      </c>
      <c r="Q69" s="528" t="s">
        <v>21</v>
      </c>
      <c r="R69" s="528" t="s">
        <v>2</v>
      </c>
      <c r="S69" s="512"/>
      <c r="T69" s="512">
        <v>158442.25</v>
      </c>
      <c r="U69" s="540">
        <v>158442.25</v>
      </c>
      <c r="V69" s="524"/>
      <c r="W69" s="512" t="s">
        <v>216</v>
      </c>
      <c r="X69" s="512" t="s">
        <v>2</v>
      </c>
      <c r="Y69" s="512"/>
      <c r="Z69" s="512">
        <v>158442.25</v>
      </c>
      <c r="AA69" s="512">
        <v>538124.1</v>
      </c>
      <c r="AB69" s="524" t="s">
        <v>40</v>
      </c>
      <c r="AC69" s="524" t="s">
        <v>35</v>
      </c>
      <c r="AD69" s="512"/>
      <c r="AE69" s="512"/>
      <c r="AF69" s="512"/>
      <c r="AG69" s="512"/>
      <c r="AH69" s="524"/>
    </row>
    <row r="70" spans="1:34" ht="13.5">
      <c r="A70" s="529">
        <v>0</v>
      </c>
      <c r="B70" s="524">
        <v>0</v>
      </c>
      <c r="C70" s="524">
        <v>0</v>
      </c>
      <c r="D70" s="524">
        <v>0</v>
      </c>
      <c r="E70" s="524">
        <v>0</v>
      </c>
      <c r="F70" s="524">
        <v>0</v>
      </c>
      <c r="G70" s="524">
        <v>0</v>
      </c>
      <c r="H70" s="524">
        <v>0</v>
      </c>
      <c r="I70" s="524">
        <v>0</v>
      </c>
      <c r="J70" s="524">
        <v>0</v>
      </c>
      <c r="K70" s="524">
        <v>0</v>
      </c>
      <c r="L70" s="541">
        <v>1181932</v>
      </c>
      <c r="M70" s="524">
        <v>0</v>
      </c>
      <c r="N70" s="532" t="s">
        <v>217</v>
      </c>
      <c r="O70" s="512">
        <v>902019600</v>
      </c>
      <c r="P70" s="512" t="s">
        <v>218</v>
      </c>
      <c r="Q70" s="512" t="s">
        <v>219</v>
      </c>
      <c r="R70" s="512" t="s">
        <v>3</v>
      </c>
      <c r="S70" s="533">
        <v>45832</v>
      </c>
      <c r="T70" s="512">
        <v>1181931.6599999999</v>
      </c>
      <c r="U70" s="512"/>
      <c r="V70" s="524"/>
      <c r="W70" s="512" t="s">
        <v>220</v>
      </c>
      <c r="X70" s="512" t="s">
        <v>3</v>
      </c>
      <c r="Y70" s="533">
        <v>45832</v>
      </c>
      <c r="Z70" s="512">
        <v>1181931.6599999999</v>
      </c>
      <c r="AA70" s="512">
        <v>4012952.8</v>
      </c>
      <c r="AB70" s="524" t="s">
        <v>34</v>
      </c>
      <c r="AC70" s="524" t="s">
        <v>35</v>
      </c>
      <c r="AD70" s="512"/>
      <c r="AE70" s="512"/>
      <c r="AF70" s="512"/>
      <c r="AG70" s="512"/>
      <c r="AH70" s="524"/>
    </row>
    <row r="71" spans="1:34" ht="13.5">
      <c r="A71" s="526" t="s">
        <v>21</v>
      </c>
      <c r="B71" s="526" t="s">
        <v>21</v>
      </c>
      <c r="C71" s="526" t="s">
        <v>21</v>
      </c>
      <c r="D71" s="526" t="s">
        <v>21</v>
      </c>
      <c r="E71" s="526" t="s">
        <v>21</v>
      </c>
      <c r="F71" s="526" t="s">
        <v>21</v>
      </c>
      <c r="G71" s="526" t="s">
        <v>21</v>
      </c>
      <c r="H71" s="526" t="s">
        <v>21</v>
      </c>
      <c r="I71" s="526" t="s">
        <v>21</v>
      </c>
      <c r="J71" s="526" t="s">
        <v>21</v>
      </c>
      <c r="K71" s="526" t="s">
        <v>21</v>
      </c>
      <c r="L71" s="526" t="s">
        <v>21</v>
      </c>
      <c r="M71" s="526" t="s">
        <v>21</v>
      </c>
      <c r="N71" s="528" t="s">
        <v>221</v>
      </c>
      <c r="O71" s="528" t="s">
        <v>21</v>
      </c>
      <c r="P71" s="528" t="s">
        <v>21</v>
      </c>
      <c r="Q71" s="528" t="s">
        <v>21</v>
      </c>
      <c r="R71" s="528" t="s">
        <v>2</v>
      </c>
      <c r="S71" s="512"/>
      <c r="T71" s="512">
        <v>327336.2</v>
      </c>
      <c r="U71" s="540">
        <v>327336.2</v>
      </c>
      <c r="V71" s="524"/>
      <c r="W71" s="512" t="s">
        <v>222</v>
      </c>
      <c r="X71" s="512" t="s">
        <v>2</v>
      </c>
      <c r="Y71" s="512"/>
      <c r="Z71" s="512">
        <v>327336.2</v>
      </c>
      <c r="AA71" s="512">
        <v>3409091.6</v>
      </c>
      <c r="AB71" s="524" t="s">
        <v>40</v>
      </c>
      <c r="AC71" s="524" t="s">
        <v>35</v>
      </c>
      <c r="AD71" s="512"/>
      <c r="AE71" s="512"/>
      <c r="AF71" s="512"/>
      <c r="AG71" s="512"/>
      <c r="AH71" s="524"/>
    </row>
    <row r="72" spans="1:34" ht="13.5">
      <c r="A72" s="541">
        <v>29500</v>
      </c>
      <c r="B72" s="524">
        <v>0</v>
      </c>
      <c r="C72" s="524">
        <v>0</v>
      </c>
      <c r="D72" s="524">
        <v>0</v>
      </c>
      <c r="E72" s="524">
        <v>0</v>
      </c>
      <c r="F72" s="524">
        <v>0</v>
      </c>
      <c r="G72" s="524">
        <v>0</v>
      </c>
      <c r="H72" s="524">
        <v>0</v>
      </c>
      <c r="I72" s="524">
        <v>0</v>
      </c>
      <c r="J72" s="524">
        <v>0</v>
      </c>
      <c r="K72" s="524">
        <v>0</v>
      </c>
      <c r="L72" s="524">
        <v>0</v>
      </c>
      <c r="M72" s="524">
        <v>0</v>
      </c>
      <c r="N72" s="512" t="s">
        <v>223</v>
      </c>
      <c r="O72" s="513"/>
      <c r="P72" s="513" t="s">
        <v>224</v>
      </c>
      <c r="Q72" s="512" t="s">
        <v>225</v>
      </c>
      <c r="R72" s="513" t="s">
        <v>2</v>
      </c>
      <c r="S72" s="533">
        <v>45832</v>
      </c>
      <c r="T72" s="512">
        <v>29499.56</v>
      </c>
      <c r="U72" s="512"/>
      <c r="V72" s="524"/>
      <c r="W72" s="512" t="s">
        <v>226</v>
      </c>
      <c r="X72" s="512" t="s">
        <v>2</v>
      </c>
      <c r="Y72" s="533">
        <v>45832</v>
      </c>
      <c r="Z72" s="512">
        <v>29499.56</v>
      </c>
      <c r="AA72" s="512">
        <v>191341.66</v>
      </c>
      <c r="AB72" s="524" t="s">
        <v>40</v>
      </c>
      <c r="AC72" s="524" t="s">
        <v>35</v>
      </c>
      <c r="AD72" s="512"/>
      <c r="AE72" s="512"/>
      <c r="AF72" s="512"/>
      <c r="AG72" s="512"/>
      <c r="AH72" s="524"/>
    </row>
    <row r="73" spans="1:34" ht="13.5">
      <c r="A73" s="524">
        <v>0</v>
      </c>
      <c r="B73" s="524">
        <v>0</v>
      </c>
      <c r="C73" s="524">
        <v>0</v>
      </c>
      <c r="D73" s="524">
        <v>0</v>
      </c>
      <c r="E73" s="524">
        <v>0</v>
      </c>
      <c r="F73" s="524">
        <v>0</v>
      </c>
      <c r="G73" s="524">
        <v>0</v>
      </c>
      <c r="H73" s="524">
        <v>0</v>
      </c>
      <c r="I73" s="524">
        <v>0</v>
      </c>
      <c r="J73" s="524">
        <v>0</v>
      </c>
      <c r="K73" s="524">
        <v>0</v>
      </c>
      <c r="L73" s="524">
        <v>0</v>
      </c>
      <c r="M73" s="524">
        <v>0</v>
      </c>
      <c r="N73" s="512" t="s">
        <v>227</v>
      </c>
      <c r="O73" s="513"/>
      <c r="P73" s="513" t="s">
        <v>228</v>
      </c>
      <c r="Q73" s="512" t="s">
        <v>225</v>
      </c>
      <c r="R73" s="512" t="s">
        <v>15</v>
      </c>
      <c r="S73" s="533">
        <v>45832</v>
      </c>
      <c r="T73" s="512">
        <v>0</v>
      </c>
      <c r="U73" s="512"/>
      <c r="V73" s="524"/>
      <c r="W73" s="512" t="s">
        <v>229</v>
      </c>
      <c r="X73" s="512" t="s">
        <v>15</v>
      </c>
      <c r="Y73" s="533">
        <v>45832</v>
      </c>
      <c r="Z73" s="512">
        <v>0</v>
      </c>
      <c r="AA73" s="512">
        <v>13781626</v>
      </c>
      <c r="AB73" s="524" t="s">
        <v>40</v>
      </c>
      <c r="AC73" s="524" t="s">
        <v>35</v>
      </c>
      <c r="AD73" s="512"/>
      <c r="AE73" s="512"/>
      <c r="AF73" s="512"/>
      <c r="AG73" s="512"/>
      <c r="AH73" s="524"/>
    </row>
    <row r="74" spans="1:34" ht="13.5">
      <c r="A74" s="524">
        <v>0</v>
      </c>
      <c r="B74" s="524">
        <v>0</v>
      </c>
      <c r="C74" s="524">
        <v>0</v>
      </c>
      <c r="D74" s="524">
        <v>0</v>
      </c>
      <c r="E74" s="524">
        <v>0</v>
      </c>
      <c r="F74" s="524">
        <v>0</v>
      </c>
      <c r="G74" s="524">
        <v>0</v>
      </c>
      <c r="H74" s="524">
        <v>0</v>
      </c>
      <c r="I74" s="524">
        <v>0</v>
      </c>
      <c r="J74" s="524">
        <v>0</v>
      </c>
      <c r="K74" s="524">
        <v>0</v>
      </c>
      <c r="L74" s="524">
        <v>0</v>
      </c>
      <c r="M74" s="524">
        <v>0</v>
      </c>
      <c r="N74" s="512" t="s">
        <v>230</v>
      </c>
      <c r="O74" s="513"/>
      <c r="P74" s="513" t="s">
        <v>231</v>
      </c>
      <c r="Q74" s="512" t="s">
        <v>225</v>
      </c>
      <c r="R74" s="512" t="s">
        <v>15</v>
      </c>
      <c r="S74" s="533">
        <v>45832</v>
      </c>
      <c r="T74" s="512">
        <v>0</v>
      </c>
      <c r="U74" s="512"/>
      <c r="V74" s="524"/>
      <c r="W74" s="512" t="s">
        <v>232</v>
      </c>
      <c r="X74" s="512" t="s">
        <v>15</v>
      </c>
      <c r="Y74" s="533">
        <v>45832</v>
      </c>
      <c r="Z74" s="512">
        <v>0</v>
      </c>
      <c r="AA74" s="512">
        <v>0</v>
      </c>
      <c r="AB74" s="524" t="s">
        <v>40</v>
      </c>
      <c r="AC74" s="524" t="s">
        <v>35</v>
      </c>
      <c r="AD74" s="512"/>
      <c r="AE74" s="512"/>
      <c r="AF74" s="512"/>
      <c r="AG74" s="512"/>
      <c r="AH74" s="524"/>
    </row>
    <row r="75" spans="1:34" ht="13.5">
      <c r="A75" s="524">
        <v>0</v>
      </c>
      <c r="B75" s="524">
        <v>0</v>
      </c>
      <c r="C75" s="524">
        <v>0</v>
      </c>
      <c r="D75" s="524">
        <v>0</v>
      </c>
      <c r="E75" s="524">
        <v>0</v>
      </c>
      <c r="F75" s="541">
        <v>1249412</v>
      </c>
      <c r="G75" s="524">
        <v>0</v>
      </c>
      <c r="H75" s="524">
        <v>0</v>
      </c>
      <c r="I75" s="524">
        <v>0</v>
      </c>
      <c r="J75" s="524">
        <v>0</v>
      </c>
      <c r="K75" s="524">
        <v>0</v>
      </c>
      <c r="L75" s="524">
        <v>0</v>
      </c>
      <c r="M75" s="524">
        <v>0</v>
      </c>
      <c r="N75" s="512" t="s">
        <v>233</v>
      </c>
      <c r="O75" s="513"/>
      <c r="P75" s="513" t="s">
        <v>234</v>
      </c>
      <c r="Q75" s="542" t="s">
        <v>225</v>
      </c>
      <c r="R75" s="512" t="s">
        <v>15</v>
      </c>
      <c r="S75" s="533">
        <v>45832</v>
      </c>
      <c r="T75" s="512">
        <v>1249412.02</v>
      </c>
      <c r="U75" s="512"/>
      <c r="V75" s="524"/>
      <c r="W75" s="512" t="s">
        <v>235</v>
      </c>
      <c r="X75" s="512" t="s">
        <v>15</v>
      </c>
      <c r="Y75" s="533">
        <v>45832</v>
      </c>
      <c r="Z75" s="512">
        <v>1249412.02</v>
      </c>
      <c r="AA75" s="512">
        <v>10459.799999999999</v>
      </c>
      <c r="AB75" s="524" t="s">
        <v>34</v>
      </c>
      <c r="AC75" s="524" t="s">
        <v>35</v>
      </c>
      <c r="AD75" s="512"/>
      <c r="AE75" s="512"/>
      <c r="AF75" s="512"/>
      <c r="AG75" s="512"/>
      <c r="AH75" s="524"/>
    </row>
    <row r="76" spans="1:34" ht="13.5">
      <c r="A76" s="524">
        <v>0</v>
      </c>
      <c r="B76" s="524">
        <v>0</v>
      </c>
      <c r="C76" s="524">
        <v>0</v>
      </c>
      <c r="D76" s="524">
        <v>0</v>
      </c>
      <c r="E76" s="524">
        <v>0</v>
      </c>
      <c r="F76" s="541">
        <v>18404</v>
      </c>
      <c r="G76" s="524">
        <v>0</v>
      </c>
      <c r="H76" s="524">
        <v>0</v>
      </c>
      <c r="I76" s="524">
        <v>0</v>
      </c>
      <c r="J76" s="524">
        <v>0</v>
      </c>
      <c r="K76" s="524">
        <v>0</v>
      </c>
      <c r="L76" s="524">
        <v>0</v>
      </c>
      <c r="M76" s="524">
        <v>0</v>
      </c>
      <c r="N76" s="513" t="s">
        <v>236</v>
      </c>
      <c r="O76" s="513"/>
      <c r="P76" s="513" t="s">
        <v>237</v>
      </c>
      <c r="Q76" s="512" t="s">
        <v>225</v>
      </c>
      <c r="R76" s="512" t="s">
        <v>15</v>
      </c>
      <c r="S76" s="533">
        <v>45832</v>
      </c>
      <c r="T76" s="512">
        <v>18404.080000000002</v>
      </c>
      <c r="U76" s="512"/>
      <c r="V76" s="524"/>
      <c r="W76" s="512" t="s">
        <v>236</v>
      </c>
      <c r="X76" s="512" t="s">
        <v>15</v>
      </c>
      <c r="Y76" s="533">
        <v>45832</v>
      </c>
      <c r="Z76" s="512">
        <v>18404.080000000002</v>
      </c>
      <c r="AA76" s="512">
        <v>82047.679999999993</v>
      </c>
      <c r="AB76" s="524" t="s">
        <v>34</v>
      </c>
      <c r="AC76" s="524" t="s">
        <v>35</v>
      </c>
      <c r="AD76" s="512"/>
      <c r="AE76" s="512"/>
      <c r="AF76" s="512"/>
      <c r="AG76" s="512"/>
      <c r="AH76" s="524"/>
    </row>
    <row r="77" spans="1:34" ht="13.5">
      <c r="A77" s="526" t="s">
        <v>21</v>
      </c>
      <c r="B77" s="526" t="s">
        <v>21</v>
      </c>
      <c r="C77" s="526" t="s">
        <v>21</v>
      </c>
      <c r="D77" s="526" t="s">
        <v>21</v>
      </c>
      <c r="E77" s="526" t="s">
        <v>21</v>
      </c>
      <c r="F77" s="526" t="s">
        <v>21</v>
      </c>
      <c r="G77" s="526" t="s">
        <v>21</v>
      </c>
      <c r="H77" s="526" t="s">
        <v>21</v>
      </c>
      <c r="I77" s="526" t="s">
        <v>21</v>
      </c>
      <c r="J77" s="526" t="s">
        <v>21</v>
      </c>
      <c r="K77" s="526" t="s">
        <v>21</v>
      </c>
      <c r="L77" s="526" t="s">
        <v>21</v>
      </c>
      <c r="M77" s="526" t="s">
        <v>21</v>
      </c>
      <c r="N77" s="527" t="s">
        <v>238</v>
      </c>
      <c r="O77" s="528" t="s">
        <v>21</v>
      </c>
      <c r="P77" s="528" t="s">
        <v>21</v>
      </c>
      <c r="Q77" s="528" t="s">
        <v>21</v>
      </c>
      <c r="R77" s="528" t="s">
        <v>2</v>
      </c>
      <c r="S77" s="512"/>
      <c r="T77" s="512">
        <v>36239.730000000003</v>
      </c>
      <c r="U77" s="540">
        <v>36239.730000000003</v>
      </c>
      <c r="V77" s="524"/>
      <c r="W77" s="512" t="s">
        <v>239</v>
      </c>
      <c r="X77" s="512" t="s">
        <v>2</v>
      </c>
      <c r="Y77" s="512"/>
      <c r="Z77" s="512">
        <v>36239.730000000003</v>
      </c>
      <c r="AA77" s="512">
        <v>18211.38</v>
      </c>
      <c r="AB77" s="524" t="s">
        <v>40</v>
      </c>
      <c r="AC77" s="524" t="s">
        <v>35</v>
      </c>
      <c r="AD77" s="512"/>
      <c r="AE77" s="512"/>
      <c r="AF77" s="512"/>
      <c r="AG77" s="512"/>
      <c r="AH77" s="524"/>
    </row>
    <row r="78" spans="1:34" ht="13.5">
      <c r="A78" s="524">
        <v>0</v>
      </c>
      <c r="B78" s="524">
        <v>0</v>
      </c>
      <c r="C78" s="524">
        <v>0</v>
      </c>
      <c r="D78" s="524">
        <v>0</v>
      </c>
      <c r="E78" s="524">
        <v>0</v>
      </c>
      <c r="F78" s="541">
        <v>154263</v>
      </c>
      <c r="G78" s="524">
        <v>0</v>
      </c>
      <c r="H78" s="524">
        <v>0</v>
      </c>
      <c r="I78" s="524">
        <v>0</v>
      </c>
      <c r="J78" s="524">
        <v>0</v>
      </c>
      <c r="K78" s="524">
        <v>0</v>
      </c>
      <c r="L78" s="524">
        <v>0</v>
      </c>
      <c r="M78" s="524">
        <v>0</v>
      </c>
      <c r="N78" s="512" t="s">
        <v>240</v>
      </c>
      <c r="O78" s="512"/>
      <c r="P78" s="513" t="s">
        <v>241</v>
      </c>
      <c r="Q78" s="512" t="s">
        <v>225</v>
      </c>
      <c r="R78" s="512" t="s">
        <v>15</v>
      </c>
      <c r="S78" s="533">
        <v>45832</v>
      </c>
      <c r="T78" s="512">
        <v>154263.48000000001</v>
      </c>
      <c r="U78" s="512"/>
      <c r="V78" s="524"/>
      <c r="W78" s="512" t="s">
        <v>242</v>
      </c>
      <c r="X78" s="512" t="s">
        <v>15</v>
      </c>
      <c r="Y78" s="533">
        <v>45832</v>
      </c>
      <c r="Z78" s="512">
        <v>154263.48000000001</v>
      </c>
      <c r="AA78" s="512">
        <v>78522.899999999994</v>
      </c>
      <c r="AB78" s="524" t="s">
        <v>34</v>
      </c>
      <c r="AC78" s="524" t="s">
        <v>35</v>
      </c>
      <c r="AD78" s="512"/>
      <c r="AE78" s="512"/>
      <c r="AF78" s="512"/>
      <c r="AG78" s="512"/>
      <c r="AH78" s="524"/>
    </row>
    <row r="79" spans="1:34" ht="13.5">
      <c r="A79" s="524">
        <v>0</v>
      </c>
      <c r="B79" s="524">
        <v>0</v>
      </c>
      <c r="C79" s="524">
        <v>0</v>
      </c>
      <c r="D79" s="524">
        <v>0</v>
      </c>
      <c r="E79" s="524">
        <v>0</v>
      </c>
      <c r="F79" s="524">
        <v>0</v>
      </c>
      <c r="G79" s="524">
        <v>0</v>
      </c>
      <c r="H79" s="524">
        <v>0</v>
      </c>
      <c r="I79" s="524">
        <v>0</v>
      </c>
      <c r="J79" s="524">
        <v>0</v>
      </c>
      <c r="K79" s="524">
        <v>0</v>
      </c>
      <c r="L79" s="524">
        <v>0</v>
      </c>
      <c r="M79" s="524">
        <v>0</v>
      </c>
      <c r="N79" s="512" t="s">
        <v>243</v>
      </c>
      <c r="O79" s="512"/>
      <c r="P79" s="513" t="s">
        <v>244</v>
      </c>
      <c r="Q79" s="512" t="s">
        <v>225</v>
      </c>
      <c r="R79" s="512" t="s">
        <v>15</v>
      </c>
      <c r="S79" s="533">
        <v>45832</v>
      </c>
      <c r="T79" s="512">
        <v>0</v>
      </c>
      <c r="U79" s="512"/>
      <c r="V79" s="524"/>
      <c r="W79" s="512" t="s">
        <v>243</v>
      </c>
      <c r="X79" s="512" t="s">
        <v>15</v>
      </c>
      <c r="Y79" s="533">
        <v>45832</v>
      </c>
      <c r="Z79" s="512">
        <v>0</v>
      </c>
      <c r="AA79" s="512">
        <v>0</v>
      </c>
      <c r="AB79" s="524" t="s">
        <v>40</v>
      </c>
      <c r="AC79" s="524" t="s">
        <v>35</v>
      </c>
      <c r="AD79" s="512"/>
      <c r="AE79" s="512"/>
      <c r="AF79" s="512"/>
      <c r="AG79" s="512"/>
      <c r="AH79" s="524"/>
    </row>
    <row r="80" spans="1:34" s="9" customFormat="1" ht="13.5">
      <c r="A80" s="543" t="s">
        <v>21</v>
      </c>
      <c r="B80" s="543" t="s">
        <v>21</v>
      </c>
      <c r="C80" s="543" t="s">
        <v>21</v>
      </c>
      <c r="D80" s="543" t="s">
        <v>21</v>
      </c>
      <c r="E80" s="543" t="s">
        <v>21</v>
      </c>
      <c r="F80" s="543" t="s">
        <v>21</v>
      </c>
      <c r="G80" s="543" t="s">
        <v>21</v>
      </c>
      <c r="H80" s="543" t="s">
        <v>21</v>
      </c>
      <c r="I80" s="543" t="s">
        <v>21</v>
      </c>
      <c r="J80" s="543" t="s">
        <v>21</v>
      </c>
      <c r="K80" s="543" t="s">
        <v>21</v>
      </c>
      <c r="L80" s="543" t="s">
        <v>21</v>
      </c>
      <c r="M80" s="543" t="s">
        <v>21</v>
      </c>
      <c r="N80" s="544" t="s">
        <v>21</v>
      </c>
      <c r="O80" s="534" t="s">
        <v>21</v>
      </c>
      <c r="P80" s="534" t="s">
        <v>21</v>
      </c>
      <c r="Q80" s="534" t="s">
        <v>21</v>
      </c>
      <c r="R80" s="534" t="s">
        <v>21</v>
      </c>
      <c r="S80" s="543" t="s">
        <v>21</v>
      </c>
      <c r="T80" s="543" t="s">
        <v>21</v>
      </c>
      <c r="U80" s="544" t="s">
        <v>124</v>
      </c>
      <c r="V80" s="543" t="s">
        <v>21</v>
      </c>
      <c r="W80" s="543" t="s">
        <v>21</v>
      </c>
      <c r="X80" s="543" t="s">
        <v>21</v>
      </c>
      <c r="Y80" s="543" t="s">
        <v>21</v>
      </c>
      <c r="Z80" s="543" t="s">
        <v>21</v>
      </c>
      <c r="AA80" s="545">
        <v>1817.18</v>
      </c>
      <c r="AB80" s="543" t="s">
        <v>40</v>
      </c>
      <c r="AC80" s="546">
        <v>28461.14</v>
      </c>
      <c r="AD80" s="534" t="s">
        <v>21</v>
      </c>
      <c r="AE80" s="534" t="s">
        <v>21</v>
      </c>
      <c r="AF80" s="534" t="s">
        <v>21</v>
      </c>
      <c r="AG80" s="534" t="s">
        <v>21</v>
      </c>
      <c r="AH80" s="543" t="s">
        <v>21</v>
      </c>
    </row>
    <row r="81" spans="1:34" s="9" customFormat="1" ht="13.5">
      <c r="A81" s="543">
        <v>0</v>
      </c>
      <c r="B81" s="543">
        <v>0</v>
      </c>
      <c r="C81" s="543">
        <v>0</v>
      </c>
      <c r="D81" s="543">
        <v>0</v>
      </c>
      <c r="E81" s="543">
        <v>0</v>
      </c>
      <c r="F81" s="543">
        <v>0</v>
      </c>
      <c r="G81" s="543">
        <v>0</v>
      </c>
      <c r="H81" s="543">
        <v>0</v>
      </c>
      <c r="I81" s="543">
        <v>0</v>
      </c>
      <c r="J81" s="543">
        <v>0</v>
      </c>
      <c r="K81" s="543">
        <v>0</v>
      </c>
      <c r="L81" s="543">
        <v>0</v>
      </c>
      <c r="M81" s="543">
        <v>0</v>
      </c>
      <c r="N81" s="544" t="s">
        <v>21</v>
      </c>
      <c r="O81" s="544" t="s">
        <v>21</v>
      </c>
      <c r="P81" s="534" t="s">
        <v>21</v>
      </c>
      <c r="Q81" s="534" t="s">
        <v>21</v>
      </c>
      <c r="R81" s="534" t="s">
        <v>21</v>
      </c>
      <c r="S81" s="543" t="s">
        <v>21</v>
      </c>
      <c r="T81" s="543" t="s">
        <v>21</v>
      </c>
      <c r="U81" s="534" t="s">
        <v>21</v>
      </c>
      <c r="V81" s="543" t="s">
        <v>21</v>
      </c>
      <c r="W81" s="543" t="s">
        <v>21</v>
      </c>
      <c r="X81" s="543" t="s">
        <v>21</v>
      </c>
      <c r="Y81" s="543" t="s">
        <v>21</v>
      </c>
      <c r="Z81" s="543" t="s">
        <v>21</v>
      </c>
      <c r="AA81" s="545">
        <v>1817.18</v>
      </c>
      <c r="AB81" s="543" t="s">
        <v>40</v>
      </c>
      <c r="AC81" s="546">
        <v>28461.14</v>
      </c>
      <c r="AD81" s="534" t="s">
        <v>21</v>
      </c>
      <c r="AE81" s="534" t="s">
        <v>21</v>
      </c>
      <c r="AF81" s="534" t="s">
        <v>21</v>
      </c>
      <c r="AG81" s="534" t="s">
        <v>21</v>
      </c>
      <c r="AH81" s="543" t="s">
        <v>21</v>
      </c>
    </row>
    <row r="82" spans="1:34" ht="13.5">
      <c r="A82" s="526" t="s">
        <v>21</v>
      </c>
      <c r="B82" s="526" t="s">
        <v>21</v>
      </c>
      <c r="C82" s="526" t="s">
        <v>21</v>
      </c>
      <c r="D82" s="526" t="s">
        <v>21</v>
      </c>
      <c r="E82" s="526" t="s">
        <v>21</v>
      </c>
      <c r="F82" s="526" t="s">
        <v>21</v>
      </c>
      <c r="G82" s="526" t="s">
        <v>21</v>
      </c>
      <c r="H82" s="526" t="s">
        <v>21</v>
      </c>
      <c r="I82" s="526" t="s">
        <v>21</v>
      </c>
      <c r="J82" s="526" t="s">
        <v>21</v>
      </c>
      <c r="K82" s="526" t="s">
        <v>21</v>
      </c>
      <c r="L82" s="526" t="s">
        <v>21</v>
      </c>
      <c r="M82" s="526" t="s">
        <v>21</v>
      </c>
      <c r="N82" s="512" t="s">
        <v>245</v>
      </c>
      <c r="O82" s="512" t="s">
        <v>2</v>
      </c>
      <c r="P82" s="512"/>
      <c r="Q82" s="512">
        <v>8275.23</v>
      </c>
      <c r="R82" s="528" t="s">
        <v>2</v>
      </c>
      <c r="S82" s="512"/>
      <c r="T82" s="512">
        <v>28461.14</v>
      </c>
      <c r="U82" s="536">
        <v>28461.14</v>
      </c>
      <c r="V82" s="524"/>
      <c r="W82" s="512" t="s">
        <v>245</v>
      </c>
      <c r="X82" s="512" t="s">
        <v>2</v>
      </c>
      <c r="Y82" s="512"/>
      <c r="Z82" s="512">
        <v>28461.14</v>
      </c>
      <c r="AA82" s="512">
        <v>8205.23</v>
      </c>
      <c r="AB82" s="524" t="s">
        <v>40</v>
      </c>
      <c r="AC82" s="547">
        <v>149146.87</v>
      </c>
      <c r="AD82" s="512"/>
      <c r="AE82" s="512"/>
      <c r="AF82" s="512"/>
      <c r="AG82" s="512"/>
      <c r="AH82" s="524"/>
    </row>
    <row r="83" spans="1:34" ht="13.5">
      <c r="A83" s="531">
        <v>28461</v>
      </c>
      <c r="B83" s="524">
        <v>0</v>
      </c>
      <c r="C83" s="524">
        <v>0</v>
      </c>
      <c r="D83" s="524">
        <v>0</v>
      </c>
      <c r="E83" s="524">
        <v>0</v>
      </c>
      <c r="F83" s="524">
        <v>0</v>
      </c>
      <c r="G83" s="524">
        <v>0</v>
      </c>
      <c r="H83" s="524">
        <v>0</v>
      </c>
      <c r="I83" s="524">
        <v>0</v>
      </c>
      <c r="J83" s="524">
        <v>0</v>
      </c>
      <c r="K83" s="524">
        <v>0</v>
      </c>
      <c r="L83" s="524">
        <v>0</v>
      </c>
      <c r="M83" s="524">
        <v>0</v>
      </c>
      <c r="N83" s="512" t="s">
        <v>246</v>
      </c>
      <c r="O83" s="512" t="s">
        <v>2</v>
      </c>
      <c r="P83" s="512" t="s">
        <v>247</v>
      </c>
      <c r="Q83" s="512">
        <v>8275.23</v>
      </c>
      <c r="R83" s="512" t="s">
        <v>2</v>
      </c>
      <c r="S83" s="533">
        <v>45832</v>
      </c>
      <c r="T83" s="512">
        <v>28461.14</v>
      </c>
      <c r="U83" s="512"/>
      <c r="V83" s="524"/>
      <c r="W83" s="512" t="s">
        <v>248</v>
      </c>
      <c r="X83" s="512" t="s">
        <v>2</v>
      </c>
      <c r="Y83" s="533">
        <v>45832</v>
      </c>
      <c r="Z83" s="512">
        <v>28461.14</v>
      </c>
      <c r="AA83" s="512">
        <v>8205.23</v>
      </c>
      <c r="AB83" s="524" t="s">
        <v>40</v>
      </c>
      <c r="AC83" s="547">
        <v>149146.87</v>
      </c>
      <c r="AD83" s="512"/>
      <c r="AE83" s="512"/>
      <c r="AF83" s="512"/>
      <c r="AG83" s="512"/>
      <c r="AH83" s="524"/>
    </row>
    <row r="84" spans="1:34" ht="13.5">
      <c r="A84" s="526" t="s">
        <v>21</v>
      </c>
      <c r="B84" s="526" t="s">
        <v>21</v>
      </c>
      <c r="C84" s="526" t="s">
        <v>21</v>
      </c>
      <c r="D84" s="526" t="s">
        <v>21</v>
      </c>
      <c r="E84" s="526" t="s">
        <v>21</v>
      </c>
      <c r="F84" s="526" t="s">
        <v>21</v>
      </c>
      <c r="G84" s="526" t="s">
        <v>21</v>
      </c>
      <c r="H84" s="526" t="s">
        <v>21</v>
      </c>
      <c r="I84" s="526" t="s">
        <v>21</v>
      </c>
      <c r="J84" s="526" t="s">
        <v>21</v>
      </c>
      <c r="K84" s="526" t="s">
        <v>21</v>
      </c>
      <c r="L84" s="526" t="s">
        <v>21</v>
      </c>
      <c r="M84" s="526" t="s">
        <v>21</v>
      </c>
      <c r="N84" s="512" t="s">
        <v>249</v>
      </c>
      <c r="O84" s="512" t="s">
        <v>2</v>
      </c>
      <c r="P84" s="512"/>
      <c r="Q84" s="512">
        <v>70958.710000000006</v>
      </c>
      <c r="R84" s="528" t="s">
        <v>2</v>
      </c>
      <c r="S84" s="512"/>
      <c r="T84" s="512">
        <v>177608.01</v>
      </c>
      <c r="U84" s="536">
        <v>177608.01</v>
      </c>
      <c r="V84" s="524"/>
      <c r="W84" s="512" t="s">
        <v>249</v>
      </c>
      <c r="X84" s="512" t="s">
        <v>2</v>
      </c>
      <c r="Y84" s="512"/>
      <c r="Z84" s="512">
        <v>177608.01</v>
      </c>
      <c r="AA84" s="512">
        <v>67697.27</v>
      </c>
      <c r="AB84" s="524" t="e">
        <v>#REF!</v>
      </c>
      <c r="AC84" s="547">
        <v>18640456.530000001</v>
      </c>
      <c r="AD84" s="512"/>
      <c r="AE84" s="512"/>
      <c r="AF84" s="512"/>
      <c r="AG84" s="512"/>
      <c r="AH84" s="524"/>
    </row>
    <row r="85" spans="1:34" ht="13.5">
      <c r="A85" s="531">
        <v>177608</v>
      </c>
      <c r="B85" s="524">
        <v>0</v>
      </c>
      <c r="C85" s="524">
        <v>0</v>
      </c>
      <c r="D85" s="524">
        <v>0</v>
      </c>
      <c r="E85" s="524">
        <v>0</v>
      </c>
      <c r="F85" s="524">
        <v>0</v>
      </c>
      <c r="G85" s="524">
        <v>0</v>
      </c>
      <c r="H85" s="524">
        <v>0</v>
      </c>
      <c r="I85" s="524">
        <v>0</v>
      </c>
      <c r="J85" s="524">
        <v>0</v>
      </c>
      <c r="K85" s="524">
        <v>0</v>
      </c>
      <c r="L85" s="524">
        <v>0</v>
      </c>
      <c r="M85" s="524">
        <v>0</v>
      </c>
      <c r="N85" s="512" t="s">
        <v>250</v>
      </c>
      <c r="O85" s="512" t="s">
        <v>2</v>
      </c>
      <c r="P85" s="512" t="s">
        <v>251</v>
      </c>
      <c r="Q85" s="512">
        <v>70958.710000000006</v>
      </c>
      <c r="R85" s="513" t="s">
        <v>2</v>
      </c>
      <c r="S85" s="533">
        <v>45832</v>
      </c>
      <c r="T85" s="512">
        <v>177608.01</v>
      </c>
      <c r="U85" s="512"/>
      <c r="V85" s="524"/>
      <c r="W85" s="512" t="s">
        <v>252</v>
      </c>
      <c r="X85" s="512" t="s">
        <v>2</v>
      </c>
      <c r="Y85" s="533">
        <v>45832</v>
      </c>
      <c r="Z85" s="512">
        <v>177608.01</v>
      </c>
      <c r="AA85" s="512">
        <v>67697.27</v>
      </c>
      <c r="AB85" s="524" t="e">
        <v>#REF!</v>
      </c>
      <c r="AC85" s="524" t="e">
        <v>#REF!</v>
      </c>
      <c r="AD85" s="512"/>
      <c r="AE85" s="512"/>
      <c r="AF85" s="512"/>
      <c r="AG85" s="512"/>
      <c r="AH85" s="524"/>
    </row>
    <row r="86" spans="1:34" ht="13.5">
      <c r="A86" s="538">
        <v>2877794</v>
      </c>
      <c r="B86" s="538">
        <v>-2400</v>
      </c>
      <c r="C86" s="538">
        <v>182333</v>
      </c>
      <c r="D86" s="537">
        <v>0</v>
      </c>
      <c r="E86" s="538">
        <v>40793285</v>
      </c>
      <c r="F86" s="538">
        <v>1422080</v>
      </c>
      <c r="G86" s="537">
        <v>0</v>
      </c>
      <c r="H86" s="537">
        <v>0</v>
      </c>
      <c r="I86" s="537">
        <v>0</v>
      </c>
      <c r="J86" s="537">
        <v>0</v>
      </c>
      <c r="K86" s="538">
        <v>162836</v>
      </c>
      <c r="L86" s="538">
        <v>1181932</v>
      </c>
      <c r="M86" s="537">
        <v>0</v>
      </c>
      <c r="N86" s="512" t="s">
        <v>253</v>
      </c>
      <c r="O86" s="512" t="s">
        <v>2</v>
      </c>
      <c r="P86" s="512"/>
      <c r="Q86" s="512">
        <v>949568.29</v>
      </c>
      <c r="R86" s="512" t="s">
        <v>2</v>
      </c>
      <c r="S86" s="512"/>
      <c r="T86" s="512">
        <v>18818064.539999999</v>
      </c>
      <c r="U86" s="512"/>
      <c r="V86" s="524"/>
      <c r="W86" s="512" t="s">
        <v>253</v>
      </c>
      <c r="X86" s="512" t="s">
        <v>2</v>
      </c>
      <c r="Y86" s="512"/>
      <c r="Z86" s="512">
        <v>18818064.539999999</v>
      </c>
      <c r="AA86" s="512">
        <v>18385489</v>
      </c>
      <c r="AB86" s="524" t="e">
        <v>#REF!</v>
      </c>
      <c r="AC86" s="524" t="e">
        <v>#REF!</v>
      </c>
      <c r="AD86" s="512"/>
      <c r="AE86" s="512"/>
      <c r="AF86" s="512"/>
      <c r="AG86" s="512"/>
      <c r="AH86" s="524"/>
    </row>
    <row r="87" spans="1:34" ht="13.5">
      <c r="A87" s="524"/>
      <c r="B87" s="524"/>
      <c r="C87" s="524"/>
      <c r="D87" s="524"/>
      <c r="E87" s="524"/>
      <c r="F87" s="524"/>
      <c r="G87" s="524"/>
      <c r="H87" s="524"/>
      <c r="I87" s="524"/>
      <c r="J87" s="524"/>
      <c r="K87" s="524"/>
      <c r="L87" s="524"/>
      <c r="M87" s="524"/>
      <c r="N87" s="512"/>
      <c r="O87" s="512"/>
      <c r="P87" s="512"/>
      <c r="Q87" s="512"/>
      <c r="R87" s="512"/>
      <c r="S87" s="512"/>
      <c r="T87" s="512"/>
      <c r="U87" s="524"/>
      <c r="V87" s="524"/>
      <c r="W87" s="512"/>
      <c r="X87" s="512"/>
      <c r="Y87" s="512"/>
      <c r="Z87" s="512"/>
      <c r="AA87" s="524"/>
      <c r="AB87" s="512"/>
      <c r="AC87" s="512"/>
      <c r="AD87" s="512"/>
      <c r="AE87" s="512"/>
      <c r="AF87" s="512"/>
      <c r="AG87" s="512"/>
      <c r="AH87" s="524"/>
    </row>
    <row r="88" spans="1:34" ht="15">
      <c r="A88" s="524"/>
      <c r="B88" s="524">
        <v>0.8528</v>
      </c>
      <c r="C88" s="524">
        <v>1.1608000000000001</v>
      </c>
      <c r="D88" s="524">
        <v>0</v>
      </c>
      <c r="E88" s="524">
        <v>11.064</v>
      </c>
      <c r="F88" s="524">
        <v>4.2567000000000004</v>
      </c>
      <c r="G88" s="524">
        <v>1.4858</v>
      </c>
      <c r="H88" s="524">
        <v>0</v>
      </c>
      <c r="I88" s="524">
        <v>1.7835000000000001</v>
      </c>
      <c r="J88" s="524">
        <v>0</v>
      </c>
      <c r="K88" s="524">
        <v>11.71</v>
      </c>
      <c r="L88" s="524">
        <v>7.4596999999999998</v>
      </c>
      <c r="M88" s="524">
        <v>0.93875003000000001</v>
      </c>
      <c r="N88" s="512"/>
      <c r="O88" s="512"/>
      <c r="P88" s="512"/>
      <c r="Q88" s="512"/>
      <c r="R88" s="512"/>
      <c r="S88" s="512"/>
      <c r="T88" s="548">
        <v>25414525.050000001</v>
      </c>
      <c r="U88" s="549">
        <v>13045870.470000001</v>
      </c>
      <c r="V88" s="524"/>
      <c r="W88" s="512"/>
      <c r="X88" s="512"/>
      <c r="Y88" s="512"/>
      <c r="Z88" s="512"/>
      <c r="AA88" s="524"/>
      <c r="AB88" s="524"/>
      <c r="AC88" s="524"/>
      <c r="AD88" s="512"/>
      <c r="AE88" s="512"/>
      <c r="AF88" s="512"/>
      <c r="AG88" s="512"/>
      <c r="AH88" s="524"/>
    </row>
    <row r="89" spans="1:34" ht="15">
      <c r="A89" s="541">
        <v>2877794</v>
      </c>
      <c r="B89" s="541">
        <v>-2814</v>
      </c>
      <c r="C89" s="541">
        <v>157075</v>
      </c>
      <c r="D89" s="524">
        <v>0</v>
      </c>
      <c r="E89" s="541">
        <v>3687027</v>
      </c>
      <c r="F89" s="541">
        <v>334076</v>
      </c>
      <c r="G89" s="524">
        <v>0</v>
      </c>
      <c r="H89" s="524">
        <v>0</v>
      </c>
      <c r="I89" s="524">
        <v>0</v>
      </c>
      <c r="J89" s="524">
        <v>0</v>
      </c>
      <c r="K89" s="541">
        <v>13906</v>
      </c>
      <c r="L89" s="541">
        <v>158442</v>
      </c>
      <c r="M89" s="524">
        <v>0</v>
      </c>
      <c r="N89" s="512"/>
      <c r="O89" s="512"/>
      <c r="P89" s="512"/>
      <c r="Q89" s="512"/>
      <c r="R89" s="512"/>
      <c r="S89" s="512"/>
      <c r="T89" s="550" t="s">
        <v>254</v>
      </c>
      <c r="U89" s="551">
        <v>5772253.2599999998</v>
      </c>
      <c r="V89" s="524"/>
      <c r="W89" s="512"/>
      <c r="X89" s="512"/>
      <c r="Y89" s="512"/>
      <c r="Z89" s="512"/>
      <c r="AA89" s="524"/>
      <c r="AB89" s="524"/>
      <c r="AC89" s="524"/>
      <c r="AD89" s="512"/>
      <c r="AE89" s="512"/>
      <c r="AF89" s="512"/>
      <c r="AG89" s="512"/>
      <c r="AH89" s="524"/>
    </row>
    <row r="90" spans="1:34" ht="13.5">
      <c r="A90" s="541">
        <v>5484032</v>
      </c>
      <c r="B90" s="541">
        <v>5026928</v>
      </c>
      <c r="C90" s="541">
        <v>519176</v>
      </c>
      <c r="D90" s="524">
        <v>0</v>
      </c>
      <c r="E90" s="541">
        <v>4321</v>
      </c>
      <c r="F90" s="541">
        <v>39863</v>
      </c>
      <c r="G90" s="541">
        <v>369256</v>
      </c>
      <c r="H90" s="524">
        <v>0</v>
      </c>
      <c r="I90" s="541">
        <v>1789</v>
      </c>
      <c r="J90" s="524">
        <v>0</v>
      </c>
      <c r="K90" s="541">
        <v>10577</v>
      </c>
      <c r="L90" s="541">
        <v>67788</v>
      </c>
      <c r="M90" s="541">
        <v>37537</v>
      </c>
      <c r="N90" s="512"/>
      <c r="O90" s="512"/>
      <c r="P90" s="512"/>
      <c r="Q90" s="512"/>
      <c r="R90" s="512"/>
      <c r="S90" s="512"/>
      <c r="T90" s="552" t="s">
        <v>255</v>
      </c>
      <c r="U90" s="553" t="s">
        <v>256</v>
      </c>
      <c r="V90" s="524"/>
      <c r="W90" s="512"/>
      <c r="X90" s="512"/>
      <c r="Y90" s="512"/>
      <c r="Z90" s="512"/>
      <c r="AA90" s="524"/>
      <c r="AB90" s="524"/>
      <c r="AC90" s="524"/>
      <c r="AD90" s="512"/>
      <c r="AE90" s="512"/>
      <c r="AF90" s="512"/>
      <c r="AG90" s="512"/>
      <c r="AH90" s="524"/>
    </row>
    <row r="91" spans="1:34" ht="13.5">
      <c r="A91" s="524"/>
      <c r="B91" s="524"/>
      <c r="C91" s="524"/>
      <c r="D91" s="524"/>
      <c r="E91" s="524"/>
      <c r="F91" s="524"/>
      <c r="G91" s="524"/>
      <c r="H91" s="524"/>
      <c r="I91" s="524"/>
      <c r="J91" s="524"/>
      <c r="K91" s="524"/>
      <c r="L91" s="524"/>
      <c r="M91" s="524"/>
      <c r="N91" s="512"/>
      <c r="O91" s="512"/>
      <c r="P91" s="512"/>
      <c r="Q91" s="512"/>
      <c r="R91" s="512"/>
      <c r="S91" s="512"/>
      <c r="T91" s="512"/>
      <c r="U91" s="524"/>
      <c r="V91" s="524"/>
      <c r="W91" s="512"/>
      <c r="X91" s="512"/>
      <c r="Y91" s="512"/>
      <c r="Z91" s="512"/>
      <c r="AA91" s="524"/>
      <c r="AB91" s="524"/>
      <c r="AC91" s="524"/>
      <c r="AD91" s="512"/>
      <c r="AE91" s="512"/>
      <c r="AF91" s="512"/>
      <c r="AG91" s="512"/>
      <c r="AH91" s="524"/>
    </row>
    <row r="92" spans="1:34" ht="13.5">
      <c r="A92" s="524"/>
      <c r="B92" s="524"/>
      <c r="C92" s="524"/>
      <c r="D92" s="524"/>
      <c r="E92" s="524"/>
      <c r="F92" s="524"/>
      <c r="G92" s="524"/>
      <c r="H92" s="524"/>
      <c r="I92" s="524"/>
      <c r="J92" s="524"/>
      <c r="K92" s="524"/>
      <c r="L92" s="524"/>
      <c r="M92" s="524"/>
      <c r="N92" s="524"/>
      <c r="O92" s="524"/>
      <c r="P92" s="524"/>
      <c r="Q92" s="524"/>
      <c r="R92" s="524"/>
      <c r="S92" s="554" t="s">
        <v>21</v>
      </c>
      <c r="T92" s="555" t="s">
        <v>257</v>
      </c>
      <c r="U92" s="556" t="s">
        <v>258</v>
      </c>
      <c r="V92" s="512"/>
      <c r="W92" s="524"/>
      <c r="X92" s="512"/>
      <c r="Y92" s="512"/>
      <c r="Z92" s="512"/>
      <c r="AA92" s="524"/>
      <c r="AB92" s="524"/>
      <c r="AC92" s="524"/>
      <c r="AD92" s="512"/>
      <c r="AE92" s="512"/>
      <c r="AF92" s="512"/>
      <c r="AG92" s="512"/>
      <c r="AH92" s="524"/>
    </row>
    <row r="93" spans="1:34" ht="13.5">
      <c r="A93" s="524"/>
      <c r="B93" s="524"/>
      <c r="C93" s="524"/>
      <c r="D93" s="524"/>
      <c r="E93" s="524"/>
      <c r="F93" s="541">
        <v>1621266</v>
      </c>
      <c r="G93" s="524"/>
      <c r="H93" s="524"/>
      <c r="I93" s="524"/>
      <c r="J93" s="524"/>
      <c r="K93" s="524"/>
      <c r="L93" s="524"/>
      <c r="M93" s="524"/>
      <c r="N93" s="512"/>
      <c r="O93" s="512"/>
      <c r="P93" s="512"/>
      <c r="Q93" s="512"/>
      <c r="R93" s="512"/>
      <c r="S93" s="557" t="s">
        <v>2</v>
      </c>
      <c r="T93" s="522">
        <v>22707656.550000001</v>
      </c>
      <c r="U93" s="559">
        <v>4060659.87</v>
      </c>
      <c r="V93" s="512"/>
      <c r="W93" s="524"/>
      <c r="X93" s="512"/>
      <c r="Y93" s="512"/>
      <c r="Z93" s="512"/>
      <c r="AA93" s="524"/>
      <c r="AB93" s="524"/>
      <c r="AC93" s="524"/>
      <c r="AD93" s="512"/>
      <c r="AE93" s="512"/>
      <c r="AF93" s="512"/>
      <c r="AG93" s="512"/>
      <c r="AH93" s="524"/>
    </row>
    <row r="94" spans="1:34" ht="13.5">
      <c r="A94" s="524"/>
      <c r="B94" s="524"/>
      <c r="C94" s="524"/>
      <c r="D94" s="524"/>
      <c r="E94" s="524"/>
      <c r="F94" s="541">
        <v>403439</v>
      </c>
      <c r="G94" s="524"/>
      <c r="H94" s="524"/>
      <c r="I94" s="524"/>
      <c r="J94" s="524"/>
      <c r="K94" s="524"/>
      <c r="L94" s="524"/>
      <c r="M94" s="524"/>
      <c r="N94" s="512"/>
      <c r="O94" s="512"/>
      <c r="P94" s="512"/>
      <c r="Q94" s="512"/>
      <c r="R94" s="512"/>
      <c r="S94" s="557" t="s">
        <v>7</v>
      </c>
      <c r="T94" s="522">
        <v>9793.92</v>
      </c>
      <c r="U94" s="558" t="s">
        <v>124</v>
      </c>
      <c r="V94" s="512"/>
      <c r="W94" s="524"/>
      <c r="X94" s="512"/>
      <c r="Y94" s="512"/>
      <c r="Z94" s="512"/>
      <c r="AA94" s="524"/>
      <c r="AB94" s="524"/>
      <c r="AC94" s="524"/>
      <c r="AD94" s="512"/>
      <c r="AE94" s="512"/>
      <c r="AF94" s="512"/>
      <c r="AG94" s="512"/>
      <c r="AH94" s="524"/>
    </row>
    <row r="95" spans="1:34" ht="13.5">
      <c r="A95" s="524"/>
      <c r="B95" s="524"/>
      <c r="C95" s="524"/>
      <c r="D95" s="524"/>
      <c r="E95" s="524"/>
      <c r="F95" s="524"/>
      <c r="G95" s="524"/>
      <c r="H95" s="524"/>
      <c r="I95" s="524"/>
      <c r="J95" s="524"/>
      <c r="K95" s="524"/>
      <c r="L95" s="524"/>
      <c r="M95" s="524"/>
      <c r="N95" s="512"/>
      <c r="O95" s="524"/>
      <c r="P95" s="524"/>
      <c r="Q95" s="512"/>
      <c r="R95" s="512"/>
      <c r="S95" s="557" t="s">
        <v>14</v>
      </c>
      <c r="T95" s="522">
        <v>4731.1899999999996</v>
      </c>
      <c r="U95" s="558" t="s">
        <v>124</v>
      </c>
      <c r="V95" s="512"/>
      <c r="W95" s="524"/>
      <c r="X95" s="512"/>
      <c r="Y95" s="512"/>
      <c r="Z95" s="512"/>
      <c r="AA95" s="524"/>
      <c r="AB95" s="524"/>
      <c r="AC95" s="524"/>
      <c r="AD95" s="512"/>
      <c r="AE95" s="512"/>
      <c r="AF95" s="512"/>
      <c r="AG95" s="512"/>
      <c r="AH95" s="524"/>
    </row>
    <row r="96" spans="1:34" ht="13.5">
      <c r="A96" s="524"/>
      <c r="B96" s="524"/>
      <c r="C96" s="524"/>
      <c r="D96" s="524"/>
      <c r="E96" s="524"/>
      <c r="F96" s="524"/>
      <c r="G96" s="524"/>
      <c r="H96" s="524"/>
      <c r="I96" s="524"/>
      <c r="J96" s="524"/>
      <c r="K96" s="524"/>
      <c r="L96" s="524"/>
      <c r="M96" s="524"/>
      <c r="N96" s="512"/>
      <c r="O96" s="512"/>
      <c r="P96" s="512"/>
      <c r="Q96" s="512"/>
      <c r="R96" s="512"/>
      <c r="S96" s="557" t="s">
        <v>9</v>
      </c>
      <c r="T96" s="522">
        <v>40220.04</v>
      </c>
      <c r="U96" s="558">
        <v>220.03</v>
      </c>
      <c r="V96" s="512"/>
      <c r="W96" s="524"/>
      <c r="X96" s="512"/>
      <c r="Y96" s="512"/>
      <c r="Z96" s="512"/>
      <c r="AA96" s="524"/>
      <c r="AB96" s="524"/>
      <c r="AC96" s="524"/>
      <c r="AD96" s="512"/>
      <c r="AE96" s="512"/>
      <c r="AF96" s="512"/>
      <c r="AG96" s="512"/>
      <c r="AH96" s="524"/>
    </row>
    <row r="97" spans="1:34" ht="13.5">
      <c r="A97" s="524"/>
      <c r="B97" s="524"/>
      <c r="C97" s="524"/>
      <c r="D97" s="524"/>
      <c r="E97" s="524"/>
      <c r="F97" s="524"/>
      <c r="G97" s="524"/>
      <c r="H97" s="524"/>
      <c r="I97" s="524"/>
      <c r="J97" s="524"/>
      <c r="K97" s="524"/>
      <c r="L97" s="524"/>
      <c r="M97" s="524"/>
      <c r="N97" s="512"/>
      <c r="O97" s="512"/>
      <c r="P97" s="512"/>
      <c r="Q97" s="512"/>
      <c r="R97" s="512"/>
      <c r="S97" s="557" t="s">
        <v>18</v>
      </c>
      <c r="T97" s="522">
        <v>50836.04</v>
      </c>
      <c r="U97" s="558" t="s">
        <v>124</v>
      </c>
      <c r="V97" s="512"/>
      <c r="W97" s="524"/>
      <c r="X97" s="512"/>
      <c r="Y97" s="512"/>
      <c r="Z97" s="512"/>
      <c r="AA97" s="524"/>
      <c r="AB97" s="524"/>
      <c r="AC97" s="524"/>
      <c r="AD97" s="512"/>
      <c r="AE97" s="512"/>
      <c r="AF97" s="512"/>
      <c r="AG97" s="512"/>
      <c r="AH97" s="524"/>
    </row>
    <row r="98" spans="1:34" ht="13.5">
      <c r="A98" s="524"/>
      <c r="B98" s="524"/>
      <c r="C98" s="524"/>
      <c r="D98" s="524"/>
      <c r="E98" s="524"/>
      <c r="F98" s="524"/>
      <c r="G98" s="524"/>
      <c r="H98" s="524"/>
      <c r="I98" s="524"/>
      <c r="J98" s="524"/>
      <c r="K98" s="524"/>
      <c r="L98" s="524"/>
      <c r="M98" s="524"/>
      <c r="N98" s="512"/>
      <c r="O98" s="512"/>
      <c r="P98" s="512"/>
      <c r="Q98" s="512"/>
      <c r="R98" s="512"/>
      <c r="S98" s="557" t="s">
        <v>3</v>
      </c>
      <c r="T98" s="522">
        <v>7094.5</v>
      </c>
      <c r="U98" s="559">
        <v>1724720.89</v>
      </c>
      <c r="V98" s="512"/>
      <c r="W98" s="524"/>
      <c r="X98" s="512"/>
      <c r="Y98" s="512"/>
      <c r="Z98" s="512"/>
      <c r="AA98" s="524"/>
      <c r="AB98" s="524"/>
      <c r="AC98" s="524"/>
      <c r="AD98" s="512"/>
      <c r="AE98" s="512"/>
      <c r="AF98" s="512"/>
      <c r="AG98" s="512"/>
      <c r="AH98" s="524"/>
    </row>
    <row r="99" spans="1:34" ht="13.5">
      <c r="A99" s="524"/>
      <c r="B99" s="524"/>
      <c r="C99" s="524"/>
      <c r="D99" s="524"/>
      <c r="E99" s="524"/>
      <c r="F99" s="524"/>
      <c r="G99" s="524"/>
      <c r="H99" s="524"/>
      <c r="I99" s="524"/>
      <c r="J99" s="524"/>
      <c r="K99" s="524"/>
      <c r="L99" s="524"/>
      <c r="M99" s="524"/>
      <c r="N99" s="512"/>
      <c r="O99" s="512"/>
      <c r="P99" s="512"/>
      <c r="Q99" s="512"/>
      <c r="R99" s="512"/>
      <c r="S99" s="557" t="s">
        <v>4</v>
      </c>
      <c r="T99" s="522">
        <v>2188941.61</v>
      </c>
      <c r="U99" s="558" t="s">
        <v>124</v>
      </c>
      <c r="V99" s="512"/>
      <c r="W99" s="524"/>
      <c r="X99" s="512"/>
      <c r="Y99" s="512"/>
      <c r="Z99" s="512"/>
      <c r="AA99" s="524"/>
      <c r="AB99" s="524"/>
      <c r="AC99" s="524"/>
      <c r="AD99" s="512"/>
      <c r="AE99" s="512"/>
      <c r="AF99" s="512"/>
      <c r="AG99" s="512"/>
      <c r="AH99" s="524"/>
    </row>
    <row r="100" spans="1:34" ht="13.5">
      <c r="A100" s="524"/>
      <c r="B100" s="524"/>
      <c r="C100" s="524"/>
      <c r="D100" s="524"/>
      <c r="E100" s="524"/>
      <c r="F100" s="524"/>
      <c r="G100" s="524"/>
      <c r="H100" s="524"/>
      <c r="I100" s="524"/>
      <c r="J100" s="524"/>
      <c r="K100" s="524"/>
      <c r="L100" s="524"/>
      <c r="M100" s="524"/>
      <c r="N100" s="512"/>
      <c r="O100" s="512"/>
      <c r="P100" s="512"/>
      <c r="Q100" s="512"/>
      <c r="R100" s="512"/>
      <c r="S100" s="557" t="s">
        <v>17</v>
      </c>
      <c r="T100" s="512">
        <v>235.94</v>
      </c>
      <c r="U100" s="559">
        <v>1730635.82</v>
      </c>
      <c r="V100" s="512"/>
      <c r="W100" s="524"/>
      <c r="X100" s="512"/>
      <c r="Y100" s="512"/>
      <c r="Z100" s="512"/>
      <c r="AA100" s="524"/>
      <c r="AB100" s="524"/>
      <c r="AC100" s="524"/>
      <c r="AD100" s="512"/>
      <c r="AE100" s="512"/>
      <c r="AF100" s="512"/>
      <c r="AG100" s="512"/>
      <c r="AH100" s="524"/>
    </row>
    <row r="101" spans="1:34" ht="13.5">
      <c r="A101" s="524"/>
      <c r="B101" s="524"/>
      <c r="C101" s="524"/>
      <c r="D101" s="524"/>
      <c r="E101" s="524"/>
      <c r="F101" s="524"/>
      <c r="G101" s="524"/>
      <c r="H101" s="524"/>
      <c r="I101" s="524"/>
      <c r="J101" s="524"/>
      <c r="K101" s="524"/>
      <c r="L101" s="524"/>
      <c r="M101" s="524"/>
      <c r="N101" s="512"/>
      <c r="O101" s="512"/>
      <c r="P101" s="512"/>
      <c r="Q101" s="512"/>
      <c r="R101" s="512"/>
      <c r="S101" s="557" t="s">
        <v>259</v>
      </c>
      <c r="T101" s="512" t="s">
        <v>260</v>
      </c>
      <c r="U101" s="558" t="s">
        <v>124</v>
      </c>
      <c r="V101" s="512"/>
      <c r="W101" s="524"/>
      <c r="X101" s="512"/>
      <c r="Y101" s="512"/>
      <c r="Z101" s="512"/>
      <c r="AA101" s="524"/>
      <c r="AB101" s="524"/>
      <c r="AC101" s="524"/>
      <c r="AD101" s="512"/>
      <c r="AE101" s="512"/>
      <c r="AF101" s="512"/>
      <c r="AG101" s="512"/>
      <c r="AH101" s="524"/>
    </row>
    <row r="102" spans="1:34" ht="13.5">
      <c r="A102" s="524"/>
      <c r="B102" s="524"/>
      <c r="C102" s="524"/>
      <c r="D102" s="524"/>
      <c r="E102" s="524"/>
      <c r="F102" s="524"/>
      <c r="G102" s="524"/>
      <c r="H102" s="524"/>
      <c r="I102" s="524"/>
      <c r="J102" s="524"/>
      <c r="K102" s="524"/>
      <c r="L102" s="524"/>
      <c r="M102" s="524"/>
      <c r="N102" s="512"/>
      <c r="O102" s="512"/>
      <c r="P102" s="512"/>
      <c r="Q102" s="512"/>
      <c r="R102" s="512"/>
      <c r="S102" s="557" t="s">
        <v>19</v>
      </c>
      <c r="T102" s="522">
        <v>94110.71</v>
      </c>
      <c r="U102" s="559">
        <v>2947835.24</v>
      </c>
      <c r="V102" s="512"/>
      <c r="W102" s="524"/>
      <c r="X102" s="512"/>
      <c r="Y102" s="512"/>
      <c r="Z102" s="512"/>
      <c r="AA102" s="524"/>
      <c r="AB102" s="524"/>
      <c r="AC102" s="524"/>
      <c r="AD102" s="512"/>
      <c r="AE102" s="512"/>
      <c r="AF102" s="512"/>
      <c r="AG102" s="512"/>
      <c r="AH102" s="524"/>
    </row>
    <row r="103" spans="1:34" ht="13.5">
      <c r="A103" s="524"/>
      <c r="B103" s="524"/>
      <c r="C103" s="524"/>
      <c r="D103" s="524"/>
      <c r="E103" s="524"/>
      <c r="F103" s="524"/>
      <c r="G103" s="524"/>
      <c r="H103" s="524"/>
      <c r="I103" s="524"/>
      <c r="J103" s="524"/>
      <c r="K103" s="524"/>
      <c r="L103" s="524"/>
      <c r="M103" s="524"/>
      <c r="N103" s="512"/>
      <c r="O103" s="512"/>
      <c r="P103" s="512"/>
      <c r="Q103" s="512"/>
      <c r="R103" s="512"/>
      <c r="S103" s="557" t="s">
        <v>15</v>
      </c>
      <c r="T103" s="522">
        <v>104294.19</v>
      </c>
      <c r="U103" s="559">
        <v>23335.040000000001</v>
      </c>
      <c r="V103" s="512"/>
      <c r="W103" s="524"/>
      <c r="X103" s="512"/>
      <c r="Y103" s="512"/>
      <c r="Z103" s="512"/>
      <c r="AA103" s="524"/>
      <c r="AB103" s="524"/>
      <c r="AC103" s="524"/>
      <c r="AD103" s="512"/>
      <c r="AE103" s="512"/>
      <c r="AF103" s="512"/>
      <c r="AG103" s="512"/>
      <c r="AH103" s="524"/>
    </row>
    <row r="104" spans="1:34" ht="13.5">
      <c r="A104" s="524"/>
      <c r="B104" s="524"/>
      <c r="C104" s="524"/>
      <c r="D104" s="524"/>
      <c r="E104" s="524"/>
      <c r="F104" s="524"/>
      <c r="G104" s="524"/>
      <c r="H104" s="524"/>
      <c r="I104" s="524"/>
      <c r="J104" s="524"/>
      <c r="K104" s="524"/>
      <c r="L104" s="524"/>
      <c r="M104" s="524"/>
      <c r="N104" s="512"/>
      <c r="O104" s="512"/>
      <c r="P104" s="512"/>
      <c r="Q104" s="512"/>
      <c r="R104" s="512"/>
      <c r="S104" s="557" t="s">
        <v>6</v>
      </c>
      <c r="T104" s="522">
        <v>4781944.87</v>
      </c>
      <c r="U104" s="559">
        <v>2776811.36</v>
      </c>
      <c r="V104" s="512"/>
      <c r="W104" s="524"/>
      <c r="X104" s="512"/>
      <c r="Y104" s="512"/>
      <c r="Z104" s="512"/>
      <c r="AA104" s="524"/>
      <c r="AB104" s="524"/>
      <c r="AC104" s="524"/>
      <c r="AD104" s="512"/>
      <c r="AE104" s="512"/>
      <c r="AF104" s="512"/>
      <c r="AG104" s="512"/>
      <c r="AH104" s="524"/>
    </row>
    <row r="105" spans="1:34" ht="13.5">
      <c r="A105" s="524"/>
      <c r="B105" s="524"/>
      <c r="C105" s="524"/>
      <c r="D105" s="524"/>
      <c r="E105" s="524"/>
      <c r="F105" s="524"/>
      <c r="G105" s="524"/>
      <c r="H105" s="524"/>
      <c r="I105" s="524"/>
      <c r="J105" s="524"/>
      <c r="K105" s="524"/>
      <c r="L105" s="524"/>
      <c r="M105" s="524"/>
      <c r="N105" s="512"/>
      <c r="O105" s="512"/>
      <c r="P105" s="512"/>
      <c r="Q105" s="512"/>
      <c r="R105" s="512"/>
      <c r="S105" s="557" t="s">
        <v>16</v>
      </c>
      <c r="T105" s="522">
        <v>18855</v>
      </c>
      <c r="U105" s="558" t="s">
        <v>124</v>
      </c>
      <c r="V105" s="512"/>
      <c r="W105" s="524"/>
      <c r="X105" s="512"/>
      <c r="Y105" s="512"/>
      <c r="Z105" s="512"/>
      <c r="AA105" s="524"/>
      <c r="AB105" s="524"/>
      <c r="AC105" s="524"/>
      <c r="AD105" s="512"/>
      <c r="AE105" s="512"/>
      <c r="AF105" s="512"/>
      <c r="AG105" s="512"/>
      <c r="AH105" s="524"/>
    </row>
    <row r="106" spans="1:34" ht="13.5">
      <c r="A106" s="524"/>
      <c r="B106" s="524"/>
      <c r="C106" s="524"/>
      <c r="D106" s="524"/>
      <c r="E106" s="524"/>
      <c r="F106" s="524"/>
      <c r="G106" s="524"/>
      <c r="H106" s="524"/>
      <c r="I106" s="524"/>
      <c r="J106" s="524"/>
      <c r="K106" s="524"/>
      <c r="L106" s="524"/>
      <c r="M106" s="524"/>
      <c r="N106" s="512"/>
      <c r="O106" s="512"/>
      <c r="P106" s="512"/>
      <c r="Q106" s="512"/>
      <c r="R106" s="512"/>
      <c r="S106" s="557" t="s">
        <v>5</v>
      </c>
      <c r="T106" s="512" t="s">
        <v>261</v>
      </c>
      <c r="U106" s="559">
        <v>397227.9</v>
      </c>
      <c r="V106" s="512"/>
      <c r="W106" s="524"/>
      <c r="X106" s="512"/>
      <c r="Y106" s="512"/>
      <c r="Z106" s="512"/>
      <c r="AA106" s="524"/>
      <c r="AB106" s="524"/>
      <c r="AC106" s="524"/>
      <c r="AD106" s="512"/>
      <c r="AE106" s="512"/>
      <c r="AF106" s="512"/>
      <c r="AG106" s="512"/>
      <c r="AH106" s="524"/>
    </row>
    <row r="107" spans="1:34" ht="13.5">
      <c r="A107" s="524"/>
      <c r="B107" s="524"/>
      <c r="C107" s="524"/>
      <c r="D107" s="524"/>
      <c r="E107" s="524"/>
      <c r="F107" s="524"/>
      <c r="G107" s="524"/>
      <c r="H107" s="524"/>
      <c r="I107" s="524"/>
      <c r="J107" s="524"/>
      <c r="K107" s="524"/>
      <c r="L107" s="524"/>
      <c r="M107" s="524"/>
      <c r="N107" s="512"/>
      <c r="O107" s="512"/>
      <c r="P107" s="512"/>
      <c r="Q107" s="512"/>
      <c r="R107" s="512"/>
      <c r="S107" s="560" t="s">
        <v>262</v>
      </c>
      <c r="T107" s="561">
        <v>30000457.530000001</v>
      </c>
      <c r="U107" s="562">
        <v>13661446.15</v>
      </c>
      <c r="V107" s="512"/>
      <c r="W107" s="512"/>
      <c r="X107" s="512"/>
      <c r="Y107" s="512"/>
      <c r="Z107" s="512"/>
      <c r="AA107" s="524"/>
      <c r="AB107" s="524"/>
      <c r="AC107" s="524"/>
      <c r="AD107" s="512"/>
      <c r="AE107" s="512"/>
      <c r="AF107" s="512"/>
      <c r="AG107" s="512"/>
      <c r="AH107" s="524"/>
    </row>
    <row r="108" spans="1:34" ht="13.5">
      <c r="A108" s="524"/>
      <c r="B108" s="524"/>
      <c r="C108" s="524"/>
      <c r="D108" s="524"/>
      <c r="E108" s="524"/>
      <c r="F108" s="524"/>
      <c r="G108" s="524"/>
      <c r="H108" s="524"/>
      <c r="I108" s="524"/>
      <c r="J108" s="524"/>
      <c r="K108" s="524"/>
      <c r="L108" s="524"/>
      <c r="M108" s="524"/>
      <c r="N108" s="512"/>
      <c r="O108" s="512"/>
      <c r="P108" s="512"/>
      <c r="Q108" s="512"/>
      <c r="R108" s="512"/>
      <c r="S108" s="524"/>
      <c r="T108" s="524"/>
      <c r="U108" s="524"/>
      <c r="V108" s="524"/>
      <c r="W108" s="512"/>
      <c r="X108" s="512"/>
      <c r="Y108" s="512"/>
      <c r="Z108" s="512"/>
      <c r="AA108" s="524"/>
      <c r="AB108" s="524"/>
      <c r="AC108" s="524"/>
      <c r="AD108" s="512"/>
      <c r="AE108" s="512"/>
      <c r="AF108" s="512"/>
      <c r="AG108" s="512"/>
      <c r="AH108" s="524"/>
    </row>
    <row r="109" spans="1:34" ht="13.5">
      <c r="A109" s="524"/>
      <c r="B109" s="524"/>
      <c r="C109" s="524"/>
      <c r="D109" s="524"/>
      <c r="E109" s="524"/>
      <c r="F109" s="524"/>
      <c r="G109" s="524"/>
      <c r="H109" s="524"/>
      <c r="I109" s="524"/>
      <c r="J109" s="524"/>
      <c r="K109" s="524"/>
      <c r="L109" s="524"/>
      <c r="M109" s="524"/>
      <c r="N109" s="512"/>
      <c r="O109" s="512"/>
      <c r="P109" s="512"/>
      <c r="Q109" s="512"/>
      <c r="R109" s="512"/>
      <c r="S109" s="524"/>
      <c r="T109" s="524"/>
      <c r="U109" s="524"/>
      <c r="V109" s="524"/>
      <c r="W109" s="512"/>
      <c r="X109" s="512"/>
      <c r="Y109" s="512"/>
      <c r="Z109" s="512"/>
      <c r="AA109" s="524"/>
      <c r="AB109" s="524"/>
      <c r="AC109" s="524"/>
      <c r="AD109" s="512"/>
      <c r="AE109" s="512"/>
      <c r="AF109" s="512"/>
      <c r="AG109" s="512"/>
      <c r="AH109" s="524"/>
    </row>
    <row r="110" spans="1:34" ht="13.5">
      <c r="A110" s="524"/>
      <c r="B110" s="524"/>
      <c r="C110" s="524"/>
      <c r="D110" s="524"/>
      <c r="E110" s="524"/>
      <c r="F110" s="524"/>
      <c r="G110" s="524"/>
      <c r="H110" s="524"/>
      <c r="I110" s="524"/>
      <c r="J110" s="524"/>
      <c r="K110" s="524"/>
      <c r="L110" s="524"/>
      <c r="M110" s="524"/>
      <c r="N110" s="512"/>
      <c r="O110" s="512"/>
      <c r="P110" s="512"/>
      <c r="Q110" s="512"/>
      <c r="R110" s="512"/>
      <c r="S110" s="524"/>
      <c r="T110" s="524"/>
      <c r="U110" s="524"/>
      <c r="V110" s="524"/>
      <c r="W110" s="512"/>
      <c r="X110" s="512"/>
      <c r="Y110" s="512"/>
      <c r="Z110" s="512"/>
      <c r="AA110" s="524"/>
      <c r="AB110" s="524"/>
      <c r="AC110" s="524"/>
      <c r="AD110" s="512"/>
      <c r="AE110" s="512"/>
      <c r="AF110" s="512"/>
      <c r="AG110" s="512"/>
      <c r="AH110" s="524"/>
    </row>
    <row r="111" spans="1:34" ht="13.5">
      <c r="A111" s="524"/>
      <c r="B111" s="524"/>
      <c r="C111" s="524"/>
      <c r="D111" s="524"/>
      <c r="E111" s="524"/>
      <c r="F111" s="524"/>
      <c r="G111" s="524"/>
      <c r="H111" s="524"/>
      <c r="I111" s="524"/>
      <c r="J111" s="524"/>
      <c r="K111" s="524"/>
      <c r="L111" s="524"/>
      <c r="M111" s="524"/>
      <c r="N111" s="524"/>
      <c r="O111" s="524"/>
      <c r="P111" s="524"/>
      <c r="Q111" s="524"/>
      <c r="R111" s="524"/>
      <c r="S111" s="524"/>
      <c r="T111" s="524"/>
      <c r="U111" s="524"/>
      <c r="V111" s="524"/>
      <c r="W111" s="512"/>
      <c r="X111" s="512"/>
      <c r="Y111" s="512"/>
      <c r="Z111" s="512"/>
      <c r="AA111" s="524"/>
      <c r="AB111" s="524"/>
      <c r="AC111" s="524"/>
      <c r="AD111" s="512"/>
      <c r="AE111" s="512"/>
      <c r="AF111" s="512"/>
      <c r="AG111" s="512"/>
      <c r="AH111" s="524"/>
    </row>
    <row r="112" spans="1:34" ht="13.5">
      <c r="A112" s="524"/>
      <c r="B112" s="524"/>
      <c r="C112" s="524"/>
      <c r="D112" s="524"/>
      <c r="E112" s="524"/>
      <c r="F112" s="524"/>
      <c r="G112" s="524"/>
      <c r="H112" s="524"/>
      <c r="I112" s="524"/>
      <c r="J112" s="524"/>
      <c r="K112" s="524"/>
      <c r="L112" s="524"/>
      <c r="M112" s="524"/>
      <c r="N112" s="524"/>
      <c r="O112" s="524"/>
      <c r="P112" s="524"/>
      <c r="Q112" s="524"/>
      <c r="R112" s="524"/>
      <c r="S112" s="524"/>
      <c r="T112" s="524"/>
      <c r="U112" s="524"/>
      <c r="V112" s="524"/>
      <c r="W112" s="512"/>
      <c r="X112" s="512"/>
      <c r="Y112" s="512"/>
      <c r="Z112" s="512"/>
      <c r="AA112" s="524"/>
      <c r="AB112" s="524"/>
      <c r="AC112" s="524"/>
      <c r="AD112" s="512"/>
      <c r="AE112" s="512"/>
      <c r="AF112" s="512"/>
      <c r="AG112" s="512"/>
      <c r="AH112" s="524"/>
    </row>
    <row r="113" spans="1:34" ht="13.5">
      <c r="A113" s="524"/>
      <c r="B113" s="524"/>
      <c r="C113" s="524"/>
      <c r="D113" s="524"/>
      <c r="E113" s="524"/>
      <c r="F113" s="524"/>
      <c r="G113" s="524"/>
      <c r="H113" s="524"/>
      <c r="I113" s="524"/>
      <c r="J113" s="524"/>
      <c r="K113" s="524"/>
      <c r="L113" s="524"/>
      <c r="M113" s="524"/>
      <c r="N113" s="524"/>
      <c r="O113" s="524"/>
      <c r="P113" s="524"/>
      <c r="Q113" s="524"/>
      <c r="R113" s="524"/>
      <c r="S113" s="524"/>
      <c r="T113" s="524"/>
      <c r="U113" s="524"/>
      <c r="V113" s="524"/>
      <c r="W113" s="512"/>
      <c r="X113" s="512"/>
      <c r="Y113" s="512"/>
      <c r="Z113" s="512"/>
      <c r="AA113" s="524"/>
      <c r="AB113" s="524"/>
      <c r="AC113" s="524"/>
      <c r="AD113" s="512"/>
      <c r="AE113" s="512"/>
      <c r="AF113" s="512"/>
      <c r="AG113" s="512"/>
      <c r="AH113" s="524"/>
    </row>
    <row r="114" spans="1:34" ht="13.5">
      <c r="A114" s="524"/>
      <c r="B114" s="524"/>
      <c r="C114" s="524"/>
      <c r="D114" s="524"/>
      <c r="E114" s="524"/>
      <c r="F114" s="524"/>
      <c r="G114" s="524"/>
      <c r="H114" s="524"/>
      <c r="I114" s="524"/>
      <c r="J114" s="524"/>
      <c r="K114" s="524"/>
      <c r="L114" s="524"/>
      <c r="M114" s="524"/>
      <c r="N114" s="524"/>
      <c r="O114" s="524"/>
      <c r="P114" s="524"/>
      <c r="Q114" s="524"/>
      <c r="R114" s="524"/>
      <c r="S114" s="524"/>
      <c r="T114" s="524"/>
      <c r="U114" s="524"/>
      <c r="V114" s="524"/>
      <c r="W114" s="512"/>
      <c r="X114" s="512"/>
      <c r="Y114" s="512"/>
      <c r="Z114" s="512"/>
      <c r="AA114" s="524"/>
      <c r="AB114" s="524"/>
      <c r="AC114" s="524"/>
      <c r="AD114" s="512"/>
      <c r="AE114" s="512"/>
      <c r="AF114" s="512"/>
      <c r="AG114" s="512"/>
      <c r="AH114" s="524"/>
    </row>
    <row r="115" spans="1:34" ht="13.5">
      <c r="A115" s="524"/>
      <c r="B115" s="524"/>
      <c r="C115" s="524"/>
      <c r="D115" s="524"/>
      <c r="E115" s="524"/>
      <c r="F115" s="524"/>
      <c r="G115" s="524"/>
      <c r="H115" s="524"/>
      <c r="I115" s="524"/>
      <c r="J115" s="524"/>
      <c r="K115" s="524"/>
      <c r="L115" s="524"/>
      <c r="M115" s="524"/>
      <c r="N115" s="524"/>
      <c r="O115" s="524"/>
      <c r="P115" s="524"/>
      <c r="Q115" s="524"/>
      <c r="R115" s="524"/>
      <c r="S115" s="524"/>
      <c r="T115" s="524"/>
      <c r="U115" s="524"/>
      <c r="V115" s="524"/>
      <c r="W115" s="512"/>
      <c r="X115" s="512"/>
      <c r="Y115" s="512"/>
      <c r="Z115" s="512"/>
      <c r="AA115" s="524"/>
      <c r="AB115" s="512"/>
      <c r="AC115" s="512"/>
      <c r="AD115" s="512"/>
      <c r="AE115" s="512"/>
      <c r="AF115" s="512"/>
      <c r="AG115" s="512"/>
      <c r="AH115" s="524"/>
    </row>
    <row r="116" spans="1:34" ht="13.5">
      <c r="A116" s="524"/>
      <c r="B116" s="524"/>
      <c r="C116" s="524"/>
      <c r="D116" s="524"/>
      <c r="E116" s="524"/>
      <c r="F116" s="524"/>
      <c r="G116" s="524"/>
      <c r="H116" s="524"/>
      <c r="I116" s="524"/>
      <c r="J116" s="524"/>
      <c r="K116" s="524"/>
      <c r="L116" s="524"/>
      <c r="M116" s="524"/>
      <c r="N116" s="524"/>
      <c r="O116" s="524"/>
      <c r="P116" s="524"/>
      <c r="Q116" s="524"/>
      <c r="R116" s="524"/>
      <c r="S116" s="524"/>
      <c r="T116" s="524"/>
      <c r="U116" s="524"/>
      <c r="V116" s="524"/>
      <c r="W116" s="524"/>
      <c r="X116" s="512"/>
      <c r="Y116" s="512"/>
      <c r="Z116" s="524"/>
      <c r="AA116" s="524"/>
      <c r="AB116" s="524"/>
      <c r="AC116" s="524"/>
      <c r="AD116" s="512"/>
      <c r="AE116" s="512"/>
      <c r="AF116" s="512"/>
      <c r="AG116" s="512"/>
      <c r="AH116" s="524"/>
    </row>
    <row r="117" spans="1:34" ht="13.5">
      <c r="A117" s="524"/>
      <c r="B117" s="524"/>
      <c r="C117" s="524"/>
      <c r="D117" s="524"/>
      <c r="E117" s="524"/>
      <c r="F117" s="524"/>
      <c r="G117" s="524"/>
      <c r="H117" s="524"/>
      <c r="I117" s="524"/>
      <c r="J117" s="524"/>
      <c r="K117" s="524"/>
      <c r="L117" s="524"/>
      <c r="M117" s="524"/>
      <c r="N117" s="524"/>
      <c r="O117" s="524"/>
      <c r="P117" s="524"/>
      <c r="Q117" s="524"/>
      <c r="R117" s="524"/>
      <c r="S117" s="524"/>
      <c r="T117" s="524"/>
      <c r="U117" s="524"/>
      <c r="V117" s="524"/>
      <c r="W117" s="512"/>
      <c r="X117" s="512"/>
      <c r="Y117" s="512"/>
      <c r="Z117" s="512"/>
      <c r="AA117" s="524"/>
      <c r="AB117" s="524"/>
      <c r="AC117" s="524"/>
      <c r="AD117" s="512"/>
      <c r="AE117" s="512"/>
      <c r="AF117" s="512"/>
      <c r="AG117" s="512"/>
      <c r="AH117" s="524"/>
    </row>
    <row r="118" spans="1:34" ht="13.5">
      <c r="A118" s="524"/>
      <c r="B118" s="524"/>
      <c r="C118" s="524"/>
      <c r="D118" s="524"/>
      <c r="E118" s="524"/>
      <c r="F118" s="524"/>
      <c r="G118" s="524"/>
      <c r="H118" s="524"/>
      <c r="I118" s="524"/>
      <c r="J118" s="524"/>
      <c r="K118" s="524"/>
      <c r="L118" s="524"/>
      <c r="M118" s="524"/>
      <c r="N118" s="524"/>
      <c r="O118" s="524"/>
      <c r="P118" s="524"/>
      <c r="Q118" s="524"/>
      <c r="R118" s="524"/>
      <c r="S118" s="524"/>
      <c r="T118" s="524"/>
      <c r="U118" s="524"/>
      <c r="V118" s="524"/>
      <c r="W118" s="512"/>
      <c r="X118" s="512"/>
      <c r="Y118" s="512"/>
      <c r="Z118" s="512"/>
      <c r="AA118" s="524"/>
      <c r="AB118" s="524"/>
      <c r="AC118" s="524"/>
      <c r="AD118" s="512"/>
      <c r="AE118" s="512"/>
      <c r="AF118" s="512"/>
      <c r="AG118" s="512"/>
      <c r="AH118" s="524"/>
    </row>
    <row r="119" spans="1:34" ht="13.5">
      <c r="A119" s="524"/>
      <c r="B119" s="524"/>
      <c r="C119" s="524"/>
      <c r="D119" s="524"/>
      <c r="E119" s="524"/>
      <c r="F119" s="524"/>
      <c r="G119" s="524"/>
      <c r="H119" s="524"/>
      <c r="I119" s="524"/>
      <c r="J119" s="524"/>
      <c r="K119" s="524"/>
      <c r="L119" s="524"/>
      <c r="M119" s="524"/>
      <c r="N119" s="524"/>
      <c r="O119" s="524"/>
      <c r="P119" s="524"/>
      <c r="Q119" s="524"/>
      <c r="R119" s="524"/>
      <c r="S119" s="524"/>
      <c r="T119" s="524"/>
      <c r="U119" s="524"/>
      <c r="V119" s="524"/>
      <c r="W119" s="524"/>
      <c r="X119" s="524"/>
      <c r="Y119" s="524"/>
      <c r="Z119" s="524"/>
      <c r="AA119" s="524"/>
      <c r="AB119" s="524"/>
      <c r="AC119" s="524"/>
      <c r="AD119" s="512"/>
      <c r="AE119" s="512"/>
      <c r="AF119" s="512"/>
      <c r="AG119" s="512"/>
      <c r="AH119" s="524"/>
    </row>
    <row r="120" spans="1:34" ht="13.5">
      <c r="A120" s="524"/>
      <c r="B120" s="524"/>
      <c r="C120" s="524"/>
      <c r="D120" s="524"/>
      <c r="E120" s="524"/>
      <c r="F120" s="524"/>
      <c r="G120" s="524"/>
      <c r="H120" s="524"/>
      <c r="I120" s="524"/>
      <c r="J120" s="524"/>
      <c r="K120" s="524"/>
      <c r="L120" s="524"/>
      <c r="M120" s="524"/>
      <c r="N120" s="524"/>
      <c r="O120" s="524"/>
      <c r="P120" s="524"/>
      <c r="Q120" s="524"/>
      <c r="R120" s="524"/>
      <c r="S120" s="524"/>
      <c r="T120" s="524"/>
      <c r="U120" s="524"/>
      <c r="V120" s="524"/>
      <c r="W120" s="512"/>
      <c r="X120" s="512"/>
      <c r="Y120" s="512"/>
      <c r="Z120" s="512"/>
      <c r="AA120" s="524"/>
      <c r="AB120" s="524"/>
      <c r="AC120" s="524"/>
      <c r="AD120" s="512"/>
      <c r="AE120" s="512"/>
      <c r="AF120" s="512"/>
      <c r="AG120" s="512"/>
      <c r="AH120" s="524"/>
    </row>
    <row r="121" spans="1:34" ht="13.5">
      <c r="A121" s="524"/>
      <c r="B121" s="524"/>
      <c r="C121" s="524"/>
      <c r="D121" s="524"/>
      <c r="E121" s="524"/>
      <c r="F121" s="524"/>
      <c r="G121" s="524"/>
      <c r="H121" s="524"/>
      <c r="I121" s="524"/>
      <c r="J121" s="524"/>
      <c r="K121" s="524"/>
      <c r="L121" s="524"/>
      <c r="M121" s="524"/>
      <c r="N121" s="524"/>
      <c r="O121" s="524"/>
      <c r="P121" s="524"/>
      <c r="Q121" s="524"/>
      <c r="R121" s="524"/>
      <c r="S121" s="524"/>
      <c r="T121" s="524"/>
      <c r="U121" s="524"/>
      <c r="V121" s="524"/>
      <c r="W121" s="512"/>
      <c r="X121" s="512"/>
      <c r="Y121" s="512"/>
      <c r="Z121" s="512"/>
      <c r="AA121" s="524"/>
      <c r="AB121" s="524"/>
      <c r="AC121" s="524"/>
      <c r="AD121" s="512"/>
      <c r="AE121" s="512"/>
      <c r="AF121" s="512"/>
      <c r="AG121" s="512"/>
      <c r="AH121" s="524"/>
    </row>
    <row r="122" spans="1:34" ht="13.5">
      <c r="A122" s="524"/>
      <c r="B122" s="524"/>
      <c r="C122" s="524"/>
      <c r="D122" s="524"/>
      <c r="E122" s="524"/>
      <c r="F122" s="524"/>
      <c r="G122" s="524"/>
      <c r="H122" s="524"/>
      <c r="I122" s="524"/>
      <c r="J122" s="524"/>
      <c r="K122" s="524"/>
      <c r="L122" s="524"/>
      <c r="M122" s="524"/>
      <c r="N122" s="524"/>
      <c r="O122" s="524"/>
      <c r="P122" s="524"/>
      <c r="Q122" s="524"/>
      <c r="R122" s="524"/>
      <c r="S122" s="524"/>
      <c r="T122" s="524"/>
      <c r="U122" s="524"/>
      <c r="V122" s="524"/>
      <c r="W122" s="512"/>
      <c r="X122" s="512"/>
      <c r="Y122" s="512"/>
      <c r="Z122" s="512"/>
      <c r="AA122" s="524"/>
      <c r="AB122" s="524"/>
      <c r="AC122" s="524"/>
      <c r="AD122" s="512"/>
      <c r="AE122" s="512"/>
      <c r="AF122" s="512"/>
      <c r="AG122" s="512"/>
      <c r="AH122" s="524"/>
    </row>
    <row r="123" spans="1:34" ht="13.5">
      <c r="A123" s="524"/>
      <c r="B123" s="524"/>
      <c r="C123" s="524"/>
      <c r="D123" s="524"/>
      <c r="E123" s="524"/>
      <c r="F123" s="524"/>
      <c r="G123" s="524"/>
      <c r="H123" s="524"/>
      <c r="I123" s="524"/>
      <c r="J123" s="524"/>
      <c r="K123" s="524"/>
      <c r="L123" s="524"/>
      <c r="M123" s="524"/>
      <c r="N123" s="524"/>
      <c r="O123" s="524"/>
      <c r="P123" s="524"/>
      <c r="Q123" s="524"/>
      <c r="R123" s="524"/>
      <c r="S123" s="524"/>
      <c r="T123" s="524"/>
      <c r="U123" s="524"/>
      <c r="V123" s="524"/>
      <c r="W123" s="512"/>
      <c r="X123" s="512"/>
      <c r="Y123" s="512"/>
      <c r="Z123" s="512"/>
      <c r="AA123" s="524"/>
      <c r="AB123" s="524"/>
      <c r="AC123" s="524"/>
      <c r="AD123" s="512"/>
      <c r="AE123" s="512"/>
      <c r="AF123" s="512"/>
      <c r="AG123" s="512"/>
      <c r="AH123" s="524"/>
    </row>
    <row r="124" spans="1:34" ht="13.5">
      <c r="A124" s="524"/>
      <c r="B124" s="524"/>
      <c r="C124" s="524"/>
      <c r="D124" s="524"/>
      <c r="E124" s="524"/>
      <c r="F124" s="524"/>
      <c r="G124" s="524"/>
      <c r="H124" s="524"/>
      <c r="I124" s="524"/>
      <c r="J124" s="524"/>
      <c r="K124" s="524"/>
      <c r="L124" s="524"/>
      <c r="M124" s="524"/>
      <c r="N124" s="524"/>
      <c r="O124" s="524"/>
      <c r="P124" s="524"/>
      <c r="Q124" s="524"/>
      <c r="R124" s="524"/>
      <c r="S124" s="524"/>
      <c r="T124" s="524"/>
      <c r="U124" s="524"/>
      <c r="V124" s="524"/>
      <c r="W124" s="512"/>
      <c r="X124" s="512"/>
      <c r="Y124" s="512"/>
      <c r="Z124" s="512"/>
      <c r="AA124" s="524"/>
      <c r="AB124" s="524"/>
      <c r="AC124" s="524"/>
      <c r="AD124" s="512"/>
      <c r="AE124" s="512"/>
      <c r="AF124" s="512"/>
      <c r="AG124" s="512"/>
      <c r="AH124" s="524"/>
    </row>
    <row r="125" spans="1:34" ht="13.5">
      <c r="A125" s="524"/>
      <c r="B125" s="524"/>
      <c r="C125" s="524"/>
      <c r="D125" s="524"/>
      <c r="E125" s="524"/>
      <c r="F125" s="524"/>
      <c r="G125" s="524"/>
      <c r="H125" s="524"/>
      <c r="I125" s="524"/>
      <c r="J125" s="524"/>
      <c r="K125" s="524"/>
      <c r="L125" s="524"/>
      <c r="M125" s="524"/>
      <c r="N125" s="524"/>
      <c r="O125" s="524"/>
      <c r="P125" s="524"/>
      <c r="Q125" s="524"/>
      <c r="R125" s="524"/>
      <c r="S125" s="524"/>
      <c r="T125" s="524"/>
      <c r="U125" s="524"/>
      <c r="V125" s="524"/>
      <c r="W125" s="512"/>
      <c r="X125" s="512"/>
      <c r="Y125" s="512"/>
      <c r="Z125" s="512"/>
      <c r="AA125" s="524"/>
      <c r="AB125" s="524"/>
      <c r="AC125" s="524"/>
      <c r="AD125" s="512"/>
      <c r="AE125" s="512"/>
      <c r="AF125" s="512"/>
      <c r="AG125" s="512"/>
      <c r="AH125" s="524"/>
    </row>
    <row r="126" spans="1:34" ht="13.5">
      <c r="A126" s="524"/>
      <c r="B126" s="524"/>
      <c r="C126" s="524"/>
      <c r="D126" s="524"/>
      <c r="E126" s="524"/>
      <c r="F126" s="524"/>
      <c r="G126" s="524"/>
      <c r="H126" s="524"/>
      <c r="I126" s="524"/>
      <c r="J126" s="524"/>
      <c r="K126" s="524"/>
      <c r="L126" s="524"/>
      <c r="M126" s="524"/>
      <c r="N126" s="524"/>
      <c r="O126" s="524"/>
      <c r="P126" s="524"/>
      <c r="Q126" s="524"/>
      <c r="R126" s="524"/>
      <c r="S126" s="524"/>
      <c r="T126" s="524"/>
      <c r="U126" s="524"/>
      <c r="V126" s="524"/>
      <c r="W126" s="512"/>
      <c r="X126" s="512"/>
      <c r="Y126" s="512"/>
      <c r="Z126" s="512"/>
      <c r="AA126" s="524"/>
      <c r="AB126" s="524"/>
      <c r="AC126" s="524"/>
      <c r="AD126" s="512"/>
      <c r="AE126" s="512"/>
      <c r="AF126" s="512"/>
      <c r="AG126" s="512"/>
      <c r="AH126" s="524"/>
    </row>
    <row r="127" spans="1:34" ht="13.5">
      <c r="A127" s="524"/>
      <c r="B127" s="524"/>
      <c r="C127" s="524"/>
      <c r="D127" s="524"/>
      <c r="E127" s="524"/>
      <c r="F127" s="524"/>
      <c r="G127" s="524"/>
      <c r="H127" s="524"/>
      <c r="I127" s="524"/>
      <c r="J127" s="524"/>
      <c r="K127" s="524"/>
      <c r="L127" s="524"/>
      <c r="M127" s="524"/>
      <c r="N127" s="524"/>
      <c r="O127" s="524"/>
      <c r="P127" s="524"/>
      <c r="Q127" s="524"/>
      <c r="R127" s="524"/>
      <c r="S127" s="524"/>
      <c r="T127" s="524"/>
      <c r="U127" s="524"/>
      <c r="V127" s="524"/>
      <c r="W127" s="512"/>
      <c r="X127" s="512"/>
      <c r="Y127" s="512"/>
      <c r="Z127" s="512"/>
      <c r="AA127" s="524"/>
      <c r="AB127" s="524"/>
      <c r="AC127" s="524"/>
      <c r="AD127" s="512"/>
      <c r="AE127" s="512"/>
      <c r="AF127" s="512"/>
      <c r="AG127" s="512"/>
      <c r="AH127" s="524"/>
    </row>
    <row r="128" spans="1:34" ht="13.5">
      <c r="A128" s="524"/>
      <c r="B128" s="524"/>
      <c r="C128" s="524"/>
      <c r="D128" s="524"/>
      <c r="E128" s="524"/>
      <c r="F128" s="524"/>
      <c r="G128" s="524"/>
      <c r="H128" s="524"/>
      <c r="I128" s="524"/>
      <c r="J128" s="524"/>
      <c r="K128" s="524"/>
      <c r="L128" s="524"/>
      <c r="M128" s="524"/>
      <c r="N128" s="524"/>
      <c r="O128" s="524"/>
      <c r="P128" s="524"/>
      <c r="Q128" s="524"/>
      <c r="R128" s="524"/>
      <c r="S128" s="524"/>
      <c r="T128" s="524"/>
      <c r="U128" s="524"/>
      <c r="V128" s="524"/>
      <c r="W128" s="524"/>
      <c r="X128" s="524"/>
      <c r="Y128" s="524"/>
      <c r="Z128" s="524"/>
      <c r="AA128" s="524"/>
      <c r="AB128" s="524"/>
      <c r="AC128" s="524"/>
      <c r="AD128" s="512"/>
      <c r="AE128" s="512"/>
      <c r="AF128" s="512"/>
      <c r="AG128" s="512"/>
      <c r="AH128" s="524"/>
    </row>
    <row r="129" spans="1:34" ht="13.5">
      <c r="A129" s="524"/>
      <c r="B129" s="524"/>
      <c r="C129" s="524"/>
      <c r="D129" s="524"/>
      <c r="E129" s="524"/>
      <c r="F129" s="524"/>
      <c r="G129" s="524"/>
      <c r="H129" s="524"/>
      <c r="I129" s="524"/>
      <c r="J129" s="524"/>
      <c r="K129" s="524"/>
      <c r="L129" s="524"/>
      <c r="M129" s="524"/>
      <c r="N129" s="524"/>
      <c r="O129" s="524"/>
      <c r="P129" s="524"/>
      <c r="Q129" s="524"/>
      <c r="R129" s="524"/>
      <c r="S129" s="524"/>
      <c r="T129" s="524"/>
      <c r="U129" s="524"/>
      <c r="V129" s="524"/>
      <c r="W129" s="512"/>
      <c r="X129" s="512"/>
      <c r="Y129" s="512"/>
      <c r="Z129" s="512"/>
      <c r="AA129" s="524"/>
      <c r="AB129" s="524"/>
      <c r="AC129" s="524"/>
      <c r="AD129" s="512"/>
      <c r="AE129" s="512"/>
      <c r="AF129" s="512"/>
      <c r="AG129" s="512"/>
      <c r="AH129" s="524"/>
    </row>
    <row r="130" spans="1:34" ht="13.5">
      <c r="A130" s="524"/>
      <c r="B130" s="524"/>
      <c r="C130" s="524"/>
      <c r="D130" s="524"/>
      <c r="E130" s="524"/>
      <c r="F130" s="524"/>
      <c r="G130" s="524"/>
      <c r="H130" s="524"/>
      <c r="I130" s="524"/>
      <c r="J130" s="524"/>
      <c r="K130" s="524"/>
      <c r="L130" s="524"/>
      <c r="M130" s="524"/>
      <c r="N130" s="524"/>
      <c r="O130" s="524"/>
      <c r="P130" s="524"/>
      <c r="Q130" s="524"/>
      <c r="R130" s="524"/>
      <c r="S130" s="524"/>
      <c r="T130" s="524"/>
      <c r="U130" s="524"/>
      <c r="V130" s="524"/>
      <c r="W130" s="512"/>
      <c r="X130" s="512"/>
      <c r="Y130" s="512"/>
      <c r="Z130" s="512"/>
      <c r="AA130" s="524"/>
      <c r="AB130" s="524"/>
      <c r="AC130" s="524"/>
      <c r="AD130" s="512"/>
      <c r="AE130" s="512"/>
      <c r="AF130" s="512"/>
      <c r="AG130" s="512"/>
      <c r="AH130" s="524"/>
    </row>
    <row r="131" spans="1:34" ht="13.5">
      <c r="A131" s="524"/>
      <c r="B131" s="524"/>
      <c r="C131" s="524"/>
      <c r="D131" s="524"/>
      <c r="E131" s="524"/>
      <c r="F131" s="524"/>
      <c r="G131" s="524"/>
      <c r="H131" s="524"/>
      <c r="I131" s="524"/>
      <c r="J131" s="524"/>
      <c r="K131" s="524"/>
      <c r="L131" s="524"/>
      <c r="M131" s="524"/>
      <c r="N131" s="524"/>
      <c r="O131" s="524"/>
      <c r="P131" s="524"/>
      <c r="Q131" s="524"/>
      <c r="R131" s="524"/>
      <c r="S131" s="524"/>
      <c r="T131" s="524"/>
      <c r="U131" s="524"/>
      <c r="V131" s="524"/>
      <c r="W131" s="512"/>
      <c r="X131" s="512"/>
      <c r="Y131" s="512"/>
      <c r="Z131" s="512"/>
      <c r="AA131" s="524"/>
      <c r="AB131" s="524"/>
      <c r="AC131" s="524"/>
      <c r="AD131" s="512"/>
      <c r="AE131" s="512"/>
      <c r="AF131" s="512"/>
      <c r="AG131" s="512"/>
      <c r="AH131" s="524"/>
    </row>
    <row r="132" spans="1:34" ht="13.5">
      <c r="A132" s="524"/>
      <c r="B132" s="524"/>
      <c r="C132" s="524"/>
      <c r="D132" s="524"/>
      <c r="E132" s="524"/>
      <c r="F132" s="524"/>
      <c r="G132" s="524"/>
      <c r="H132" s="524"/>
      <c r="I132" s="524"/>
      <c r="J132" s="524"/>
      <c r="K132" s="524"/>
      <c r="L132" s="524"/>
      <c r="M132" s="524"/>
      <c r="N132" s="524"/>
      <c r="O132" s="524"/>
      <c r="P132" s="524"/>
      <c r="Q132" s="524"/>
      <c r="R132" s="524"/>
      <c r="S132" s="524"/>
      <c r="T132" s="524"/>
      <c r="U132" s="524"/>
      <c r="V132" s="524"/>
      <c r="W132" s="512"/>
      <c r="X132" s="512"/>
      <c r="Y132" s="512"/>
      <c r="Z132" s="512"/>
      <c r="AA132" s="524"/>
      <c r="AB132" s="524"/>
      <c r="AC132" s="524"/>
      <c r="AD132" s="512"/>
      <c r="AE132" s="512"/>
      <c r="AF132" s="512"/>
      <c r="AG132" s="512"/>
      <c r="AH132" s="524"/>
    </row>
    <row r="133" spans="1:34" ht="13.5">
      <c r="A133" s="524"/>
      <c r="B133" s="524"/>
      <c r="C133" s="524"/>
      <c r="D133" s="524"/>
      <c r="E133" s="524"/>
      <c r="F133" s="524"/>
      <c r="G133" s="524"/>
      <c r="H133" s="524"/>
      <c r="I133" s="524"/>
      <c r="J133" s="524"/>
      <c r="K133" s="524"/>
      <c r="L133" s="524"/>
      <c r="M133" s="524"/>
      <c r="N133" s="524"/>
      <c r="O133" s="524"/>
      <c r="P133" s="524"/>
      <c r="Q133" s="524"/>
      <c r="R133" s="524"/>
      <c r="S133" s="524"/>
      <c r="T133" s="524"/>
      <c r="U133" s="524"/>
      <c r="V133" s="524"/>
      <c r="W133" s="512"/>
      <c r="X133" s="512"/>
      <c r="Y133" s="512"/>
      <c r="Z133" s="512"/>
      <c r="AA133" s="524"/>
      <c r="AB133" s="524"/>
      <c r="AC133" s="524"/>
      <c r="AD133" s="512"/>
      <c r="AE133" s="512"/>
      <c r="AF133" s="512"/>
      <c r="AG133" s="512"/>
      <c r="AH133" s="524"/>
    </row>
    <row r="134" spans="1:34" ht="13.5">
      <c r="A134" s="524"/>
      <c r="B134" s="524"/>
      <c r="C134" s="524"/>
      <c r="D134" s="524"/>
      <c r="E134" s="524"/>
      <c r="F134" s="524"/>
      <c r="G134" s="524"/>
      <c r="H134" s="524"/>
      <c r="I134" s="524"/>
      <c r="J134" s="524"/>
      <c r="K134" s="524"/>
      <c r="L134" s="524"/>
      <c r="M134" s="524"/>
      <c r="N134" s="524"/>
      <c r="O134" s="524"/>
      <c r="P134" s="524"/>
      <c r="Q134" s="524"/>
      <c r="R134" s="524"/>
      <c r="S134" s="524"/>
      <c r="T134" s="524"/>
      <c r="U134" s="524"/>
      <c r="V134" s="524"/>
      <c r="W134" s="512"/>
      <c r="X134" s="512"/>
      <c r="Y134" s="512"/>
      <c r="Z134" s="512"/>
      <c r="AA134" s="524"/>
      <c r="AB134" s="524"/>
      <c r="AC134" s="524"/>
      <c r="AD134" s="512"/>
      <c r="AE134" s="512"/>
      <c r="AF134" s="512"/>
      <c r="AG134" s="512"/>
      <c r="AH134" s="524"/>
    </row>
    <row r="135" spans="1:34" ht="13.5">
      <c r="A135" s="524"/>
      <c r="B135" s="524"/>
      <c r="C135" s="524"/>
      <c r="D135" s="524"/>
      <c r="E135" s="524"/>
      <c r="F135" s="524"/>
      <c r="G135" s="524"/>
      <c r="H135" s="524"/>
      <c r="I135" s="524"/>
      <c r="J135" s="524"/>
      <c r="K135" s="524"/>
      <c r="L135" s="524"/>
      <c r="M135" s="524"/>
      <c r="N135" s="524"/>
      <c r="O135" s="524"/>
      <c r="P135" s="524"/>
      <c r="Q135" s="524"/>
      <c r="R135" s="524"/>
      <c r="S135" s="524"/>
      <c r="T135" s="524"/>
      <c r="U135" s="524"/>
      <c r="V135" s="524"/>
      <c r="W135" s="512"/>
      <c r="X135" s="512"/>
      <c r="Y135" s="512"/>
      <c r="Z135" s="512"/>
      <c r="AA135" s="524"/>
      <c r="AB135" s="524"/>
      <c r="AC135" s="524"/>
      <c r="AD135" s="512"/>
      <c r="AE135" s="512"/>
      <c r="AF135" s="512"/>
      <c r="AG135" s="512"/>
      <c r="AH135" s="524"/>
    </row>
    <row r="136" spans="1:34" ht="13.5">
      <c r="A136" s="524"/>
      <c r="B136" s="524"/>
      <c r="C136" s="524"/>
      <c r="D136" s="524"/>
      <c r="E136" s="524"/>
      <c r="F136" s="524"/>
      <c r="G136" s="524"/>
      <c r="H136" s="524"/>
      <c r="I136" s="524"/>
      <c r="J136" s="524"/>
      <c r="K136" s="524"/>
      <c r="L136" s="524"/>
      <c r="M136" s="524"/>
      <c r="N136" s="524"/>
      <c r="O136" s="524"/>
      <c r="P136" s="524"/>
      <c r="Q136" s="524"/>
      <c r="R136" s="524"/>
      <c r="S136" s="524"/>
      <c r="T136" s="524"/>
      <c r="U136" s="524"/>
      <c r="V136" s="524"/>
      <c r="W136" s="512"/>
      <c r="X136" s="512"/>
      <c r="Y136" s="512"/>
      <c r="Z136" s="512"/>
      <c r="AA136" s="524"/>
      <c r="AB136" s="524"/>
      <c r="AC136" s="524"/>
      <c r="AD136" s="512"/>
      <c r="AE136" s="512"/>
      <c r="AF136" s="512"/>
      <c r="AG136" s="512"/>
      <c r="AH136" s="524"/>
    </row>
    <row r="137" spans="1:34" ht="13.5">
      <c r="A137" s="524"/>
      <c r="B137" s="524"/>
      <c r="C137" s="524"/>
      <c r="D137" s="524"/>
      <c r="E137" s="524"/>
      <c r="F137" s="524"/>
      <c r="G137" s="524"/>
      <c r="H137" s="524"/>
      <c r="I137" s="524"/>
      <c r="J137" s="524"/>
      <c r="K137" s="524"/>
      <c r="L137" s="524"/>
      <c r="M137" s="524"/>
      <c r="N137" s="524"/>
      <c r="O137" s="524"/>
      <c r="P137" s="524"/>
      <c r="Q137" s="524"/>
      <c r="R137" s="524"/>
      <c r="S137" s="524"/>
      <c r="T137" s="524"/>
      <c r="U137" s="524"/>
      <c r="V137" s="524"/>
      <c r="W137" s="512"/>
      <c r="X137" s="512"/>
      <c r="Y137" s="512"/>
      <c r="Z137" s="512"/>
      <c r="AA137" s="524"/>
      <c r="AB137" s="524"/>
      <c r="AC137" s="524"/>
      <c r="AD137" s="512"/>
      <c r="AE137" s="512"/>
      <c r="AF137" s="512"/>
      <c r="AG137" s="512"/>
      <c r="AH137" s="524"/>
    </row>
    <row r="138" spans="1:34" ht="13.5">
      <c r="A138" s="524"/>
      <c r="B138" s="524"/>
      <c r="C138" s="524"/>
      <c r="D138" s="524"/>
      <c r="E138" s="524"/>
      <c r="F138" s="524"/>
      <c r="G138" s="524"/>
      <c r="H138" s="524"/>
      <c r="I138" s="524"/>
      <c r="J138" s="524"/>
      <c r="K138" s="524"/>
      <c r="L138" s="524"/>
      <c r="M138" s="524"/>
      <c r="N138" s="524"/>
      <c r="O138" s="524"/>
      <c r="P138" s="524"/>
      <c r="Q138" s="524"/>
      <c r="R138" s="524"/>
      <c r="S138" s="524"/>
      <c r="T138" s="524"/>
      <c r="U138" s="524"/>
      <c r="V138" s="524"/>
      <c r="W138" s="512"/>
      <c r="X138" s="512"/>
      <c r="Y138" s="512"/>
      <c r="Z138" s="512"/>
      <c r="AA138" s="524"/>
      <c r="AB138" s="524"/>
      <c r="AC138" s="524"/>
      <c r="AD138" s="512"/>
      <c r="AE138" s="512"/>
      <c r="AF138" s="512"/>
      <c r="AG138" s="512"/>
      <c r="AH138" s="524"/>
    </row>
    <row r="139" spans="1:34" ht="13.5">
      <c r="A139" s="524"/>
      <c r="B139" s="524"/>
      <c r="C139" s="524"/>
      <c r="D139" s="524"/>
      <c r="E139" s="524"/>
      <c r="F139" s="524"/>
      <c r="G139" s="524"/>
      <c r="H139" s="524"/>
      <c r="I139" s="524"/>
      <c r="J139" s="524"/>
      <c r="K139" s="524"/>
      <c r="L139" s="524"/>
      <c r="M139" s="524"/>
      <c r="N139" s="524"/>
      <c r="O139" s="524"/>
      <c r="P139" s="524"/>
      <c r="Q139" s="524"/>
      <c r="R139" s="524"/>
      <c r="S139" s="524"/>
      <c r="T139" s="524"/>
      <c r="U139" s="524"/>
      <c r="V139" s="524"/>
      <c r="W139" s="512"/>
      <c r="X139" s="512"/>
      <c r="Y139" s="512"/>
      <c r="Z139" s="512"/>
      <c r="AA139" s="524"/>
      <c r="AB139" s="524"/>
      <c r="AC139" s="524"/>
      <c r="AD139" s="512"/>
      <c r="AE139" s="512"/>
      <c r="AF139" s="512"/>
      <c r="AG139" s="512"/>
      <c r="AH139" s="524"/>
    </row>
    <row r="140" spans="1:34" ht="13.5">
      <c r="A140" s="524"/>
      <c r="B140" s="524"/>
      <c r="C140" s="524"/>
      <c r="D140" s="524"/>
      <c r="E140" s="524"/>
      <c r="F140" s="524"/>
      <c r="G140" s="524"/>
      <c r="H140" s="524"/>
      <c r="I140" s="524"/>
      <c r="J140" s="524"/>
      <c r="K140" s="524"/>
      <c r="L140" s="524"/>
      <c r="M140" s="524"/>
      <c r="N140" s="524"/>
      <c r="O140" s="524"/>
      <c r="P140" s="524"/>
      <c r="Q140" s="524"/>
      <c r="R140" s="524"/>
      <c r="S140" s="524"/>
      <c r="T140" s="524"/>
      <c r="U140" s="524"/>
      <c r="V140" s="524"/>
      <c r="W140" s="512"/>
      <c r="X140" s="512"/>
      <c r="Y140" s="512"/>
      <c r="Z140" s="512"/>
      <c r="AA140" s="524"/>
      <c r="AB140" s="524"/>
      <c r="AC140" s="524"/>
      <c r="AD140" s="512"/>
      <c r="AE140" s="512"/>
      <c r="AF140" s="512"/>
      <c r="AG140" s="512"/>
      <c r="AH140" s="524"/>
    </row>
    <row r="141" spans="1:34" ht="13.5">
      <c r="A141" s="524"/>
      <c r="B141" s="524"/>
      <c r="C141" s="524"/>
      <c r="D141" s="524"/>
      <c r="E141" s="524"/>
      <c r="F141" s="524"/>
      <c r="G141" s="524"/>
      <c r="H141" s="524"/>
      <c r="I141" s="524"/>
      <c r="J141" s="524"/>
      <c r="K141" s="524"/>
      <c r="L141" s="524"/>
      <c r="M141" s="524"/>
      <c r="N141" s="524"/>
      <c r="O141" s="524"/>
      <c r="P141" s="524"/>
      <c r="Q141" s="524"/>
      <c r="R141" s="524"/>
      <c r="S141" s="524"/>
      <c r="T141" s="524"/>
      <c r="U141" s="524"/>
      <c r="V141" s="524"/>
      <c r="W141" s="512"/>
      <c r="X141" s="512"/>
      <c r="Y141" s="512"/>
      <c r="Z141" s="512"/>
      <c r="AA141" s="524"/>
      <c r="AB141" s="524"/>
      <c r="AC141" s="524"/>
      <c r="AD141" s="512"/>
      <c r="AE141" s="512"/>
      <c r="AF141" s="512"/>
      <c r="AG141" s="512"/>
      <c r="AH141" s="524"/>
    </row>
    <row r="142" spans="1:34" ht="13.5">
      <c r="A142" s="524"/>
      <c r="B142" s="524"/>
      <c r="C142" s="524"/>
      <c r="D142" s="524"/>
      <c r="E142" s="524"/>
      <c r="F142" s="524"/>
      <c r="G142" s="524"/>
      <c r="H142" s="524"/>
      <c r="I142" s="524"/>
      <c r="J142" s="524"/>
      <c r="K142" s="524"/>
      <c r="L142" s="524"/>
      <c r="M142" s="524"/>
      <c r="N142" s="524"/>
      <c r="O142" s="524"/>
      <c r="P142" s="524"/>
      <c r="Q142" s="524"/>
      <c r="R142" s="524"/>
      <c r="S142" s="524"/>
      <c r="T142" s="524"/>
      <c r="U142" s="524"/>
      <c r="V142" s="524"/>
      <c r="W142" s="512"/>
      <c r="X142" s="512"/>
      <c r="Y142" s="512"/>
      <c r="Z142" s="512"/>
      <c r="AA142" s="524"/>
      <c r="AB142" s="524"/>
      <c r="AC142" s="524"/>
      <c r="AD142" s="512"/>
      <c r="AE142" s="512"/>
      <c r="AF142" s="512"/>
      <c r="AG142" s="512"/>
      <c r="AH142" s="524"/>
    </row>
    <row r="143" spans="1:34" ht="13.5">
      <c r="A143" s="524"/>
      <c r="B143" s="524"/>
      <c r="C143" s="524"/>
      <c r="D143" s="524"/>
      <c r="E143" s="524"/>
      <c r="F143" s="524"/>
      <c r="G143" s="524"/>
      <c r="H143" s="524"/>
      <c r="I143" s="524"/>
      <c r="J143" s="524"/>
      <c r="K143" s="524"/>
      <c r="L143" s="524"/>
      <c r="M143" s="524"/>
      <c r="N143" s="524"/>
      <c r="O143" s="524"/>
      <c r="P143" s="524"/>
      <c r="Q143" s="524"/>
      <c r="R143" s="524"/>
      <c r="S143" s="524"/>
      <c r="T143" s="524"/>
      <c r="U143" s="524"/>
      <c r="V143" s="524"/>
      <c r="W143" s="512"/>
      <c r="X143" s="512"/>
      <c r="Y143" s="512"/>
      <c r="Z143" s="512"/>
      <c r="AA143" s="524"/>
      <c r="AB143" s="524"/>
      <c r="AC143" s="524"/>
      <c r="AD143" s="512"/>
      <c r="AE143" s="512"/>
      <c r="AF143" s="512"/>
      <c r="AG143" s="512"/>
      <c r="AH143" s="524"/>
    </row>
    <row r="144" spans="1:34" ht="13.5">
      <c r="A144" s="524"/>
      <c r="B144" s="524"/>
      <c r="C144" s="524"/>
      <c r="D144" s="524"/>
      <c r="E144" s="524"/>
      <c r="F144" s="524"/>
      <c r="G144" s="524"/>
      <c r="H144" s="524"/>
      <c r="I144" s="524"/>
      <c r="J144" s="524"/>
      <c r="K144" s="524"/>
      <c r="L144" s="524"/>
      <c r="M144" s="524"/>
      <c r="N144" s="524"/>
      <c r="O144" s="524"/>
      <c r="P144" s="524"/>
      <c r="Q144" s="524"/>
      <c r="R144" s="524"/>
      <c r="S144" s="524"/>
      <c r="T144" s="524"/>
      <c r="U144" s="524"/>
      <c r="V144" s="524"/>
      <c r="W144" s="512"/>
      <c r="X144" s="512"/>
      <c r="Y144" s="512"/>
      <c r="Z144" s="512"/>
      <c r="AA144" s="524"/>
      <c r="AB144" s="524"/>
      <c r="AC144" s="524"/>
      <c r="AD144" s="512"/>
      <c r="AE144" s="512"/>
      <c r="AF144" s="512"/>
      <c r="AG144" s="512"/>
      <c r="AH144" s="524"/>
    </row>
    <row r="145" spans="1:34" ht="13.5">
      <c r="A145" s="524"/>
      <c r="B145" s="524"/>
      <c r="C145" s="524"/>
      <c r="D145" s="524"/>
      <c r="E145" s="524"/>
      <c r="F145" s="524"/>
      <c r="G145" s="524"/>
      <c r="H145" s="524"/>
      <c r="I145" s="524"/>
      <c r="J145" s="524"/>
      <c r="K145" s="524"/>
      <c r="L145" s="524"/>
      <c r="M145" s="524"/>
      <c r="N145" s="524"/>
      <c r="O145" s="524"/>
      <c r="P145" s="524"/>
      <c r="Q145" s="524"/>
      <c r="R145" s="524"/>
      <c r="S145" s="524"/>
      <c r="T145" s="524"/>
      <c r="U145" s="524"/>
      <c r="V145" s="524"/>
      <c r="W145" s="512"/>
      <c r="X145" s="512"/>
      <c r="Y145" s="512"/>
      <c r="Z145" s="512"/>
      <c r="AA145" s="524"/>
      <c r="AB145" s="524"/>
      <c r="AC145" s="524"/>
      <c r="AD145" s="512"/>
      <c r="AE145" s="512"/>
      <c r="AF145" s="512"/>
      <c r="AG145" s="512"/>
      <c r="AH145" s="524"/>
    </row>
    <row r="146" spans="1:34" ht="13.5">
      <c r="A146" s="524"/>
      <c r="B146" s="524"/>
      <c r="C146" s="524"/>
      <c r="D146" s="524"/>
      <c r="E146" s="524"/>
      <c r="F146" s="524"/>
      <c r="G146" s="524"/>
      <c r="H146" s="524"/>
      <c r="I146" s="524"/>
      <c r="J146" s="524"/>
      <c r="K146" s="524"/>
      <c r="L146" s="524"/>
      <c r="M146" s="524"/>
      <c r="N146" s="524"/>
      <c r="O146" s="524"/>
      <c r="P146" s="524"/>
      <c r="Q146" s="524"/>
      <c r="R146" s="524"/>
      <c r="S146" s="524"/>
      <c r="T146" s="524"/>
      <c r="U146" s="524"/>
      <c r="V146" s="524"/>
      <c r="W146" s="512"/>
      <c r="X146" s="512"/>
      <c r="Y146" s="512"/>
      <c r="Z146" s="512"/>
      <c r="AA146" s="524"/>
      <c r="AB146" s="512"/>
      <c r="AC146" s="512"/>
      <c r="AD146" s="524"/>
      <c r="AE146" s="524"/>
      <c r="AF146" s="524"/>
      <c r="AG146" s="524"/>
      <c r="AH146" s="524"/>
    </row>
    <row r="147" spans="1:34" ht="13.5">
      <c r="A147" s="524"/>
      <c r="B147" s="524"/>
      <c r="C147" s="524"/>
      <c r="D147" s="524"/>
      <c r="E147" s="524"/>
      <c r="F147" s="524"/>
      <c r="G147" s="524"/>
      <c r="H147" s="524"/>
      <c r="I147" s="524"/>
      <c r="J147" s="524"/>
      <c r="K147" s="524"/>
      <c r="L147" s="524"/>
      <c r="M147" s="524"/>
      <c r="N147" s="524"/>
      <c r="O147" s="524"/>
      <c r="P147" s="524"/>
      <c r="Q147" s="524"/>
      <c r="R147" s="524"/>
      <c r="S147" s="524"/>
      <c r="T147" s="524"/>
      <c r="U147" s="524"/>
      <c r="V147" s="524"/>
      <c r="W147" s="524"/>
      <c r="X147" s="524"/>
      <c r="Y147" s="524"/>
      <c r="Z147" s="524"/>
      <c r="AA147" s="524"/>
      <c r="AB147" s="512"/>
      <c r="AC147" s="512"/>
      <c r="AD147" s="524"/>
      <c r="AE147" s="524"/>
      <c r="AF147" s="524"/>
      <c r="AG147" s="524"/>
      <c r="AH147" s="524"/>
    </row>
    <row r="148" spans="1:34" ht="13.5">
      <c r="A148" s="524"/>
      <c r="B148" s="524"/>
      <c r="C148" s="524"/>
      <c r="D148" s="524"/>
      <c r="E148" s="524"/>
      <c r="F148" s="524"/>
      <c r="G148" s="524"/>
      <c r="H148" s="524"/>
      <c r="I148" s="524"/>
      <c r="J148" s="524"/>
      <c r="K148" s="524"/>
      <c r="L148" s="524"/>
      <c r="M148" s="524"/>
      <c r="N148" s="524"/>
      <c r="O148" s="524"/>
      <c r="P148" s="524"/>
      <c r="Q148" s="524"/>
      <c r="R148" s="524"/>
      <c r="S148" s="524"/>
      <c r="T148" s="524"/>
      <c r="U148" s="524"/>
      <c r="V148" s="524"/>
      <c r="W148" s="524"/>
      <c r="X148" s="524"/>
      <c r="Y148" s="524"/>
      <c r="Z148" s="524"/>
      <c r="AA148" s="524"/>
      <c r="AB148" s="512"/>
      <c r="AC148" s="512"/>
      <c r="AD148" s="524"/>
      <c r="AE148" s="524"/>
      <c r="AF148" s="524"/>
      <c r="AG148" s="524"/>
      <c r="AH148" s="524"/>
    </row>
    <row r="149" spans="1:34" ht="13.5">
      <c r="A149" s="524"/>
      <c r="B149" s="524"/>
      <c r="C149" s="524"/>
      <c r="D149" s="524"/>
      <c r="E149" s="524"/>
      <c r="F149" s="524"/>
      <c r="G149" s="524"/>
      <c r="H149" s="524"/>
      <c r="I149" s="524"/>
      <c r="J149" s="524"/>
      <c r="K149" s="524"/>
      <c r="L149" s="524"/>
      <c r="M149" s="524"/>
      <c r="N149" s="524"/>
      <c r="O149" s="524"/>
      <c r="P149" s="524"/>
      <c r="Q149" s="524"/>
      <c r="R149" s="524"/>
      <c r="S149" s="524"/>
      <c r="T149" s="524"/>
      <c r="U149" s="524"/>
      <c r="V149" s="524"/>
      <c r="W149" s="524"/>
      <c r="X149" s="524"/>
      <c r="Y149" s="524"/>
      <c r="Z149" s="524"/>
      <c r="AA149" s="524"/>
      <c r="AB149" s="512"/>
      <c r="AC149" s="512"/>
      <c r="AD149" s="524"/>
      <c r="AE149" s="524"/>
      <c r="AF149" s="524"/>
      <c r="AG149" s="524"/>
      <c r="AH149" s="524"/>
    </row>
    <row r="150" spans="1:34" ht="13.5">
      <c r="A150" s="524"/>
      <c r="B150" s="524"/>
      <c r="C150" s="524"/>
      <c r="D150" s="524"/>
      <c r="E150" s="524"/>
      <c r="F150" s="524"/>
      <c r="G150" s="524"/>
      <c r="H150" s="524"/>
      <c r="I150" s="524"/>
      <c r="J150" s="524"/>
      <c r="K150" s="524"/>
      <c r="L150" s="524"/>
      <c r="M150" s="524"/>
      <c r="N150" s="524"/>
      <c r="O150" s="524"/>
      <c r="P150" s="524"/>
      <c r="Q150" s="524"/>
      <c r="R150" s="524"/>
      <c r="S150" s="524"/>
      <c r="T150" s="524"/>
      <c r="U150" s="524"/>
      <c r="V150" s="524"/>
      <c r="W150" s="524"/>
      <c r="X150" s="524"/>
      <c r="Y150" s="524"/>
      <c r="Z150" s="524"/>
      <c r="AA150" s="524"/>
      <c r="AB150" s="512"/>
      <c r="AC150" s="512"/>
      <c r="AD150" s="524"/>
      <c r="AE150" s="524"/>
      <c r="AF150" s="524"/>
      <c r="AG150" s="524"/>
      <c r="AH150" s="524"/>
    </row>
    <row r="151" spans="1:34" ht="13.5">
      <c r="A151" s="524"/>
      <c r="B151" s="524"/>
      <c r="C151" s="524"/>
      <c r="D151" s="524"/>
      <c r="E151" s="524"/>
      <c r="F151" s="524"/>
      <c r="G151" s="524"/>
      <c r="H151" s="524"/>
      <c r="I151" s="524"/>
      <c r="J151" s="524"/>
      <c r="K151" s="524"/>
      <c r="L151" s="524"/>
      <c r="M151" s="524"/>
      <c r="N151" s="524"/>
      <c r="O151" s="524"/>
      <c r="P151" s="524"/>
      <c r="Q151" s="524"/>
      <c r="R151" s="524"/>
      <c r="S151" s="524"/>
      <c r="T151" s="524"/>
      <c r="U151" s="524"/>
      <c r="V151" s="524"/>
      <c r="W151" s="524"/>
      <c r="X151" s="524"/>
      <c r="Y151" s="524"/>
      <c r="Z151" s="524"/>
      <c r="AA151" s="524"/>
      <c r="AB151" s="524"/>
      <c r="AC151" s="524"/>
      <c r="AD151" s="512"/>
      <c r="AE151" s="524"/>
      <c r="AF151" s="524"/>
      <c r="AG151" s="524"/>
      <c r="AH151" s="524"/>
    </row>
    <row r="152" spans="1:34" ht="13.5">
      <c r="A152" s="524"/>
      <c r="B152" s="524"/>
      <c r="C152" s="524"/>
      <c r="D152" s="524"/>
      <c r="E152" s="524"/>
      <c r="F152" s="524"/>
      <c r="G152" s="524"/>
      <c r="H152" s="524"/>
      <c r="I152" s="524"/>
      <c r="J152" s="524"/>
      <c r="K152" s="524"/>
      <c r="L152" s="524"/>
      <c r="M152" s="524"/>
      <c r="N152" s="524"/>
      <c r="O152" s="524"/>
      <c r="P152" s="524"/>
      <c r="Q152" s="524"/>
      <c r="R152" s="524"/>
      <c r="S152" s="524"/>
      <c r="T152" s="524"/>
      <c r="U152" s="524"/>
      <c r="V152" s="524"/>
      <c r="W152" s="524"/>
      <c r="X152" s="524"/>
      <c r="Y152" s="524"/>
      <c r="Z152" s="524"/>
      <c r="AA152" s="524"/>
      <c r="AB152" s="524"/>
      <c r="AC152" s="524"/>
      <c r="AD152" s="512"/>
      <c r="AE152" s="524"/>
      <c r="AF152" s="524"/>
      <c r="AG152" s="524"/>
      <c r="AH152" s="524"/>
    </row>
    <row r="153" spans="1:34" ht="13.5">
      <c r="A153" s="524"/>
      <c r="B153" s="524"/>
      <c r="C153" s="524"/>
      <c r="D153" s="524"/>
      <c r="E153" s="524"/>
      <c r="F153" s="524"/>
      <c r="G153" s="524"/>
      <c r="H153" s="524"/>
      <c r="I153" s="524"/>
      <c r="J153" s="524"/>
      <c r="K153" s="524"/>
      <c r="L153" s="524"/>
      <c r="M153" s="524"/>
      <c r="N153" s="524"/>
      <c r="O153" s="524"/>
      <c r="P153" s="524"/>
      <c r="Q153" s="524"/>
      <c r="R153" s="524"/>
      <c r="S153" s="524"/>
      <c r="T153" s="524"/>
      <c r="U153" s="524"/>
      <c r="V153" s="524"/>
      <c r="W153" s="524"/>
      <c r="X153" s="524"/>
      <c r="Y153" s="524"/>
      <c r="Z153" s="524"/>
      <c r="AA153" s="524"/>
      <c r="AB153" s="524"/>
      <c r="AC153" s="524"/>
      <c r="AD153" s="512"/>
      <c r="AE153" s="524"/>
      <c r="AF153" s="524"/>
      <c r="AG153" s="524"/>
      <c r="AH153" s="524"/>
    </row>
    <row r="154" spans="1:34" ht="13.5">
      <c r="A154" s="524"/>
      <c r="B154" s="524"/>
      <c r="C154" s="524"/>
      <c r="D154" s="524"/>
      <c r="E154" s="524"/>
      <c r="F154" s="524"/>
      <c r="G154" s="524"/>
      <c r="H154" s="524"/>
      <c r="I154" s="524"/>
      <c r="J154" s="524"/>
      <c r="K154" s="524"/>
      <c r="L154" s="524"/>
      <c r="M154" s="524"/>
      <c r="N154" s="524"/>
      <c r="O154" s="524"/>
      <c r="P154" s="524"/>
      <c r="Q154" s="524"/>
      <c r="R154" s="524"/>
      <c r="S154" s="524"/>
      <c r="T154" s="524"/>
      <c r="U154" s="524"/>
      <c r="V154" s="524"/>
      <c r="W154" s="524"/>
      <c r="X154" s="524"/>
      <c r="Y154" s="524"/>
      <c r="Z154" s="524"/>
      <c r="AA154" s="524"/>
      <c r="AB154" s="524"/>
      <c r="AC154" s="524"/>
      <c r="AD154" s="512"/>
      <c r="AE154" s="524"/>
      <c r="AF154" s="524"/>
      <c r="AG154" s="524"/>
      <c r="AH154" s="524"/>
    </row>
    <row r="155" spans="1:34" ht="13.5">
      <c r="A155" s="524"/>
      <c r="B155" s="524"/>
      <c r="C155" s="524"/>
      <c r="D155" s="524"/>
      <c r="E155" s="524"/>
      <c r="F155" s="524"/>
      <c r="G155" s="524"/>
      <c r="H155" s="524"/>
      <c r="I155" s="524"/>
      <c r="J155" s="524"/>
      <c r="K155" s="524"/>
      <c r="L155" s="524"/>
      <c r="M155" s="524"/>
      <c r="N155" s="524"/>
      <c r="O155" s="524"/>
      <c r="P155" s="524"/>
      <c r="Q155" s="524"/>
      <c r="R155" s="524"/>
      <c r="S155" s="524"/>
      <c r="T155" s="524"/>
      <c r="U155" s="524"/>
      <c r="V155" s="524"/>
      <c r="W155" s="524"/>
      <c r="X155" s="524"/>
      <c r="Y155" s="524"/>
      <c r="Z155" s="524"/>
      <c r="AA155" s="524"/>
      <c r="AB155" s="524"/>
      <c r="AC155" s="524"/>
      <c r="AD155" s="512"/>
      <c r="AE155" s="524"/>
      <c r="AF155" s="524"/>
      <c r="AG155" s="524"/>
      <c r="AH155" s="524"/>
    </row>
    <row r="156" spans="1:34" ht="13.5">
      <c r="A156" s="524"/>
      <c r="B156" s="524"/>
      <c r="C156" s="524"/>
      <c r="D156" s="524"/>
      <c r="E156" s="524"/>
      <c r="F156" s="524"/>
      <c r="G156" s="524"/>
      <c r="H156" s="524"/>
      <c r="I156" s="524"/>
      <c r="J156" s="524"/>
      <c r="K156" s="524"/>
      <c r="L156" s="524"/>
      <c r="M156" s="524"/>
      <c r="N156" s="524"/>
      <c r="O156" s="524"/>
      <c r="P156" s="524"/>
      <c r="Q156" s="524"/>
      <c r="R156" s="524"/>
      <c r="S156" s="524"/>
      <c r="T156" s="524"/>
      <c r="U156" s="524"/>
      <c r="V156" s="524"/>
      <c r="W156" s="524"/>
      <c r="X156" s="524"/>
      <c r="Y156" s="524"/>
      <c r="Z156" s="524"/>
      <c r="AA156" s="524"/>
      <c r="AB156" s="524"/>
      <c r="AC156" s="524"/>
      <c r="AD156" s="524"/>
      <c r="AE156" s="524"/>
      <c r="AF156" s="524"/>
      <c r="AG156" s="524"/>
      <c r="AH156" s="524"/>
    </row>
    <row r="157" spans="1:34" ht="13.5">
      <c r="A157" s="524"/>
      <c r="B157" s="524"/>
      <c r="C157" s="524"/>
      <c r="D157" s="524"/>
      <c r="E157" s="524"/>
      <c r="F157" s="524"/>
      <c r="G157" s="524"/>
      <c r="H157" s="524"/>
      <c r="I157" s="524"/>
      <c r="J157" s="524"/>
      <c r="K157" s="524"/>
      <c r="L157" s="524"/>
      <c r="M157" s="524"/>
      <c r="N157" s="524"/>
      <c r="O157" s="524"/>
      <c r="P157" s="524"/>
      <c r="Q157" s="524"/>
      <c r="R157" s="524"/>
      <c r="S157" s="524"/>
      <c r="T157" s="524"/>
      <c r="U157" s="524"/>
      <c r="V157" s="524"/>
      <c r="W157" s="524"/>
      <c r="X157" s="524"/>
      <c r="Y157" s="524"/>
      <c r="Z157" s="524"/>
      <c r="AA157" s="524"/>
      <c r="AB157" s="524"/>
      <c r="AC157" s="524"/>
      <c r="AD157" s="524"/>
      <c r="AE157" s="524"/>
      <c r="AF157" s="524"/>
      <c r="AG157" s="524"/>
      <c r="AH157" s="524"/>
    </row>
    <row r="158" spans="1:34" ht="13.5">
      <c r="A158" s="524"/>
      <c r="B158" s="524"/>
      <c r="C158" s="524"/>
      <c r="D158" s="524"/>
      <c r="E158" s="524"/>
      <c r="F158" s="524"/>
      <c r="G158" s="524"/>
      <c r="H158" s="524"/>
      <c r="I158" s="524"/>
      <c r="J158" s="524"/>
      <c r="K158" s="524"/>
      <c r="L158" s="524"/>
      <c r="M158" s="524"/>
      <c r="N158" s="524"/>
      <c r="O158" s="524"/>
      <c r="P158" s="524"/>
      <c r="Q158" s="524"/>
      <c r="R158" s="524"/>
      <c r="S158" s="524"/>
      <c r="T158" s="524"/>
      <c r="U158" s="524"/>
      <c r="V158" s="524"/>
      <c r="W158" s="524"/>
      <c r="X158" s="524"/>
      <c r="Y158" s="524"/>
      <c r="Z158" s="524"/>
      <c r="AA158" s="524"/>
      <c r="AB158" s="524"/>
      <c r="AC158" s="524"/>
      <c r="AD158" s="524"/>
      <c r="AE158" s="524"/>
      <c r="AF158" s="524"/>
      <c r="AG158" s="524"/>
      <c r="AH158" s="524"/>
    </row>
    <row r="159" spans="1:34" ht="13.5">
      <c r="A159" s="524"/>
      <c r="B159" s="524"/>
      <c r="C159" s="524"/>
      <c r="D159" s="524"/>
      <c r="E159" s="524"/>
      <c r="F159" s="524"/>
      <c r="G159" s="524"/>
      <c r="H159" s="524"/>
      <c r="I159" s="524"/>
      <c r="J159" s="524"/>
      <c r="K159" s="524"/>
      <c r="L159" s="524"/>
      <c r="M159" s="524"/>
      <c r="N159" s="524"/>
      <c r="O159" s="524"/>
      <c r="P159" s="524"/>
      <c r="Q159" s="524"/>
      <c r="R159" s="524"/>
      <c r="S159" s="524"/>
      <c r="T159" s="524"/>
      <c r="U159" s="524"/>
      <c r="V159" s="524"/>
      <c r="W159" s="524"/>
      <c r="X159" s="524"/>
      <c r="Y159" s="524"/>
      <c r="Z159" s="524"/>
      <c r="AA159" s="524"/>
      <c r="AB159" s="524"/>
      <c r="AC159" s="524"/>
      <c r="AD159" s="524"/>
      <c r="AE159" s="524"/>
      <c r="AF159" s="524"/>
      <c r="AG159" s="524"/>
      <c r="AH159" s="524"/>
    </row>
    <row r="160" spans="1:34" ht="13.5">
      <c r="A160" s="524"/>
      <c r="B160" s="524"/>
      <c r="C160" s="524"/>
      <c r="D160" s="524"/>
      <c r="E160" s="524"/>
      <c r="F160" s="524"/>
      <c r="G160" s="524"/>
      <c r="H160" s="524"/>
      <c r="I160" s="524"/>
      <c r="J160" s="524"/>
      <c r="K160" s="524"/>
      <c r="L160" s="524"/>
      <c r="M160" s="524"/>
      <c r="N160" s="524"/>
      <c r="O160" s="524"/>
      <c r="P160" s="524"/>
      <c r="Q160" s="524"/>
      <c r="R160" s="524"/>
      <c r="S160" s="524"/>
      <c r="T160" s="524"/>
      <c r="U160" s="524"/>
      <c r="V160" s="524"/>
      <c r="W160" s="524"/>
      <c r="X160" s="524"/>
      <c r="Y160" s="524"/>
      <c r="Z160" s="524"/>
      <c r="AA160" s="524"/>
      <c r="AB160" s="524"/>
      <c r="AC160" s="524"/>
      <c r="AD160" s="524"/>
      <c r="AE160" s="524"/>
      <c r="AF160" s="524"/>
      <c r="AG160" s="524"/>
      <c r="AH160" s="524"/>
    </row>
    <row r="161" spans="1:34" ht="13.5">
      <c r="A161" s="524"/>
      <c r="B161" s="524"/>
      <c r="C161" s="524"/>
      <c r="D161" s="524"/>
      <c r="E161" s="524"/>
      <c r="F161" s="524"/>
      <c r="G161" s="524"/>
      <c r="H161" s="524"/>
      <c r="I161" s="524"/>
      <c r="J161" s="524"/>
      <c r="K161" s="524"/>
      <c r="L161" s="524"/>
      <c r="M161" s="524"/>
      <c r="N161" s="524"/>
      <c r="O161" s="524"/>
      <c r="P161" s="524"/>
      <c r="Q161" s="524"/>
      <c r="R161" s="524"/>
      <c r="S161" s="524"/>
      <c r="T161" s="524"/>
      <c r="U161" s="524"/>
      <c r="V161" s="524"/>
      <c r="W161" s="524"/>
      <c r="X161" s="524"/>
      <c r="Y161" s="524"/>
      <c r="Z161" s="524"/>
      <c r="AA161" s="524"/>
      <c r="AB161" s="524"/>
      <c r="AC161" s="524"/>
      <c r="AD161" s="524"/>
      <c r="AE161" s="524"/>
      <c r="AF161" s="524"/>
      <c r="AG161" s="524"/>
      <c r="AH161" s="524"/>
    </row>
    <row r="162" spans="1:34" ht="13.5">
      <c r="A162" s="524"/>
      <c r="B162" s="524"/>
      <c r="C162" s="524"/>
      <c r="D162" s="524"/>
      <c r="E162" s="524"/>
      <c r="F162" s="524"/>
      <c r="G162" s="524"/>
      <c r="H162" s="524"/>
      <c r="I162" s="524"/>
      <c r="J162" s="524"/>
      <c r="K162" s="524"/>
      <c r="L162" s="524"/>
      <c r="M162" s="524"/>
      <c r="N162" s="524"/>
      <c r="O162" s="524"/>
      <c r="P162" s="524"/>
      <c r="Q162" s="524"/>
      <c r="R162" s="524"/>
      <c r="S162" s="524"/>
      <c r="T162" s="524"/>
      <c r="U162" s="524"/>
      <c r="V162" s="524"/>
      <c r="W162" s="524"/>
      <c r="X162" s="524"/>
      <c r="Y162" s="524"/>
      <c r="Z162" s="524"/>
      <c r="AA162" s="524"/>
      <c r="AB162" s="524"/>
      <c r="AC162" s="524"/>
      <c r="AD162" s="524"/>
      <c r="AE162" s="524"/>
      <c r="AF162" s="524"/>
      <c r="AG162" s="524"/>
      <c r="AH162" s="524"/>
    </row>
    <row r="163" spans="1:34" ht="13.5">
      <c r="A163" s="524"/>
      <c r="B163" s="524"/>
      <c r="C163" s="524"/>
      <c r="D163" s="524"/>
      <c r="E163" s="524"/>
      <c r="F163" s="524"/>
      <c r="G163" s="524"/>
      <c r="H163" s="524"/>
      <c r="I163" s="524"/>
      <c r="J163" s="524"/>
      <c r="K163" s="524"/>
      <c r="L163" s="524"/>
      <c r="M163" s="524"/>
      <c r="N163" s="524"/>
      <c r="O163" s="524"/>
      <c r="P163" s="524"/>
      <c r="Q163" s="524"/>
      <c r="R163" s="524"/>
      <c r="S163" s="524"/>
      <c r="T163" s="524"/>
      <c r="U163" s="524"/>
      <c r="V163" s="524"/>
      <c r="W163" s="524"/>
      <c r="X163" s="524"/>
      <c r="Y163" s="524"/>
      <c r="Z163" s="524"/>
      <c r="AA163" s="524"/>
      <c r="AB163" s="524"/>
      <c r="AC163" s="524"/>
      <c r="AD163" s="524"/>
      <c r="AE163" s="524"/>
      <c r="AF163" s="524"/>
      <c r="AG163" s="524"/>
      <c r="AH163" s="524"/>
    </row>
    <row r="164" spans="1:34" ht="13.5">
      <c r="A164" s="524"/>
      <c r="B164" s="524"/>
      <c r="C164" s="524"/>
      <c r="D164" s="524"/>
      <c r="E164" s="524"/>
      <c r="F164" s="524"/>
      <c r="G164" s="524"/>
      <c r="H164" s="524"/>
      <c r="I164" s="524"/>
      <c r="J164" s="524"/>
      <c r="K164" s="524"/>
      <c r="L164" s="524"/>
      <c r="M164" s="524"/>
      <c r="N164" s="524"/>
      <c r="O164" s="524"/>
      <c r="P164" s="524"/>
      <c r="Q164" s="524"/>
      <c r="R164" s="524"/>
      <c r="S164" s="524"/>
      <c r="T164" s="524"/>
      <c r="U164" s="524"/>
      <c r="V164" s="524"/>
      <c r="W164" s="524"/>
      <c r="X164" s="524"/>
      <c r="Y164" s="524"/>
      <c r="Z164" s="524"/>
      <c r="AA164" s="524"/>
      <c r="AB164" s="524"/>
      <c r="AC164" s="524"/>
      <c r="AD164" s="524"/>
      <c r="AE164" s="524"/>
      <c r="AF164" s="524"/>
      <c r="AG164" s="524"/>
      <c r="AH164" s="524"/>
    </row>
    <row r="165" spans="1:34" ht="13.5">
      <c r="A165" s="524"/>
      <c r="B165" s="524"/>
      <c r="C165" s="524"/>
      <c r="D165" s="524"/>
      <c r="E165" s="524"/>
      <c r="F165" s="524"/>
      <c r="G165" s="524"/>
      <c r="H165" s="524"/>
      <c r="I165" s="524"/>
      <c r="J165" s="524"/>
      <c r="K165" s="524"/>
      <c r="L165" s="524"/>
      <c r="M165" s="524"/>
      <c r="N165" s="524"/>
      <c r="O165" s="524"/>
      <c r="P165" s="524"/>
      <c r="Q165" s="524"/>
      <c r="R165" s="524"/>
      <c r="S165" s="524"/>
      <c r="T165" s="524"/>
      <c r="U165" s="524"/>
      <c r="V165" s="524"/>
      <c r="W165" s="524"/>
      <c r="X165" s="524"/>
      <c r="Y165" s="524"/>
      <c r="Z165" s="524"/>
      <c r="AA165" s="524"/>
      <c r="AB165" s="524"/>
      <c r="AC165" s="524"/>
      <c r="AD165" s="524"/>
      <c r="AE165" s="524"/>
      <c r="AF165" s="524"/>
      <c r="AG165" s="524"/>
      <c r="AH165" s="524"/>
    </row>
    <row r="166" spans="1:34" ht="13.5">
      <c r="A166" s="524"/>
      <c r="B166" s="524"/>
      <c r="C166" s="524"/>
      <c r="D166" s="524"/>
      <c r="E166" s="524"/>
      <c r="F166" s="524"/>
      <c r="G166" s="524"/>
      <c r="H166" s="524"/>
      <c r="I166" s="524"/>
      <c r="J166" s="524"/>
      <c r="K166" s="524"/>
      <c r="L166" s="524"/>
      <c r="M166" s="524"/>
      <c r="N166" s="524"/>
      <c r="O166" s="524"/>
      <c r="P166" s="524"/>
      <c r="Q166" s="524"/>
      <c r="R166" s="524"/>
      <c r="S166" s="524"/>
      <c r="T166" s="524"/>
      <c r="U166" s="524"/>
      <c r="V166" s="524"/>
      <c r="W166" s="524"/>
      <c r="X166" s="524"/>
      <c r="Y166" s="524"/>
      <c r="Z166" s="524"/>
      <c r="AA166" s="524"/>
      <c r="AB166" s="524"/>
      <c r="AC166" s="524"/>
      <c r="AD166" s="524"/>
      <c r="AE166" s="524"/>
      <c r="AF166" s="524"/>
      <c r="AG166" s="524"/>
      <c r="AH166" s="524"/>
    </row>
    <row r="167" spans="1:34" ht="13.5">
      <c r="A167" s="524"/>
      <c r="B167" s="524"/>
      <c r="C167" s="524"/>
      <c r="D167" s="524"/>
      <c r="E167" s="524"/>
      <c r="F167" s="524"/>
      <c r="G167" s="524"/>
      <c r="H167" s="524"/>
      <c r="I167" s="524"/>
      <c r="J167" s="524"/>
      <c r="K167" s="524"/>
      <c r="L167" s="524"/>
      <c r="M167" s="524"/>
      <c r="N167" s="524"/>
      <c r="O167" s="524"/>
      <c r="P167" s="524"/>
      <c r="Q167" s="524"/>
      <c r="R167" s="524"/>
      <c r="S167" s="524"/>
      <c r="T167" s="524"/>
      <c r="U167" s="524"/>
      <c r="V167" s="524"/>
      <c r="W167" s="524"/>
      <c r="X167" s="524"/>
      <c r="Y167" s="524"/>
      <c r="Z167" s="524"/>
      <c r="AA167" s="524"/>
      <c r="AB167" s="524"/>
      <c r="AC167" s="524"/>
      <c r="AD167" s="524"/>
      <c r="AE167" s="524"/>
      <c r="AF167" s="524"/>
      <c r="AG167" s="524"/>
      <c r="AH167" s="524"/>
    </row>
    <row r="168" spans="1:34" ht="13.5">
      <c r="A168" s="524"/>
      <c r="B168" s="524"/>
      <c r="C168" s="524"/>
      <c r="D168" s="524"/>
      <c r="E168" s="524"/>
      <c r="F168" s="524"/>
      <c r="G168" s="524"/>
      <c r="H168" s="524"/>
      <c r="I168" s="524"/>
      <c r="J168" s="524"/>
      <c r="K168" s="524"/>
      <c r="L168" s="524"/>
      <c r="M168" s="524"/>
      <c r="N168" s="524"/>
      <c r="O168" s="524"/>
      <c r="P168" s="524"/>
      <c r="Q168" s="524"/>
      <c r="R168" s="524"/>
      <c r="S168" s="524"/>
      <c r="T168" s="524"/>
      <c r="U168" s="524"/>
      <c r="V168" s="524"/>
      <c r="W168" s="524"/>
      <c r="X168" s="524"/>
      <c r="Y168" s="524"/>
      <c r="Z168" s="524"/>
      <c r="AA168" s="524"/>
      <c r="AB168" s="524"/>
      <c r="AC168" s="524"/>
      <c r="AD168" s="524"/>
      <c r="AE168" s="524"/>
      <c r="AF168" s="524"/>
      <c r="AG168" s="524"/>
      <c r="AH168" s="524"/>
    </row>
    <row r="169" spans="1:34" ht="13.5">
      <c r="A169" s="524"/>
      <c r="B169" s="524"/>
      <c r="C169" s="524"/>
      <c r="D169" s="524"/>
      <c r="E169" s="524"/>
      <c r="F169" s="524"/>
      <c r="G169" s="524"/>
      <c r="H169" s="524"/>
      <c r="I169" s="524"/>
      <c r="J169" s="524"/>
      <c r="K169" s="524"/>
      <c r="L169" s="524"/>
      <c r="M169" s="524"/>
      <c r="N169" s="524"/>
      <c r="O169" s="524"/>
      <c r="P169" s="524"/>
      <c r="Q169" s="524"/>
      <c r="R169" s="524"/>
      <c r="S169" s="524"/>
      <c r="T169" s="524"/>
      <c r="U169" s="524"/>
      <c r="V169" s="524"/>
      <c r="W169" s="524"/>
      <c r="X169" s="524"/>
      <c r="Y169" s="524"/>
      <c r="Z169" s="524"/>
      <c r="AA169" s="524"/>
      <c r="AB169" s="524"/>
      <c r="AC169" s="524"/>
      <c r="AD169" s="524"/>
      <c r="AE169" s="524"/>
      <c r="AF169" s="524"/>
      <c r="AG169" s="524"/>
      <c r="AH169" s="524"/>
    </row>
    <row r="170" spans="1:34" ht="13.5">
      <c r="A170" s="524"/>
      <c r="B170" s="524"/>
      <c r="C170" s="524"/>
      <c r="D170" s="524"/>
      <c r="E170" s="524"/>
      <c r="F170" s="524"/>
      <c r="G170" s="524"/>
      <c r="H170" s="524"/>
      <c r="I170" s="524"/>
      <c r="J170" s="524"/>
      <c r="K170" s="524"/>
      <c r="L170" s="524"/>
      <c r="M170" s="524"/>
      <c r="N170" s="524"/>
      <c r="O170" s="524"/>
      <c r="P170" s="524"/>
      <c r="Q170" s="524"/>
      <c r="R170" s="524"/>
      <c r="S170" s="524"/>
      <c r="T170" s="524"/>
      <c r="U170" s="524"/>
      <c r="V170" s="524"/>
      <c r="W170" s="524"/>
      <c r="X170" s="524"/>
      <c r="Y170" s="524"/>
      <c r="Z170" s="524"/>
      <c r="AA170" s="524"/>
      <c r="AB170" s="524"/>
      <c r="AC170" s="524"/>
      <c r="AD170" s="524"/>
      <c r="AE170" s="524"/>
      <c r="AF170" s="524"/>
      <c r="AG170" s="524"/>
      <c r="AH170" s="524"/>
    </row>
    <row r="171" spans="1:34" ht="13.5">
      <c r="A171" s="524"/>
      <c r="B171" s="524"/>
      <c r="C171" s="524"/>
      <c r="D171" s="524"/>
      <c r="E171" s="524"/>
      <c r="F171" s="524"/>
      <c r="G171" s="524"/>
      <c r="H171" s="524"/>
      <c r="I171" s="524"/>
      <c r="J171" s="524"/>
      <c r="K171" s="524"/>
      <c r="L171" s="524"/>
      <c r="M171" s="524"/>
      <c r="N171" s="524"/>
      <c r="O171" s="524"/>
      <c r="P171" s="524"/>
      <c r="Q171" s="524"/>
      <c r="R171" s="524"/>
      <c r="S171" s="524"/>
      <c r="T171" s="524"/>
      <c r="U171" s="524"/>
      <c r="V171" s="524"/>
      <c r="W171" s="524"/>
      <c r="X171" s="524"/>
      <c r="Y171" s="524"/>
      <c r="Z171" s="524"/>
      <c r="AA171" s="524"/>
      <c r="AB171" s="524"/>
      <c r="AC171" s="524"/>
      <c r="AD171" s="524"/>
      <c r="AE171" s="524"/>
      <c r="AF171" s="524"/>
      <c r="AG171" s="524"/>
      <c r="AH171" s="524"/>
    </row>
    <row r="172" spans="1:34" ht="13.5">
      <c r="A172" s="524"/>
      <c r="B172" s="524"/>
      <c r="C172" s="524"/>
      <c r="D172" s="524"/>
      <c r="E172" s="524"/>
      <c r="F172" s="524"/>
      <c r="G172" s="524"/>
      <c r="H172" s="524"/>
      <c r="I172" s="524"/>
      <c r="J172" s="524"/>
      <c r="K172" s="524"/>
      <c r="L172" s="524"/>
      <c r="M172" s="524"/>
      <c r="N172" s="524"/>
      <c r="O172" s="524"/>
      <c r="P172" s="524"/>
      <c r="Q172" s="524"/>
      <c r="R172" s="524"/>
      <c r="S172" s="524"/>
      <c r="T172" s="524"/>
      <c r="U172" s="524"/>
      <c r="V172" s="524"/>
      <c r="W172" s="524"/>
      <c r="X172" s="524"/>
      <c r="Y172" s="524"/>
      <c r="Z172" s="524"/>
      <c r="AA172" s="524"/>
      <c r="AB172" s="524"/>
      <c r="AC172" s="524"/>
      <c r="AD172" s="524"/>
      <c r="AE172" s="524"/>
      <c r="AF172" s="524"/>
      <c r="AG172" s="524"/>
      <c r="AH172" s="524"/>
    </row>
    <row r="173" spans="1:34" ht="13.5">
      <c r="A173" s="524"/>
      <c r="B173" s="524"/>
      <c r="C173" s="524"/>
      <c r="D173" s="524"/>
      <c r="E173" s="524"/>
      <c r="F173" s="524"/>
      <c r="G173" s="524"/>
      <c r="H173" s="524"/>
      <c r="I173" s="524"/>
      <c r="J173" s="524"/>
      <c r="K173" s="524"/>
      <c r="L173" s="524"/>
      <c r="M173" s="524"/>
      <c r="N173" s="524"/>
      <c r="O173" s="524"/>
      <c r="P173" s="524"/>
      <c r="Q173" s="524"/>
      <c r="R173" s="524"/>
      <c r="S173" s="524"/>
      <c r="T173" s="524"/>
      <c r="U173" s="524"/>
      <c r="V173" s="524"/>
      <c r="W173" s="524"/>
      <c r="X173" s="524"/>
      <c r="Y173" s="524"/>
      <c r="Z173" s="524"/>
      <c r="AA173" s="524"/>
      <c r="AB173" s="524"/>
      <c r="AC173" s="524"/>
      <c r="AD173" s="524"/>
      <c r="AE173" s="524"/>
      <c r="AF173" s="524"/>
      <c r="AG173" s="524"/>
      <c r="AH173" s="524"/>
    </row>
    <row r="174" spans="1:34" ht="13.5">
      <c r="A174" s="524"/>
      <c r="B174" s="524"/>
      <c r="C174" s="524"/>
      <c r="D174" s="524"/>
      <c r="E174" s="524"/>
      <c r="F174" s="524"/>
      <c r="G174" s="524"/>
      <c r="H174" s="524"/>
      <c r="I174" s="524"/>
      <c r="J174" s="524"/>
      <c r="K174" s="524"/>
      <c r="L174" s="524"/>
      <c r="M174" s="524"/>
      <c r="N174" s="524"/>
      <c r="O174" s="524"/>
      <c r="P174" s="524"/>
      <c r="Q174" s="524"/>
      <c r="R174" s="524"/>
      <c r="S174" s="524"/>
      <c r="T174" s="524"/>
      <c r="U174" s="524"/>
      <c r="V174" s="524"/>
      <c r="W174" s="524"/>
      <c r="X174" s="524"/>
      <c r="Y174" s="524"/>
      <c r="Z174" s="524"/>
      <c r="AA174" s="524"/>
      <c r="AB174" s="524"/>
      <c r="AC174" s="524"/>
      <c r="AD174" s="524"/>
      <c r="AE174" s="524"/>
      <c r="AF174" s="524"/>
      <c r="AG174" s="524"/>
      <c r="AH174" s="524"/>
    </row>
    <row r="175" spans="1:34" ht="13.5">
      <c r="A175" s="524"/>
      <c r="B175" s="524"/>
      <c r="C175" s="524"/>
      <c r="D175" s="524"/>
      <c r="E175" s="524"/>
      <c r="F175" s="524"/>
      <c r="G175" s="524"/>
      <c r="H175" s="524"/>
      <c r="I175" s="524"/>
      <c r="J175" s="524"/>
      <c r="K175" s="524"/>
      <c r="L175" s="524"/>
      <c r="M175" s="524"/>
      <c r="N175" s="524"/>
      <c r="O175" s="524"/>
      <c r="P175" s="524"/>
      <c r="Q175" s="524"/>
      <c r="R175" s="524"/>
      <c r="S175" s="524"/>
      <c r="T175" s="524"/>
      <c r="U175" s="524"/>
      <c r="V175" s="524"/>
      <c r="W175" s="524"/>
      <c r="X175" s="524"/>
      <c r="Y175" s="524"/>
      <c r="Z175" s="524"/>
      <c r="AA175" s="524"/>
      <c r="AB175" s="524"/>
      <c r="AC175" s="524"/>
      <c r="AD175" s="524"/>
      <c r="AE175" s="524"/>
      <c r="AF175" s="524"/>
      <c r="AG175" s="524"/>
      <c r="AH175" s="524"/>
    </row>
    <row r="176" spans="1:34" ht="13.5">
      <c r="A176" s="524"/>
      <c r="B176" s="524"/>
      <c r="C176" s="524"/>
      <c r="D176" s="524"/>
      <c r="E176" s="524"/>
      <c r="F176" s="524"/>
      <c r="G176" s="524"/>
      <c r="H176" s="524"/>
      <c r="I176" s="524"/>
      <c r="J176" s="524"/>
      <c r="K176" s="524"/>
      <c r="L176" s="524"/>
      <c r="M176" s="524"/>
      <c r="N176" s="524"/>
      <c r="O176" s="524"/>
      <c r="P176" s="524"/>
      <c r="Q176" s="524"/>
      <c r="R176" s="524"/>
      <c r="S176" s="524"/>
      <c r="T176" s="524"/>
      <c r="U176" s="524"/>
      <c r="V176" s="524"/>
      <c r="W176" s="524"/>
      <c r="X176" s="524"/>
      <c r="Y176" s="524"/>
      <c r="Z176" s="524"/>
      <c r="AA176" s="524"/>
      <c r="AB176" s="524"/>
      <c r="AC176" s="524"/>
      <c r="AD176" s="524"/>
      <c r="AE176" s="524"/>
      <c r="AF176" s="524"/>
      <c r="AG176" s="524"/>
      <c r="AH176" s="524"/>
    </row>
    <row r="177" spans="1:34" ht="13.5">
      <c r="A177" s="524"/>
      <c r="B177" s="524"/>
      <c r="C177" s="524"/>
      <c r="D177" s="524"/>
      <c r="E177" s="524"/>
      <c r="F177" s="524"/>
      <c r="G177" s="524"/>
      <c r="H177" s="524"/>
      <c r="I177" s="524"/>
      <c r="J177" s="524"/>
      <c r="K177" s="524"/>
      <c r="L177" s="524"/>
      <c r="M177" s="524"/>
      <c r="N177" s="524"/>
      <c r="O177" s="524"/>
      <c r="P177" s="524"/>
      <c r="Q177" s="524"/>
      <c r="R177" s="524"/>
      <c r="S177" s="524"/>
      <c r="T177" s="524"/>
      <c r="U177" s="524"/>
      <c r="V177" s="524"/>
      <c r="W177" s="524"/>
      <c r="X177" s="524"/>
      <c r="Y177" s="524"/>
      <c r="Z177" s="524"/>
      <c r="AA177" s="524"/>
      <c r="AB177" s="524"/>
      <c r="AC177" s="524"/>
      <c r="AD177" s="524"/>
      <c r="AE177" s="524"/>
      <c r="AF177" s="524"/>
      <c r="AG177" s="524"/>
      <c r="AH177" s="524"/>
    </row>
    <row r="178" spans="1:34" ht="13.5">
      <c r="A178" s="524"/>
      <c r="B178" s="524"/>
      <c r="C178" s="524"/>
      <c r="D178" s="524"/>
      <c r="E178" s="524"/>
      <c r="F178" s="524"/>
      <c r="G178" s="524"/>
      <c r="H178" s="524"/>
      <c r="I178" s="524"/>
      <c r="J178" s="524"/>
      <c r="K178" s="524"/>
      <c r="L178" s="524"/>
      <c r="M178" s="524"/>
      <c r="N178" s="524"/>
      <c r="O178" s="524"/>
      <c r="P178" s="524"/>
      <c r="Q178" s="524"/>
      <c r="R178" s="524"/>
      <c r="S178" s="524"/>
      <c r="T178" s="524"/>
      <c r="U178" s="524"/>
      <c r="V178" s="524"/>
      <c r="W178" s="524"/>
      <c r="X178" s="524"/>
      <c r="Y178" s="524"/>
      <c r="Z178" s="524"/>
      <c r="AA178" s="524"/>
      <c r="AB178" s="524"/>
      <c r="AC178" s="524"/>
      <c r="AD178" s="524"/>
      <c r="AE178" s="524"/>
      <c r="AF178" s="524"/>
      <c r="AG178" s="524"/>
      <c r="AH178" s="524"/>
    </row>
    <row r="179" spans="1:34" ht="13.5">
      <c r="A179" s="524"/>
      <c r="B179" s="524"/>
      <c r="C179" s="524"/>
      <c r="D179" s="524"/>
      <c r="E179" s="524"/>
      <c r="F179" s="524"/>
      <c r="G179" s="524"/>
      <c r="H179" s="524"/>
      <c r="I179" s="524"/>
      <c r="J179" s="524"/>
      <c r="K179" s="524"/>
      <c r="L179" s="524"/>
      <c r="M179" s="524"/>
      <c r="N179" s="524"/>
      <c r="O179" s="524"/>
      <c r="P179" s="524"/>
      <c r="Q179" s="524"/>
      <c r="R179" s="524"/>
      <c r="S179" s="524"/>
      <c r="T179" s="524"/>
      <c r="U179" s="524"/>
      <c r="V179" s="524"/>
      <c r="W179" s="524"/>
      <c r="X179" s="524"/>
      <c r="Y179" s="524"/>
      <c r="Z179" s="524"/>
      <c r="AA179" s="524"/>
      <c r="AB179" s="524"/>
      <c r="AC179" s="524"/>
      <c r="AD179" s="524"/>
      <c r="AE179" s="524"/>
      <c r="AF179" s="524"/>
      <c r="AG179" s="524"/>
      <c r="AH179" s="524"/>
    </row>
    <row r="180" spans="1:34" ht="13.5">
      <c r="A180" s="524"/>
      <c r="B180" s="524"/>
      <c r="C180" s="524"/>
      <c r="D180" s="524"/>
      <c r="E180" s="524"/>
      <c r="F180" s="524"/>
      <c r="G180" s="524"/>
      <c r="H180" s="524"/>
      <c r="I180" s="524"/>
      <c r="J180" s="524"/>
      <c r="K180" s="524"/>
      <c r="L180" s="524"/>
      <c r="M180" s="524"/>
      <c r="N180" s="524"/>
      <c r="O180" s="524"/>
      <c r="P180" s="524"/>
      <c r="Q180" s="524"/>
      <c r="R180" s="524"/>
      <c r="S180" s="524"/>
      <c r="T180" s="524"/>
      <c r="U180" s="524"/>
      <c r="V180" s="524"/>
      <c r="W180" s="524"/>
      <c r="X180" s="524"/>
      <c r="Y180" s="524"/>
      <c r="Z180" s="524"/>
      <c r="AA180" s="524"/>
      <c r="AB180" s="524"/>
      <c r="AC180" s="524"/>
      <c r="AD180" s="524"/>
      <c r="AE180" s="524"/>
      <c r="AF180" s="524"/>
      <c r="AG180" s="524"/>
      <c r="AH180" s="524"/>
    </row>
    <row r="181" spans="1:34" ht="13.5">
      <c r="A181" s="524"/>
      <c r="B181" s="524"/>
      <c r="C181" s="524"/>
      <c r="D181" s="524"/>
      <c r="E181" s="524"/>
      <c r="F181" s="524"/>
      <c r="G181" s="524"/>
      <c r="H181" s="524"/>
      <c r="I181" s="524"/>
      <c r="J181" s="524"/>
      <c r="K181" s="524"/>
      <c r="L181" s="524"/>
      <c r="M181" s="524"/>
      <c r="N181" s="524"/>
      <c r="O181" s="524"/>
      <c r="P181" s="524"/>
      <c r="Q181" s="524"/>
      <c r="R181" s="524"/>
      <c r="S181" s="524"/>
      <c r="T181" s="524"/>
      <c r="U181" s="524"/>
      <c r="V181" s="524"/>
      <c r="W181" s="524"/>
      <c r="X181" s="524"/>
      <c r="Y181" s="524"/>
      <c r="Z181" s="524"/>
      <c r="AA181" s="524"/>
      <c r="AB181" s="524"/>
      <c r="AC181" s="524"/>
      <c r="AD181" s="524"/>
      <c r="AE181" s="524"/>
      <c r="AF181" s="524"/>
      <c r="AG181" s="524"/>
      <c r="AH181" s="524"/>
    </row>
    <row r="182" spans="1:34" ht="13.5">
      <c r="A182" s="524"/>
      <c r="B182" s="524"/>
      <c r="C182" s="524"/>
      <c r="D182" s="524"/>
      <c r="E182" s="524"/>
      <c r="F182" s="524"/>
      <c r="G182" s="524"/>
      <c r="H182" s="524"/>
      <c r="I182" s="524"/>
      <c r="J182" s="524"/>
      <c r="K182" s="524"/>
      <c r="L182" s="524"/>
      <c r="M182" s="524"/>
      <c r="N182" s="524"/>
      <c r="O182" s="524"/>
      <c r="P182" s="524"/>
      <c r="Q182" s="524"/>
      <c r="R182" s="524"/>
      <c r="S182" s="524"/>
      <c r="T182" s="524"/>
      <c r="U182" s="524"/>
      <c r="V182" s="524"/>
      <c r="W182" s="524"/>
      <c r="X182" s="524"/>
      <c r="Y182" s="524"/>
      <c r="Z182" s="524"/>
      <c r="AA182" s="524"/>
      <c r="AB182" s="524"/>
      <c r="AC182" s="524"/>
      <c r="AD182" s="524"/>
      <c r="AE182" s="524"/>
      <c r="AF182" s="524"/>
      <c r="AG182" s="524"/>
      <c r="AH182" s="524"/>
    </row>
    <row r="183" spans="1:34" ht="13.5">
      <c r="A183" s="524"/>
      <c r="B183" s="524"/>
      <c r="C183" s="524"/>
      <c r="D183" s="524"/>
      <c r="E183" s="524"/>
      <c r="F183" s="524"/>
      <c r="G183" s="524"/>
      <c r="H183" s="524"/>
      <c r="I183" s="524"/>
      <c r="J183" s="524"/>
      <c r="K183" s="524"/>
      <c r="L183" s="524"/>
      <c r="M183" s="524"/>
      <c r="N183" s="524"/>
      <c r="O183" s="524"/>
      <c r="P183" s="524"/>
      <c r="Q183" s="524"/>
      <c r="R183" s="524"/>
      <c r="S183" s="524"/>
      <c r="T183" s="524"/>
      <c r="U183" s="524"/>
      <c r="V183" s="524"/>
      <c r="W183" s="524"/>
      <c r="X183" s="524"/>
      <c r="Y183" s="524"/>
      <c r="Z183" s="524"/>
      <c r="AA183" s="524"/>
      <c r="AB183" s="524"/>
      <c r="AC183" s="524"/>
      <c r="AD183" s="524"/>
      <c r="AE183" s="524"/>
      <c r="AF183" s="524"/>
      <c r="AG183" s="524"/>
      <c r="AH183" s="524"/>
    </row>
    <row r="184" spans="1:34" ht="13.5">
      <c r="A184" s="524"/>
      <c r="B184" s="524"/>
      <c r="C184" s="524"/>
      <c r="D184" s="524"/>
      <c r="E184" s="524"/>
      <c r="F184" s="524"/>
      <c r="G184" s="524"/>
      <c r="H184" s="524"/>
      <c r="I184" s="524"/>
      <c r="J184" s="524"/>
      <c r="K184" s="524"/>
      <c r="L184" s="524"/>
      <c r="M184" s="524"/>
      <c r="N184" s="524"/>
      <c r="O184" s="524"/>
      <c r="P184" s="524"/>
      <c r="Q184" s="524"/>
      <c r="R184" s="524"/>
      <c r="S184" s="524"/>
      <c r="T184" s="524"/>
      <c r="U184" s="524"/>
      <c r="V184" s="524"/>
      <c r="W184" s="524"/>
      <c r="X184" s="524"/>
      <c r="Y184" s="524"/>
      <c r="Z184" s="524"/>
      <c r="AA184" s="524"/>
      <c r="AB184" s="524"/>
      <c r="AC184" s="524"/>
      <c r="AD184" s="524"/>
      <c r="AE184" s="524"/>
      <c r="AF184" s="524"/>
      <c r="AG184" s="524"/>
      <c r="AH184" s="524"/>
    </row>
    <row r="185" spans="1:34" ht="13.5">
      <c r="A185" s="524"/>
      <c r="B185" s="524"/>
      <c r="C185" s="524"/>
      <c r="D185" s="524"/>
      <c r="E185" s="524"/>
      <c r="F185" s="524"/>
      <c r="G185" s="524"/>
      <c r="H185" s="524"/>
      <c r="I185" s="524"/>
      <c r="J185" s="524"/>
      <c r="K185" s="524"/>
      <c r="L185" s="524"/>
      <c r="M185" s="524"/>
      <c r="N185" s="524"/>
      <c r="O185" s="524"/>
      <c r="P185" s="524"/>
      <c r="Q185" s="524"/>
      <c r="R185" s="524"/>
      <c r="S185" s="524"/>
      <c r="T185" s="524"/>
      <c r="U185" s="524"/>
      <c r="V185" s="524"/>
      <c r="W185" s="524"/>
      <c r="X185" s="524"/>
      <c r="Y185" s="524"/>
      <c r="Z185" s="524"/>
      <c r="AA185" s="524"/>
      <c r="AB185" s="524"/>
      <c r="AC185" s="524"/>
      <c r="AD185" s="524"/>
      <c r="AE185" s="524"/>
      <c r="AF185" s="524"/>
      <c r="AG185" s="524"/>
      <c r="AH185" s="524"/>
    </row>
    <row r="186" spans="1:34" ht="13.5">
      <c r="A186" s="524"/>
      <c r="B186" s="524"/>
      <c r="C186" s="524"/>
      <c r="D186" s="524"/>
      <c r="E186" s="524"/>
      <c r="F186" s="524"/>
      <c r="G186" s="524"/>
      <c r="H186" s="524"/>
      <c r="I186" s="524"/>
      <c r="J186" s="524"/>
      <c r="K186" s="524"/>
      <c r="L186" s="524"/>
      <c r="M186" s="524"/>
      <c r="N186" s="524"/>
      <c r="O186" s="524"/>
      <c r="P186" s="524"/>
      <c r="Q186" s="524"/>
      <c r="R186" s="524"/>
      <c r="S186" s="524"/>
      <c r="T186" s="524"/>
      <c r="U186" s="524"/>
      <c r="V186" s="524"/>
      <c r="W186" s="524"/>
      <c r="X186" s="524"/>
      <c r="Y186" s="524"/>
      <c r="Z186" s="524"/>
      <c r="AA186" s="524"/>
      <c r="AB186" s="524"/>
      <c r="AC186" s="524"/>
      <c r="AD186" s="524"/>
      <c r="AE186" s="524"/>
      <c r="AF186" s="524"/>
      <c r="AG186" s="524"/>
      <c r="AH186" s="524"/>
    </row>
    <row r="187" spans="1:34" ht="13.5">
      <c r="A187" s="524"/>
      <c r="B187" s="524"/>
      <c r="C187" s="524"/>
      <c r="D187" s="524"/>
      <c r="E187" s="524"/>
      <c r="F187" s="524"/>
      <c r="G187" s="524"/>
      <c r="H187" s="524"/>
      <c r="I187" s="524"/>
      <c r="J187" s="524"/>
      <c r="K187" s="524"/>
      <c r="L187" s="524"/>
      <c r="M187" s="524"/>
      <c r="N187" s="524"/>
      <c r="O187" s="524"/>
      <c r="P187" s="524"/>
      <c r="Q187" s="524"/>
      <c r="R187" s="524"/>
      <c r="S187" s="524"/>
      <c r="T187" s="524"/>
      <c r="U187" s="524"/>
      <c r="V187" s="524"/>
      <c r="W187" s="524"/>
      <c r="X187" s="524"/>
      <c r="Y187" s="524"/>
      <c r="Z187" s="524"/>
      <c r="AA187" s="524"/>
      <c r="AB187" s="524"/>
      <c r="AC187" s="524"/>
      <c r="AD187" s="524"/>
      <c r="AE187" s="524"/>
      <c r="AF187" s="524"/>
      <c r="AG187" s="524"/>
      <c r="AH187" s="524"/>
    </row>
    <row r="188" spans="1:34" ht="13.5">
      <c r="A188" s="524"/>
      <c r="B188" s="524"/>
      <c r="C188" s="524"/>
      <c r="D188" s="524"/>
      <c r="E188" s="524"/>
      <c r="F188" s="524"/>
      <c r="G188" s="524"/>
      <c r="H188" s="524"/>
      <c r="I188" s="524"/>
      <c r="J188" s="524"/>
      <c r="K188" s="524"/>
      <c r="L188" s="524"/>
      <c r="M188" s="524"/>
      <c r="N188" s="524"/>
      <c r="O188" s="524"/>
      <c r="P188" s="524"/>
      <c r="Q188" s="524"/>
      <c r="R188" s="524"/>
      <c r="S188" s="524"/>
      <c r="T188" s="524"/>
      <c r="U188" s="524"/>
      <c r="V188" s="524"/>
      <c r="W188" s="524"/>
      <c r="X188" s="524"/>
      <c r="Y188" s="524"/>
      <c r="Z188" s="524"/>
      <c r="AA188" s="524"/>
      <c r="AB188" s="524"/>
      <c r="AC188" s="524"/>
      <c r="AD188" s="524"/>
      <c r="AE188" s="524"/>
      <c r="AF188" s="524"/>
      <c r="AG188" s="524"/>
      <c r="AH188" s="524"/>
    </row>
    <row r="189" spans="1:34" ht="13.5">
      <c r="A189" s="524"/>
      <c r="B189" s="524"/>
      <c r="C189" s="524"/>
      <c r="D189" s="524"/>
      <c r="E189" s="524"/>
      <c r="F189" s="524"/>
      <c r="G189" s="524"/>
      <c r="H189" s="524"/>
      <c r="I189" s="524"/>
      <c r="J189" s="524"/>
      <c r="K189" s="524"/>
      <c r="L189" s="524"/>
      <c r="M189" s="524"/>
      <c r="N189" s="524"/>
      <c r="O189" s="524"/>
      <c r="P189" s="524"/>
      <c r="Q189" s="524"/>
      <c r="R189" s="524"/>
      <c r="S189" s="524"/>
      <c r="T189" s="524"/>
      <c r="U189" s="524"/>
      <c r="V189" s="524"/>
      <c r="W189" s="524"/>
      <c r="X189" s="524"/>
      <c r="Y189" s="524"/>
      <c r="Z189" s="524"/>
      <c r="AA189" s="524"/>
      <c r="AB189" s="524"/>
      <c r="AC189" s="524"/>
      <c r="AD189" s="524"/>
      <c r="AE189" s="524"/>
      <c r="AF189" s="524"/>
      <c r="AG189" s="524"/>
      <c r="AH189" s="524"/>
    </row>
    <row r="190" spans="1:34" ht="13.5">
      <c r="A190" s="524"/>
      <c r="B190" s="524"/>
      <c r="C190" s="524"/>
      <c r="D190" s="524"/>
      <c r="E190" s="524"/>
      <c r="F190" s="524"/>
      <c r="G190" s="524"/>
      <c r="H190" s="524"/>
      <c r="I190" s="524"/>
      <c r="J190" s="524"/>
      <c r="K190" s="524"/>
      <c r="L190" s="524"/>
      <c r="M190" s="524"/>
      <c r="N190" s="524"/>
      <c r="O190" s="524"/>
      <c r="P190" s="524"/>
      <c r="Q190" s="524"/>
      <c r="R190" s="524"/>
      <c r="S190" s="524"/>
      <c r="T190" s="524"/>
      <c r="U190" s="524"/>
      <c r="V190" s="524"/>
      <c r="W190" s="524"/>
      <c r="X190" s="524"/>
      <c r="Y190" s="524"/>
      <c r="Z190" s="524"/>
      <c r="AA190" s="524"/>
      <c r="AB190" s="524"/>
      <c r="AC190" s="524"/>
      <c r="AD190" s="524"/>
      <c r="AE190" s="524"/>
      <c r="AF190" s="524"/>
      <c r="AG190" s="524"/>
      <c r="AH190" s="524"/>
    </row>
    <row r="191" spans="1:34" ht="13.5">
      <c r="A191" s="524"/>
      <c r="B191" s="524"/>
      <c r="C191" s="524"/>
      <c r="D191" s="524"/>
      <c r="E191" s="524"/>
      <c r="F191" s="524"/>
      <c r="G191" s="524"/>
      <c r="H191" s="524"/>
      <c r="I191" s="524"/>
      <c r="J191" s="524"/>
      <c r="K191" s="524"/>
      <c r="L191" s="524"/>
      <c r="M191" s="524"/>
      <c r="N191" s="524"/>
      <c r="O191" s="524"/>
      <c r="P191" s="524"/>
      <c r="Q191" s="524"/>
      <c r="R191" s="524"/>
      <c r="S191" s="524"/>
      <c r="T191" s="524"/>
      <c r="U191" s="524"/>
      <c r="V191" s="524"/>
      <c r="W191" s="524"/>
      <c r="X191" s="524"/>
      <c r="Y191" s="524"/>
      <c r="Z191" s="524"/>
      <c r="AA191" s="524"/>
      <c r="AB191" s="524"/>
      <c r="AC191" s="524"/>
      <c r="AD191" s="524"/>
      <c r="AE191" s="524"/>
      <c r="AF191" s="524"/>
      <c r="AG191" s="524"/>
      <c r="AH191" s="524"/>
    </row>
    <row r="192" spans="1:34" ht="13.5">
      <c r="A192" s="524"/>
      <c r="B192" s="524"/>
      <c r="C192" s="524"/>
      <c r="D192" s="524"/>
      <c r="E192" s="524"/>
      <c r="F192" s="524"/>
      <c r="G192" s="524"/>
      <c r="H192" s="524"/>
      <c r="I192" s="524"/>
      <c r="J192" s="524"/>
      <c r="K192" s="524"/>
      <c r="L192" s="524"/>
      <c r="M192" s="524"/>
      <c r="N192" s="524"/>
      <c r="O192" s="524"/>
      <c r="P192" s="524"/>
      <c r="Q192" s="524"/>
      <c r="R192" s="524"/>
      <c r="S192" s="524"/>
      <c r="T192" s="524"/>
      <c r="U192" s="524"/>
      <c r="V192" s="524"/>
      <c r="W192" s="524"/>
      <c r="X192" s="524"/>
      <c r="Y192" s="524"/>
      <c r="Z192" s="524"/>
      <c r="AA192" s="524"/>
      <c r="AB192" s="524"/>
      <c r="AC192" s="524"/>
      <c r="AD192" s="524"/>
      <c r="AE192" s="524"/>
      <c r="AF192" s="524"/>
      <c r="AG192" s="524"/>
      <c r="AH192" s="524"/>
    </row>
    <row r="193" spans="1:34" ht="13.5">
      <c r="A193" s="524"/>
      <c r="B193" s="524"/>
      <c r="C193" s="524"/>
      <c r="D193" s="524"/>
      <c r="E193" s="524"/>
      <c r="F193" s="524"/>
      <c r="G193" s="524"/>
      <c r="H193" s="524"/>
      <c r="I193" s="524"/>
      <c r="J193" s="524"/>
      <c r="K193" s="524"/>
      <c r="L193" s="524"/>
      <c r="M193" s="524"/>
      <c r="N193" s="524"/>
      <c r="O193" s="524"/>
      <c r="P193" s="524"/>
      <c r="Q193" s="524"/>
      <c r="R193" s="524"/>
      <c r="S193" s="524"/>
      <c r="T193" s="524"/>
      <c r="U193" s="524"/>
      <c r="V193" s="524"/>
      <c r="W193" s="524"/>
      <c r="X193" s="524"/>
      <c r="Y193" s="524"/>
      <c r="Z193" s="524"/>
      <c r="AA193" s="524"/>
      <c r="AB193" s="524"/>
      <c r="AC193" s="524"/>
      <c r="AD193" s="524"/>
      <c r="AE193" s="524"/>
      <c r="AF193" s="524"/>
      <c r="AG193" s="524"/>
      <c r="AH193" s="524"/>
    </row>
    <row r="194" spans="1:34" ht="13.5">
      <c r="A194" s="524"/>
      <c r="B194" s="524"/>
      <c r="C194" s="524"/>
      <c r="D194" s="524"/>
      <c r="E194" s="524"/>
      <c r="F194" s="524"/>
      <c r="G194" s="524"/>
      <c r="H194" s="524"/>
      <c r="I194" s="524"/>
      <c r="J194" s="524"/>
      <c r="K194" s="524"/>
      <c r="L194" s="524"/>
      <c r="M194" s="524"/>
      <c r="N194" s="524"/>
      <c r="O194" s="524"/>
      <c r="P194" s="524"/>
      <c r="Q194" s="524"/>
      <c r="R194" s="524"/>
      <c r="S194" s="524"/>
      <c r="T194" s="524"/>
      <c r="U194" s="524"/>
      <c r="V194" s="524"/>
      <c r="W194" s="524"/>
      <c r="X194" s="524"/>
      <c r="Y194" s="524"/>
      <c r="Z194" s="524"/>
      <c r="AA194" s="524"/>
      <c r="AB194" s="524"/>
      <c r="AC194" s="524"/>
      <c r="AD194" s="524"/>
      <c r="AE194" s="524"/>
      <c r="AF194" s="524"/>
      <c r="AG194" s="524"/>
      <c r="AH194" s="524"/>
    </row>
    <row r="195" spans="1:34" ht="13.5">
      <c r="A195" s="524"/>
      <c r="B195" s="524"/>
      <c r="C195" s="524"/>
      <c r="D195" s="524"/>
      <c r="E195" s="524"/>
      <c r="F195" s="524"/>
      <c r="G195" s="524"/>
      <c r="H195" s="524"/>
      <c r="I195" s="524"/>
      <c r="J195" s="524"/>
      <c r="K195" s="524"/>
      <c r="L195" s="524"/>
      <c r="M195" s="524"/>
      <c r="N195" s="524"/>
      <c r="O195" s="524"/>
      <c r="P195" s="524"/>
      <c r="Q195" s="524"/>
      <c r="R195" s="524"/>
      <c r="S195" s="524"/>
      <c r="T195" s="524"/>
      <c r="U195" s="524"/>
      <c r="V195" s="524"/>
      <c r="W195" s="524"/>
      <c r="X195" s="524"/>
      <c r="Y195" s="524"/>
      <c r="Z195" s="524"/>
      <c r="AA195" s="524"/>
      <c r="AB195" s="524"/>
      <c r="AC195" s="524"/>
      <c r="AD195" s="524"/>
      <c r="AE195" s="524"/>
      <c r="AF195" s="524"/>
      <c r="AG195" s="524"/>
      <c r="AH195" s="524"/>
    </row>
    <row r="196" spans="1:34" ht="13.5">
      <c r="A196" s="524"/>
      <c r="B196" s="524"/>
      <c r="C196" s="524"/>
      <c r="D196" s="524"/>
      <c r="E196" s="524"/>
      <c r="F196" s="524"/>
      <c r="G196" s="524"/>
      <c r="H196" s="524"/>
      <c r="I196" s="524"/>
      <c r="J196" s="524"/>
      <c r="K196" s="524"/>
      <c r="L196" s="524"/>
      <c r="M196" s="524"/>
      <c r="N196" s="524"/>
      <c r="O196" s="524"/>
      <c r="P196" s="524"/>
      <c r="Q196" s="524"/>
      <c r="R196" s="524"/>
      <c r="S196" s="524"/>
      <c r="T196" s="524"/>
      <c r="U196" s="524"/>
      <c r="V196" s="524"/>
      <c r="W196" s="524"/>
      <c r="X196" s="524"/>
      <c r="Y196" s="524"/>
      <c r="Z196" s="524"/>
      <c r="AA196" s="524"/>
      <c r="AB196" s="524"/>
      <c r="AC196" s="524"/>
      <c r="AD196" s="524"/>
      <c r="AE196" s="524"/>
      <c r="AF196" s="524"/>
      <c r="AG196" s="524"/>
      <c r="AH196" s="524"/>
    </row>
    <row r="197" spans="1:34" ht="13.5">
      <c r="A197" s="524"/>
      <c r="B197" s="524"/>
      <c r="C197" s="524"/>
      <c r="D197" s="524"/>
      <c r="E197" s="524"/>
      <c r="F197" s="524"/>
      <c r="G197" s="524"/>
      <c r="H197" s="524"/>
      <c r="I197" s="524"/>
      <c r="J197" s="524"/>
      <c r="K197" s="524"/>
      <c r="L197" s="524"/>
      <c r="M197" s="524"/>
      <c r="N197" s="524"/>
      <c r="O197" s="524"/>
      <c r="P197" s="524"/>
      <c r="Q197" s="524"/>
      <c r="R197" s="524"/>
      <c r="S197" s="524"/>
      <c r="T197" s="524"/>
      <c r="U197" s="524"/>
      <c r="V197" s="524"/>
      <c r="W197" s="524"/>
      <c r="X197" s="524"/>
      <c r="Y197" s="524"/>
      <c r="Z197" s="524"/>
      <c r="AA197" s="524"/>
      <c r="AB197" s="524"/>
      <c r="AC197" s="524"/>
      <c r="AD197" s="524"/>
      <c r="AE197" s="524"/>
      <c r="AF197" s="524"/>
      <c r="AG197" s="524"/>
      <c r="AH197" s="524"/>
    </row>
    <row r="198" spans="1:34" ht="13.5">
      <c r="A198" s="524"/>
      <c r="B198" s="524"/>
      <c r="C198" s="524"/>
      <c r="D198" s="524"/>
      <c r="E198" s="524"/>
      <c r="F198" s="524"/>
      <c r="G198" s="524"/>
      <c r="H198" s="524"/>
      <c r="I198" s="524"/>
      <c r="J198" s="524"/>
      <c r="K198" s="524"/>
      <c r="L198" s="524"/>
      <c r="M198" s="524"/>
      <c r="N198" s="524"/>
      <c r="O198" s="524"/>
      <c r="P198" s="524"/>
      <c r="Q198" s="524"/>
      <c r="R198" s="524"/>
      <c r="S198" s="524"/>
      <c r="T198" s="524"/>
      <c r="U198" s="524"/>
      <c r="V198" s="524"/>
      <c r="W198" s="524"/>
      <c r="X198" s="524"/>
      <c r="Y198" s="524"/>
      <c r="Z198" s="524"/>
      <c r="AA198" s="524"/>
      <c r="AB198" s="524"/>
      <c r="AC198" s="524"/>
      <c r="AD198" s="524"/>
      <c r="AE198" s="524"/>
      <c r="AF198" s="524"/>
      <c r="AG198" s="524"/>
      <c r="AH198" s="524"/>
    </row>
    <row r="199" spans="1:34" ht="13.5">
      <c r="A199" s="524"/>
      <c r="B199" s="524"/>
      <c r="C199" s="524"/>
      <c r="D199" s="524"/>
      <c r="E199" s="524"/>
      <c r="F199" s="524"/>
      <c r="G199" s="524"/>
      <c r="H199" s="524"/>
      <c r="I199" s="524"/>
      <c r="J199" s="524"/>
      <c r="K199" s="524"/>
      <c r="L199" s="524"/>
      <c r="M199" s="524"/>
      <c r="N199" s="524"/>
      <c r="O199" s="524"/>
      <c r="P199" s="524"/>
      <c r="Q199" s="524"/>
      <c r="R199" s="524"/>
      <c r="S199" s="524"/>
      <c r="T199" s="524"/>
      <c r="U199" s="524"/>
      <c r="V199" s="524"/>
      <c r="W199" s="524"/>
      <c r="X199" s="524"/>
      <c r="Y199" s="524"/>
      <c r="Z199" s="524"/>
      <c r="AA199" s="524"/>
      <c r="AB199" s="524"/>
      <c r="AC199" s="524"/>
      <c r="AD199" s="524"/>
      <c r="AE199" s="524"/>
      <c r="AF199" s="524"/>
      <c r="AG199" s="524"/>
      <c r="AH199" s="524"/>
    </row>
    <row r="200" spans="1:34" ht="13.5">
      <c r="A200" s="524"/>
      <c r="B200" s="524"/>
      <c r="C200" s="524"/>
      <c r="D200" s="524"/>
      <c r="E200" s="524"/>
      <c r="F200" s="524"/>
      <c r="G200" s="524"/>
      <c r="H200" s="524"/>
      <c r="I200" s="524"/>
      <c r="J200" s="524"/>
      <c r="K200" s="524"/>
      <c r="L200" s="524"/>
      <c r="M200" s="524"/>
      <c r="N200" s="524"/>
      <c r="O200" s="524"/>
      <c r="P200" s="524"/>
      <c r="Q200" s="524"/>
      <c r="R200" s="524"/>
      <c r="S200" s="524"/>
      <c r="T200" s="524"/>
      <c r="U200" s="524"/>
      <c r="V200" s="524"/>
      <c r="W200" s="524"/>
      <c r="X200" s="524"/>
      <c r="Y200" s="524"/>
      <c r="Z200" s="524"/>
      <c r="AA200" s="524"/>
      <c r="AB200" s="524"/>
      <c r="AC200" s="524"/>
      <c r="AD200" s="524"/>
      <c r="AE200" s="524"/>
      <c r="AF200" s="524"/>
      <c r="AG200" s="524"/>
      <c r="AH200" s="524"/>
    </row>
    <row r="201" spans="1:34" ht="13.5">
      <c r="A201" s="524"/>
      <c r="B201" s="524"/>
      <c r="C201" s="524"/>
      <c r="D201" s="524"/>
      <c r="E201" s="524"/>
      <c r="F201" s="524"/>
      <c r="G201" s="524"/>
      <c r="H201" s="524"/>
      <c r="I201" s="524"/>
      <c r="J201" s="524"/>
      <c r="K201" s="524"/>
      <c r="L201" s="524"/>
      <c r="M201" s="524"/>
      <c r="N201" s="524"/>
      <c r="O201" s="524"/>
      <c r="P201" s="524"/>
      <c r="Q201" s="524"/>
      <c r="R201" s="524"/>
      <c r="S201" s="524"/>
      <c r="T201" s="524"/>
      <c r="U201" s="524"/>
      <c r="V201" s="524"/>
      <c r="W201" s="524"/>
      <c r="X201" s="524"/>
      <c r="Y201" s="524"/>
      <c r="Z201" s="524"/>
      <c r="AA201" s="524"/>
      <c r="AB201" s="524"/>
      <c r="AC201" s="524"/>
      <c r="AD201" s="524"/>
      <c r="AE201" s="524"/>
      <c r="AF201" s="524"/>
      <c r="AG201" s="524"/>
      <c r="AH201" s="524"/>
    </row>
    <row r="202" spans="1:34" ht="13.5">
      <c r="A202" s="524"/>
      <c r="B202" s="524"/>
      <c r="C202" s="524"/>
      <c r="D202" s="524"/>
      <c r="E202" s="524"/>
      <c r="F202" s="524"/>
      <c r="G202" s="524"/>
      <c r="H202" s="524"/>
      <c r="I202" s="524"/>
      <c r="J202" s="524"/>
      <c r="K202" s="524"/>
      <c r="L202" s="524"/>
      <c r="M202" s="524"/>
      <c r="N202" s="524"/>
      <c r="O202" s="524"/>
      <c r="P202" s="524"/>
      <c r="Q202" s="524"/>
      <c r="R202" s="524"/>
      <c r="S202" s="524"/>
      <c r="T202" s="524"/>
      <c r="U202" s="524"/>
      <c r="V202" s="524"/>
      <c r="W202" s="524"/>
      <c r="X202" s="524"/>
      <c r="Y202" s="524"/>
      <c r="Z202" s="524"/>
      <c r="AA202" s="524"/>
      <c r="AB202" s="524"/>
      <c r="AC202" s="524"/>
      <c r="AD202" s="524"/>
      <c r="AE202" s="524"/>
      <c r="AF202" s="524"/>
      <c r="AG202" s="524"/>
      <c r="AH202" s="524"/>
    </row>
    <row r="203" spans="1:34" ht="13.5">
      <c r="A203" s="524"/>
      <c r="B203" s="524"/>
      <c r="C203" s="524"/>
      <c r="D203" s="524"/>
      <c r="E203" s="524"/>
      <c r="F203" s="524"/>
      <c r="G203" s="524"/>
      <c r="H203" s="524"/>
      <c r="I203" s="524"/>
      <c r="J203" s="524"/>
      <c r="K203" s="524"/>
      <c r="L203" s="524"/>
      <c r="M203" s="524"/>
      <c r="N203" s="524"/>
      <c r="O203" s="524"/>
      <c r="P203" s="524"/>
      <c r="Q203" s="524"/>
      <c r="R203" s="524"/>
      <c r="S203" s="524"/>
      <c r="T203" s="524"/>
      <c r="U203" s="524"/>
      <c r="V203" s="524"/>
      <c r="W203" s="524"/>
      <c r="X203" s="524"/>
      <c r="Y203" s="524"/>
      <c r="Z203" s="524"/>
      <c r="AA203" s="524"/>
      <c r="AB203" s="524"/>
      <c r="AC203" s="524"/>
      <c r="AD203" s="524"/>
      <c r="AE203" s="524"/>
      <c r="AF203" s="524"/>
      <c r="AG203" s="524"/>
      <c r="AH203" s="524"/>
    </row>
    <row r="204" spans="1:34" ht="13.5">
      <c r="A204" s="524"/>
      <c r="B204" s="524"/>
      <c r="C204" s="524"/>
      <c r="D204" s="524"/>
      <c r="E204" s="524"/>
      <c r="F204" s="524"/>
      <c r="G204" s="524"/>
      <c r="H204" s="524"/>
      <c r="I204" s="524"/>
      <c r="J204" s="524"/>
      <c r="K204" s="524"/>
      <c r="L204" s="524"/>
      <c r="M204" s="524"/>
      <c r="N204" s="524"/>
      <c r="O204" s="524"/>
      <c r="P204" s="524"/>
      <c r="Q204" s="524"/>
      <c r="R204" s="524"/>
      <c r="S204" s="524"/>
      <c r="T204" s="524"/>
      <c r="U204" s="524"/>
      <c r="V204" s="524"/>
      <c r="W204" s="524"/>
      <c r="X204" s="524"/>
      <c r="Y204" s="524"/>
      <c r="Z204" s="524"/>
      <c r="AA204" s="524"/>
      <c r="AB204" s="524"/>
      <c r="AC204" s="524"/>
      <c r="AD204" s="524"/>
      <c r="AE204" s="524"/>
      <c r="AF204" s="524"/>
      <c r="AG204" s="524"/>
      <c r="AH204" s="524"/>
    </row>
    <row r="205" spans="1:34" ht="13.5">
      <c r="A205" s="524"/>
      <c r="B205" s="524"/>
      <c r="C205" s="524"/>
      <c r="D205" s="524"/>
      <c r="E205" s="524"/>
      <c r="F205" s="524"/>
      <c r="G205" s="524"/>
      <c r="H205" s="524"/>
      <c r="I205" s="524"/>
      <c r="J205" s="524"/>
      <c r="K205" s="524"/>
      <c r="L205" s="524"/>
      <c r="M205" s="524"/>
      <c r="N205" s="524"/>
      <c r="O205" s="524"/>
      <c r="P205" s="524"/>
      <c r="Q205" s="524"/>
      <c r="R205" s="524"/>
      <c r="S205" s="524"/>
      <c r="T205" s="524"/>
      <c r="U205" s="524"/>
      <c r="V205" s="524"/>
      <c r="W205" s="524"/>
      <c r="X205" s="524"/>
      <c r="Y205" s="524"/>
      <c r="Z205" s="524"/>
      <c r="AA205" s="524"/>
      <c r="AB205" s="524"/>
      <c r="AC205" s="524"/>
      <c r="AD205" s="524"/>
      <c r="AE205" s="524"/>
      <c r="AF205" s="524"/>
      <c r="AG205" s="524"/>
      <c r="AH205" s="524"/>
    </row>
    <row r="206" spans="1:34" ht="13.5">
      <c r="A206" s="524"/>
      <c r="B206" s="524"/>
      <c r="C206" s="524"/>
      <c r="D206" s="524"/>
      <c r="E206" s="524"/>
      <c r="F206" s="524"/>
      <c r="G206" s="524"/>
      <c r="H206" s="524"/>
      <c r="I206" s="524"/>
      <c r="J206" s="524"/>
      <c r="K206" s="524"/>
      <c r="L206" s="524"/>
      <c r="M206" s="524"/>
      <c r="N206" s="524"/>
      <c r="O206" s="524"/>
      <c r="P206" s="524"/>
      <c r="Q206" s="524"/>
      <c r="R206" s="524"/>
      <c r="S206" s="524"/>
      <c r="T206" s="524"/>
      <c r="U206" s="524"/>
      <c r="V206" s="524"/>
      <c r="W206" s="524"/>
      <c r="X206" s="524"/>
      <c r="Y206" s="524"/>
      <c r="Z206" s="524"/>
      <c r="AA206" s="524"/>
      <c r="AB206" s="524"/>
      <c r="AC206" s="524"/>
      <c r="AD206" s="524"/>
      <c r="AE206" s="524"/>
      <c r="AF206" s="524"/>
      <c r="AG206" s="524"/>
      <c r="AH206" s="524"/>
    </row>
    <row r="207" spans="1:34" ht="13.5">
      <c r="A207" s="524"/>
      <c r="B207" s="524"/>
      <c r="C207" s="524"/>
      <c r="D207" s="524"/>
      <c r="E207" s="524"/>
      <c r="F207" s="524"/>
      <c r="G207" s="524"/>
      <c r="H207" s="524"/>
      <c r="I207" s="524"/>
      <c r="J207" s="524"/>
      <c r="K207" s="524"/>
      <c r="L207" s="524"/>
      <c r="M207" s="524"/>
      <c r="N207" s="524"/>
      <c r="O207" s="524"/>
      <c r="P207" s="524"/>
      <c r="Q207" s="524"/>
      <c r="R207" s="524"/>
      <c r="S207" s="524"/>
      <c r="T207" s="524"/>
      <c r="U207" s="524"/>
      <c r="V207" s="524"/>
      <c r="W207" s="524"/>
      <c r="X207" s="524"/>
      <c r="Y207" s="524"/>
      <c r="Z207" s="524"/>
      <c r="AA207" s="524"/>
      <c r="AB207" s="524"/>
      <c r="AC207" s="524"/>
      <c r="AD207" s="524"/>
      <c r="AE207" s="524"/>
      <c r="AF207" s="524"/>
      <c r="AG207" s="524"/>
      <c r="AH207" s="524"/>
    </row>
    <row r="208" spans="1:34" ht="13.5">
      <c r="A208" s="524"/>
      <c r="B208" s="524"/>
      <c r="C208" s="524"/>
      <c r="D208" s="524"/>
      <c r="E208" s="524"/>
      <c r="F208" s="524"/>
      <c r="G208" s="524"/>
      <c r="H208" s="524"/>
      <c r="I208" s="524"/>
      <c r="J208" s="524"/>
      <c r="K208" s="524"/>
      <c r="L208" s="524"/>
      <c r="M208" s="524"/>
      <c r="N208" s="524"/>
      <c r="O208" s="524"/>
      <c r="P208" s="524"/>
      <c r="Q208" s="524"/>
      <c r="R208" s="524"/>
      <c r="S208" s="524"/>
      <c r="T208" s="524"/>
      <c r="U208" s="524"/>
      <c r="V208" s="524"/>
      <c r="W208" s="524"/>
      <c r="X208" s="524"/>
      <c r="Y208" s="524"/>
      <c r="Z208" s="524"/>
      <c r="AA208" s="524"/>
      <c r="AB208" s="524"/>
      <c r="AC208" s="524"/>
      <c r="AD208" s="524"/>
      <c r="AE208" s="524"/>
      <c r="AF208" s="524"/>
      <c r="AG208" s="524"/>
      <c r="AH208" s="524"/>
    </row>
    <row r="209" spans="1:34" ht="13.5">
      <c r="A209" s="524"/>
      <c r="B209" s="524"/>
      <c r="C209" s="524"/>
      <c r="D209" s="524"/>
      <c r="E209" s="524"/>
      <c r="F209" s="524"/>
      <c r="G209" s="524"/>
      <c r="H209" s="524"/>
      <c r="I209" s="524"/>
      <c r="J209" s="524"/>
      <c r="K209" s="524"/>
      <c r="L209" s="524"/>
      <c r="M209" s="524"/>
      <c r="N209" s="524"/>
      <c r="O209" s="524"/>
      <c r="P209" s="524"/>
      <c r="Q209" s="524"/>
      <c r="R209" s="524"/>
      <c r="S209" s="524"/>
      <c r="T209" s="524"/>
      <c r="U209" s="524"/>
      <c r="V209" s="524"/>
      <c r="W209" s="524"/>
      <c r="X209" s="524"/>
      <c r="Y209" s="524"/>
      <c r="Z209" s="524"/>
      <c r="AA209" s="524"/>
      <c r="AB209" s="524"/>
      <c r="AC209" s="524"/>
      <c r="AD209" s="524"/>
      <c r="AE209" s="524"/>
      <c r="AF209" s="524"/>
      <c r="AG209" s="524"/>
      <c r="AH209" s="524"/>
    </row>
    <row r="210" spans="1:34" ht="13.5">
      <c r="A210" s="524"/>
      <c r="B210" s="524"/>
      <c r="C210" s="524"/>
      <c r="D210" s="524"/>
      <c r="E210" s="524"/>
      <c r="F210" s="524"/>
      <c r="G210" s="524"/>
      <c r="H210" s="524"/>
      <c r="I210" s="524"/>
      <c r="J210" s="524"/>
      <c r="K210" s="524"/>
      <c r="L210" s="524"/>
      <c r="M210" s="524"/>
      <c r="N210" s="524"/>
      <c r="O210" s="524"/>
      <c r="P210" s="524"/>
      <c r="Q210" s="524"/>
      <c r="R210" s="524"/>
      <c r="S210" s="524"/>
      <c r="T210" s="524"/>
      <c r="U210" s="524"/>
      <c r="V210" s="524"/>
      <c r="W210" s="524"/>
      <c r="X210" s="524"/>
      <c r="Y210" s="524"/>
      <c r="Z210" s="524"/>
      <c r="AA210" s="524"/>
      <c r="AB210" s="524"/>
      <c r="AC210" s="524"/>
      <c r="AD210" s="524"/>
      <c r="AE210" s="524"/>
      <c r="AF210" s="524"/>
      <c r="AG210" s="524"/>
      <c r="AH210" s="524"/>
    </row>
    <row r="211" spans="1:34" ht="13.5">
      <c r="A211" s="524"/>
      <c r="B211" s="524"/>
      <c r="C211" s="524"/>
      <c r="D211" s="524"/>
      <c r="E211" s="524"/>
      <c r="F211" s="524"/>
      <c r="G211" s="524"/>
      <c r="H211" s="524"/>
      <c r="I211" s="524"/>
      <c r="J211" s="524"/>
      <c r="K211" s="524"/>
      <c r="L211" s="524"/>
      <c r="M211" s="524"/>
      <c r="N211" s="524"/>
      <c r="O211" s="524"/>
      <c r="P211" s="524"/>
      <c r="Q211" s="524"/>
      <c r="R211" s="524"/>
      <c r="S211" s="524"/>
      <c r="T211" s="524"/>
      <c r="U211" s="524"/>
      <c r="V211" s="524"/>
      <c r="W211" s="524"/>
      <c r="X211" s="524"/>
      <c r="Y211" s="524"/>
      <c r="Z211" s="524"/>
      <c r="AA211" s="524"/>
      <c r="AB211" s="524"/>
      <c r="AC211" s="524"/>
      <c r="AD211" s="524"/>
      <c r="AE211" s="524"/>
      <c r="AF211" s="524"/>
      <c r="AG211" s="524"/>
      <c r="AH211" s="524"/>
    </row>
    <row r="212" spans="1:34" ht="13.5">
      <c r="A212" s="524"/>
      <c r="B212" s="524"/>
      <c r="C212" s="524"/>
      <c r="D212" s="524"/>
      <c r="E212" s="524"/>
      <c r="F212" s="524"/>
      <c r="G212" s="524"/>
      <c r="H212" s="524"/>
      <c r="I212" s="524"/>
      <c r="J212" s="524"/>
      <c r="K212" s="524"/>
      <c r="L212" s="524"/>
      <c r="M212" s="524"/>
      <c r="N212" s="524"/>
      <c r="O212" s="524"/>
      <c r="P212" s="524"/>
      <c r="Q212" s="524"/>
      <c r="R212" s="524"/>
      <c r="S212" s="524"/>
      <c r="T212" s="524"/>
      <c r="U212" s="524"/>
      <c r="V212" s="524"/>
      <c r="W212" s="524"/>
      <c r="X212" s="524"/>
      <c r="Y212" s="524"/>
      <c r="Z212" s="524"/>
      <c r="AA212" s="524"/>
      <c r="AB212" s="524"/>
      <c r="AC212" s="524"/>
      <c r="AD212" s="524"/>
      <c r="AE212" s="524"/>
      <c r="AF212" s="524"/>
      <c r="AG212" s="524"/>
      <c r="AH212" s="524"/>
    </row>
    <row r="213" spans="1:34" ht="13.5">
      <c r="A213" s="524"/>
      <c r="B213" s="524"/>
      <c r="C213" s="524"/>
      <c r="D213" s="524"/>
      <c r="E213" s="524"/>
      <c r="F213" s="524"/>
      <c r="G213" s="524"/>
      <c r="H213" s="524"/>
      <c r="I213" s="524"/>
      <c r="J213" s="524"/>
      <c r="K213" s="524"/>
      <c r="L213" s="524"/>
      <c r="M213" s="524"/>
      <c r="N213" s="524"/>
      <c r="O213" s="524"/>
      <c r="P213" s="524"/>
      <c r="Q213" s="524"/>
      <c r="R213" s="524"/>
      <c r="S213" s="524"/>
      <c r="T213" s="524"/>
      <c r="U213" s="524"/>
      <c r="V213" s="524"/>
      <c r="W213" s="524"/>
      <c r="X213" s="524"/>
      <c r="Y213" s="524"/>
      <c r="Z213" s="524"/>
      <c r="AA213" s="524"/>
      <c r="AB213" s="524"/>
      <c r="AC213" s="524"/>
      <c r="AD213" s="524"/>
      <c r="AE213" s="524"/>
      <c r="AF213" s="524"/>
      <c r="AG213" s="524"/>
      <c r="AH213" s="524"/>
    </row>
    <row r="214" spans="1:34" ht="13.5">
      <c r="A214" s="524"/>
      <c r="B214" s="524"/>
      <c r="C214" s="524"/>
      <c r="D214" s="524"/>
      <c r="E214" s="524"/>
      <c r="F214" s="524"/>
      <c r="G214" s="524"/>
      <c r="H214" s="524"/>
      <c r="I214" s="524"/>
      <c r="J214" s="524"/>
      <c r="K214" s="524"/>
      <c r="L214" s="524"/>
      <c r="M214" s="524"/>
      <c r="N214" s="524"/>
      <c r="O214" s="524"/>
      <c r="P214" s="524"/>
      <c r="Q214" s="524"/>
      <c r="R214" s="524"/>
      <c r="S214" s="524"/>
      <c r="T214" s="524"/>
      <c r="U214" s="524"/>
      <c r="V214" s="524"/>
      <c r="W214" s="524"/>
      <c r="X214" s="524"/>
      <c r="Y214" s="524"/>
      <c r="Z214" s="524"/>
      <c r="AA214" s="524"/>
      <c r="AB214" s="524"/>
      <c r="AC214" s="524"/>
      <c r="AD214" s="524"/>
      <c r="AE214" s="524"/>
      <c r="AF214" s="524"/>
      <c r="AG214" s="524"/>
      <c r="AH214" s="524"/>
    </row>
    <row r="215" spans="1:34" ht="13.5">
      <c r="A215" s="524"/>
      <c r="B215" s="524"/>
      <c r="C215" s="524"/>
      <c r="D215" s="524"/>
      <c r="E215" s="524"/>
      <c r="F215" s="524"/>
      <c r="G215" s="524"/>
      <c r="H215" s="524"/>
      <c r="I215" s="524"/>
      <c r="J215" s="524"/>
      <c r="K215" s="524"/>
      <c r="L215" s="524"/>
      <c r="M215" s="524"/>
      <c r="N215" s="524"/>
      <c r="O215" s="524"/>
      <c r="P215" s="524"/>
      <c r="Q215" s="524"/>
      <c r="R215" s="524"/>
      <c r="S215" s="524"/>
      <c r="T215" s="524"/>
      <c r="U215" s="524"/>
      <c r="V215" s="524"/>
      <c r="W215" s="524"/>
      <c r="X215" s="524"/>
      <c r="Y215" s="524"/>
      <c r="Z215" s="524"/>
      <c r="AA215" s="524"/>
      <c r="AB215" s="524"/>
      <c r="AC215" s="524"/>
      <c r="AD215" s="524"/>
      <c r="AE215" s="524"/>
      <c r="AF215" s="524"/>
      <c r="AG215" s="524"/>
      <c r="AH215" s="524"/>
    </row>
    <row r="216" spans="1:34" ht="13.5">
      <c r="A216" s="524"/>
      <c r="B216" s="524"/>
      <c r="C216" s="524"/>
      <c r="D216" s="524"/>
      <c r="E216" s="524"/>
      <c r="F216" s="524"/>
      <c r="G216" s="524"/>
      <c r="H216" s="524"/>
      <c r="I216" s="524"/>
      <c r="J216" s="524"/>
      <c r="K216" s="524"/>
      <c r="L216" s="524"/>
      <c r="M216" s="524"/>
      <c r="N216" s="524"/>
      <c r="O216" s="524"/>
      <c r="P216" s="524"/>
      <c r="Q216" s="524"/>
      <c r="R216" s="524"/>
      <c r="S216" s="524"/>
      <c r="T216" s="524"/>
      <c r="U216" s="524"/>
      <c r="V216" s="524"/>
      <c r="W216" s="524"/>
      <c r="X216" s="524"/>
      <c r="Y216" s="524"/>
      <c r="Z216" s="524"/>
      <c r="AA216" s="524"/>
      <c r="AB216" s="524"/>
      <c r="AC216" s="524"/>
      <c r="AD216" s="524"/>
      <c r="AE216" s="524"/>
      <c r="AF216" s="524"/>
      <c r="AG216" s="524"/>
      <c r="AH216" s="524"/>
    </row>
    <row r="217" spans="1:34" ht="13.5">
      <c r="A217" s="524"/>
      <c r="B217" s="524"/>
      <c r="C217" s="524"/>
      <c r="D217" s="524"/>
      <c r="E217" s="524"/>
      <c r="F217" s="524"/>
      <c r="G217" s="524"/>
      <c r="H217" s="524"/>
      <c r="I217" s="524"/>
      <c r="J217" s="524"/>
      <c r="K217" s="524"/>
      <c r="L217" s="524"/>
      <c r="M217" s="524"/>
      <c r="N217" s="524"/>
      <c r="O217" s="524"/>
      <c r="P217" s="524"/>
      <c r="Q217" s="524"/>
      <c r="R217" s="524"/>
      <c r="S217" s="524"/>
      <c r="T217" s="524"/>
      <c r="U217" s="524"/>
      <c r="V217" s="524"/>
      <c r="W217" s="524"/>
      <c r="X217" s="524"/>
      <c r="Y217" s="524"/>
      <c r="Z217" s="524"/>
      <c r="AA217" s="524"/>
      <c r="AB217" s="524"/>
      <c r="AC217" s="524"/>
      <c r="AD217" s="524"/>
      <c r="AE217" s="524"/>
      <c r="AF217" s="524"/>
      <c r="AG217" s="524"/>
      <c r="AH217" s="524"/>
    </row>
    <row r="218" spans="1:34" ht="13.5">
      <c r="A218" s="524"/>
      <c r="B218" s="524"/>
      <c r="C218" s="524"/>
      <c r="D218" s="524"/>
      <c r="E218" s="524"/>
      <c r="F218" s="524"/>
      <c r="G218" s="524"/>
      <c r="H218" s="524"/>
      <c r="I218" s="524"/>
      <c r="J218" s="524"/>
      <c r="K218" s="524"/>
      <c r="L218" s="524"/>
      <c r="M218" s="524"/>
      <c r="N218" s="524"/>
      <c r="O218" s="524"/>
      <c r="P218" s="524"/>
      <c r="Q218" s="524"/>
      <c r="R218" s="524"/>
      <c r="S218" s="524"/>
      <c r="T218" s="524"/>
      <c r="U218" s="524"/>
      <c r="V218" s="524"/>
      <c r="W218" s="524"/>
      <c r="X218" s="524"/>
      <c r="Y218" s="524"/>
      <c r="Z218" s="524"/>
      <c r="AA218" s="524"/>
      <c r="AB218" s="524"/>
      <c r="AC218" s="524"/>
      <c r="AD218" s="524"/>
      <c r="AE218" s="524"/>
      <c r="AF218" s="524"/>
      <c r="AG218" s="524"/>
      <c r="AH218" s="524"/>
    </row>
    <row r="219" spans="1:34" ht="13.5">
      <c r="A219" s="524"/>
      <c r="B219" s="524"/>
      <c r="C219" s="524"/>
      <c r="D219" s="524"/>
      <c r="E219" s="524"/>
      <c r="F219" s="524"/>
      <c r="G219" s="524"/>
      <c r="H219" s="524"/>
      <c r="I219" s="524"/>
      <c r="J219" s="524"/>
      <c r="K219" s="524"/>
      <c r="L219" s="524"/>
      <c r="M219" s="524"/>
      <c r="N219" s="524"/>
      <c r="O219" s="524"/>
      <c r="P219" s="524"/>
      <c r="Q219" s="524"/>
      <c r="R219" s="524"/>
      <c r="S219" s="524"/>
      <c r="T219" s="524"/>
      <c r="U219" s="524"/>
      <c r="V219" s="524"/>
      <c r="W219" s="524"/>
      <c r="X219" s="524"/>
      <c r="Y219" s="524"/>
      <c r="Z219" s="524"/>
      <c r="AA219" s="524"/>
      <c r="AB219" s="524"/>
      <c r="AC219" s="524"/>
      <c r="AD219" s="524"/>
      <c r="AE219" s="524"/>
      <c r="AF219" s="524"/>
      <c r="AG219" s="524"/>
      <c r="AH219" s="524"/>
    </row>
    <row r="220" spans="1:34" ht="13.5">
      <c r="A220" s="524"/>
      <c r="B220" s="524"/>
      <c r="C220" s="524"/>
      <c r="D220" s="524"/>
      <c r="E220" s="524"/>
      <c r="F220" s="524"/>
      <c r="G220" s="524"/>
      <c r="H220" s="524"/>
      <c r="I220" s="524"/>
      <c r="J220" s="524"/>
      <c r="K220" s="524"/>
      <c r="L220" s="524"/>
      <c r="M220" s="524"/>
      <c r="N220" s="524"/>
      <c r="O220" s="524"/>
      <c r="P220" s="524"/>
      <c r="Q220" s="524"/>
      <c r="R220" s="524"/>
      <c r="S220" s="524"/>
      <c r="T220" s="524"/>
      <c r="U220" s="524"/>
      <c r="V220" s="524"/>
      <c r="W220" s="524"/>
      <c r="X220" s="524"/>
      <c r="Y220" s="524"/>
      <c r="Z220" s="524"/>
      <c r="AA220" s="524"/>
      <c r="AB220" s="524"/>
      <c r="AC220" s="524"/>
      <c r="AD220" s="524"/>
      <c r="AE220" s="524"/>
      <c r="AF220" s="524"/>
      <c r="AG220" s="524"/>
      <c r="AH220" s="524"/>
    </row>
    <row r="221" spans="1:34" ht="13.5">
      <c r="A221" s="524"/>
      <c r="B221" s="524"/>
      <c r="C221" s="524"/>
      <c r="D221" s="524"/>
      <c r="E221" s="524"/>
      <c r="F221" s="524"/>
      <c r="G221" s="524"/>
      <c r="H221" s="524"/>
      <c r="I221" s="524"/>
      <c r="J221" s="524"/>
      <c r="K221" s="524"/>
      <c r="L221" s="524"/>
      <c r="M221" s="524"/>
      <c r="N221" s="524"/>
      <c r="O221" s="524"/>
      <c r="P221" s="524"/>
      <c r="Q221" s="524"/>
      <c r="R221" s="524"/>
      <c r="S221" s="524"/>
      <c r="T221" s="524"/>
      <c r="U221" s="524"/>
      <c r="V221" s="524"/>
      <c r="W221" s="524"/>
      <c r="X221" s="524"/>
      <c r="Y221" s="524"/>
      <c r="Z221" s="524"/>
      <c r="AA221" s="524"/>
      <c r="AB221" s="524"/>
      <c r="AC221" s="524"/>
      <c r="AD221" s="524"/>
      <c r="AE221" s="524"/>
      <c r="AF221" s="524"/>
      <c r="AG221" s="524"/>
      <c r="AH221" s="524"/>
    </row>
    <row r="222" spans="1:34" ht="13.5">
      <c r="A222" s="524"/>
      <c r="B222" s="524"/>
      <c r="C222" s="524"/>
      <c r="D222" s="524"/>
      <c r="E222" s="524"/>
      <c r="F222" s="524"/>
      <c r="G222" s="524"/>
      <c r="H222" s="524"/>
      <c r="I222" s="524"/>
      <c r="J222" s="524"/>
      <c r="K222" s="524"/>
      <c r="L222" s="524"/>
      <c r="M222" s="524"/>
      <c r="N222" s="524"/>
      <c r="O222" s="524"/>
      <c r="P222" s="524"/>
      <c r="Q222" s="524"/>
      <c r="R222" s="524"/>
      <c r="S222" s="524"/>
      <c r="T222" s="524"/>
      <c r="U222" s="524"/>
      <c r="V222" s="524"/>
      <c r="W222" s="524"/>
      <c r="X222" s="524"/>
      <c r="Y222" s="524"/>
      <c r="Z222" s="524"/>
      <c r="AA222" s="524"/>
      <c r="AB222" s="524"/>
      <c r="AC222" s="524"/>
      <c r="AD222" s="524"/>
      <c r="AE222" s="524"/>
      <c r="AF222" s="524"/>
      <c r="AG222" s="524"/>
      <c r="AH222" s="524"/>
    </row>
    <row r="223" spans="1:34" ht="13.5">
      <c r="A223" s="524"/>
      <c r="B223" s="524"/>
      <c r="C223" s="524"/>
      <c r="D223" s="524"/>
      <c r="E223" s="524"/>
      <c r="F223" s="524"/>
      <c r="G223" s="524"/>
      <c r="H223" s="524"/>
      <c r="I223" s="524"/>
      <c r="J223" s="524"/>
      <c r="K223" s="524"/>
      <c r="L223" s="524"/>
      <c r="M223" s="524"/>
      <c r="N223" s="524"/>
      <c r="O223" s="524"/>
      <c r="P223" s="524"/>
      <c r="Q223" s="524"/>
      <c r="R223" s="524"/>
      <c r="S223" s="524"/>
      <c r="T223" s="524"/>
      <c r="U223" s="524"/>
      <c r="V223" s="524"/>
      <c r="W223" s="524"/>
      <c r="X223" s="524"/>
      <c r="Y223" s="524"/>
      <c r="Z223" s="524"/>
      <c r="AA223" s="524"/>
      <c r="AB223" s="524"/>
      <c r="AC223" s="524"/>
      <c r="AD223" s="524"/>
      <c r="AE223" s="524"/>
      <c r="AF223" s="524"/>
      <c r="AG223" s="524"/>
      <c r="AH223" s="524"/>
    </row>
    <row r="224" spans="1:34" ht="13.5">
      <c r="A224" s="524"/>
      <c r="B224" s="524"/>
      <c r="C224" s="524"/>
      <c r="D224" s="524"/>
      <c r="E224" s="524"/>
      <c r="F224" s="524"/>
      <c r="G224" s="524"/>
      <c r="H224" s="524"/>
      <c r="I224" s="524"/>
      <c r="J224" s="524"/>
      <c r="K224" s="524"/>
      <c r="L224" s="524"/>
      <c r="M224" s="524"/>
      <c r="N224" s="524"/>
      <c r="O224" s="524"/>
      <c r="P224" s="524"/>
      <c r="Q224" s="524"/>
      <c r="R224" s="524"/>
      <c r="S224" s="524"/>
      <c r="T224" s="524"/>
      <c r="U224" s="524"/>
      <c r="V224" s="524"/>
      <c r="W224" s="524"/>
      <c r="X224" s="524"/>
      <c r="Y224" s="524"/>
      <c r="Z224" s="524"/>
      <c r="AA224" s="524"/>
      <c r="AB224" s="524"/>
      <c r="AC224" s="524"/>
      <c r="AD224" s="524"/>
      <c r="AE224" s="524"/>
      <c r="AF224" s="524"/>
      <c r="AG224" s="524"/>
      <c r="AH224" s="524"/>
    </row>
    <row r="225" spans="1:34" ht="13.5">
      <c r="A225" s="524"/>
      <c r="B225" s="524"/>
      <c r="C225" s="524"/>
      <c r="D225" s="524"/>
      <c r="E225" s="524"/>
      <c r="F225" s="524"/>
      <c r="G225" s="524"/>
      <c r="H225" s="524"/>
      <c r="I225" s="524"/>
      <c r="J225" s="524"/>
      <c r="K225" s="524"/>
      <c r="L225" s="524"/>
      <c r="M225" s="524"/>
      <c r="N225" s="524"/>
      <c r="O225" s="524"/>
      <c r="P225" s="524"/>
      <c r="Q225" s="524"/>
      <c r="R225" s="524"/>
      <c r="S225" s="524"/>
      <c r="T225" s="524"/>
      <c r="U225" s="524"/>
      <c r="V225" s="524"/>
      <c r="W225" s="524"/>
      <c r="X225" s="524"/>
      <c r="Y225" s="524"/>
      <c r="Z225" s="524"/>
      <c r="AA225" s="524"/>
      <c r="AB225" s="524"/>
      <c r="AC225" s="524"/>
      <c r="AD225" s="524"/>
      <c r="AE225" s="524"/>
      <c r="AF225" s="524"/>
      <c r="AG225" s="524"/>
      <c r="AH225" s="524"/>
    </row>
    <row r="226" spans="1:34" ht="13.5">
      <c r="A226" s="524"/>
      <c r="B226" s="524"/>
      <c r="C226" s="524"/>
      <c r="D226" s="524"/>
      <c r="E226" s="524"/>
      <c r="F226" s="524"/>
      <c r="G226" s="524"/>
      <c r="H226" s="524"/>
      <c r="I226" s="524"/>
      <c r="J226" s="524"/>
      <c r="K226" s="524"/>
      <c r="L226" s="524"/>
      <c r="M226" s="524"/>
      <c r="N226" s="524"/>
      <c r="O226" s="524"/>
      <c r="P226" s="524"/>
      <c r="Q226" s="524"/>
      <c r="R226" s="524"/>
      <c r="S226" s="524"/>
      <c r="T226" s="524"/>
      <c r="U226" s="524"/>
      <c r="V226" s="524"/>
      <c r="W226" s="524"/>
      <c r="X226" s="524"/>
      <c r="Y226" s="524"/>
      <c r="Z226" s="524"/>
      <c r="AA226" s="524"/>
      <c r="AB226" s="524"/>
      <c r="AC226" s="524"/>
      <c r="AD226" s="524"/>
      <c r="AE226" s="524"/>
      <c r="AF226" s="524"/>
      <c r="AG226" s="524"/>
      <c r="AH226" s="524"/>
    </row>
    <row r="227" spans="1:34" ht="13.5">
      <c r="A227" s="524"/>
      <c r="B227" s="524"/>
      <c r="C227" s="524"/>
      <c r="D227" s="524"/>
      <c r="E227" s="524"/>
      <c r="F227" s="524"/>
      <c r="G227" s="524"/>
      <c r="H227" s="524"/>
      <c r="I227" s="524"/>
      <c r="J227" s="524"/>
      <c r="K227" s="524"/>
      <c r="L227" s="524"/>
      <c r="M227" s="524"/>
      <c r="N227" s="524"/>
      <c r="O227" s="524"/>
      <c r="P227" s="524"/>
      <c r="Q227" s="524"/>
      <c r="R227" s="524"/>
      <c r="S227" s="524"/>
      <c r="T227" s="524"/>
      <c r="U227" s="524"/>
      <c r="V227" s="524"/>
      <c r="W227" s="524"/>
      <c r="X227" s="524"/>
      <c r="Y227" s="524"/>
      <c r="Z227" s="524"/>
      <c r="AA227" s="524"/>
      <c r="AB227" s="524"/>
      <c r="AC227" s="524"/>
      <c r="AD227" s="524"/>
      <c r="AE227" s="524"/>
      <c r="AF227" s="524"/>
      <c r="AG227" s="524"/>
      <c r="AH227" s="524"/>
    </row>
    <row r="228" spans="1:34" ht="13.5">
      <c r="A228" s="524"/>
      <c r="B228" s="524"/>
      <c r="C228" s="524"/>
      <c r="D228" s="524"/>
      <c r="E228" s="524"/>
      <c r="F228" s="524"/>
      <c r="G228" s="524"/>
      <c r="H228" s="524"/>
      <c r="I228" s="524"/>
      <c r="J228" s="524"/>
      <c r="K228" s="524"/>
      <c r="L228" s="524"/>
      <c r="M228" s="524"/>
      <c r="N228" s="524"/>
      <c r="O228" s="524"/>
      <c r="P228" s="524"/>
      <c r="Q228" s="524"/>
      <c r="R228" s="524"/>
      <c r="S228" s="524"/>
      <c r="T228" s="524"/>
      <c r="U228" s="524"/>
      <c r="V228" s="524"/>
      <c r="W228" s="524"/>
      <c r="X228" s="524"/>
      <c r="Y228" s="524"/>
      <c r="Z228" s="524"/>
      <c r="AA228" s="524"/>
      <c r="AB228" s="524"/>
      <c r="AC228" s="524"/>
      <c r="AD228" s="524"/>
      <c r="AE228" s="524"/>
      <c r="AF228" s="524"/>
      <c r="AG228" s="524"/>
      <c r="AH228" s="524"/>
    </row>
    <row r="229" spans="1:34" ht="13.5">
      <c r="A229" s="524"/>
      <c r="B229" s="524"/>
      <c r="C229" s="524"/>
      <c r="D229" s="524"/>
      <c r="E229" s="524"/>
      <c r="F229" s="524"/>
      <c r="G229" s="524"/>
      <c r="H229" s="524"/>
      <c r="I229" s="524"/>
      <c r="J229" s="524"/>
      <c r="K229" s="524"/>
      <c r="L229" s="524"/>
      <c r="M229" s="524"/>
      <c r="N229" s="524"/>
      <c r="O229" s="524"/>
      <c r="P229" s="524"/>
      <c r="Q229" s="524"/>
      <c r="R229" s="524"/>
      <c r="S229" s="524"/>
      <c r="T229" s="524"/>
      <c r="U229" s="524"/>
      <c r="V229" s="524"/>
      <c r="W229" s="524"/>
      <c r="X229" s="524"/>
      <c r="Y229" s="524"/>
      <c r="Z229" s="524"/>
      <c r="AA229" s="524"/>
      <c r="AB229" s="524"/>
      <c r="AC229" s="524"/>
      <c r="AD229" s="524"/>
      <c r="AE229" s="524"/>
      <c r="AF229" s="524"/>
      <c r="AG229" s="524"/>
      <c r="AH229" s="524"/>
    </row>
    <row r="230" spans="1:34" ht="13.5">
      <c r="A230" s="524"/>
      <c r="B230" s="524"/>
      <c r="C230" s="524"/>
      <c r="D230" s="524"/>
      <c r="E230" s="524"/>
      <c r="F230" s="524"/>
      <c r="G230" s="524"/>
      <c r="H230" s="524"/>
      <c r="I230" s="524"/>
      <c r="J230" s="524"/>
      <c r="K230" s="524"/>
      <c r="L230" s="524"/>
      <c r="M230" s="524"/>
      <c r="N230" s="524"/>
      <c r="O230" s="524"/>
      <c r="P230" s="524"/>
      <c r="Q230" s="524"/>
      <c r="R230" s="524"/>
      <c r="S230" s="524"/>
      <c r="T230" s="524"/>
      <c r="U230" s="524"/>
      <c r="V230" s="524"/>
      <c r="W230" s="524"/>
      <c r="X230" s="524"/>
      <c r="Y230" s="524"/>
      <c r="Z230" s="524"/>
      <c r="AA230" s="524"/>
      <c r="AB230" s="524"/>
      <c r="AC230" s="524"/>
      <c r="AD230" s="524"/>
      <c r="AE230" s="524"/>
      <c r="AF230" s="524"/>
      <c r="AG230" s="524"/>
      <c r="AH230" s="524"/>
    </row>
    <row r="231" spans="1:34" ht="13.5">
      <c r="A231" s="524"/>
      <c r="B231" s="524"/>
      <c r="C231" s="524"/>
      <c r="D231" s="524"/>
      <c r="E231" s="524"/>
      <c r="F231" s="524"/>
      <c r="G231" s="524"/>
      <c r="H231" s="524"/>
      <c r="I231" s="524"/>
      <c r="J231" s="524"/>
      <c r="K231" s="524"/>
      <c r="L231" s="524"/>
      <c r="M231" s="524"/>
      <c r="N231" s="524"/>
      <c r="O231" s="524"/>
      <c r="P231" s="524"/>
      <c r="Q231" s="524"/>
      <c r="R231" s="524"/>
      <c r="S231" s="524"/>
      <c r="T231" s="524"/>
      <c r="U231" s="524"/>
      <c r="V231" s="524"/>
      <c r="W231" s="524"/>
      <c r="X231" s="524"/>
      <c r="Y231" s="524"/>
      <c r="Z231" s="524"/>
      <c r="AA231" s="524"/>
      <c r="AB231" s="524"/>
      <c r="AC231" s="524"/>
      <c r="AD231" s="524"/>
      <c r="AE231" s="524"/>
      <c r="AF231" s="524"/>
      <c r="AG231" s="524"/>
      <c r="AH231" s="524"/>
    </row>
    <row r="232" spans="1:34" ht="13.5">
      <c r="A232" s="524"/>
      <c r="B232" s="524"/>
      <c r="C232" s="524"/>
      <c r="D232" s="524"/>
      <c r="E232" s="524"/>
      <c r="F232" s="524"/>
      <c r="G232" s="524"/>
      <c r="H232" s="524"/>
      <c r="I232" s="524"/>
      <c r="J232" s="524"/>
      <c r="K232" s="524"/>
      <c r="L232" s="524"/>
      <c r="M232" s="524"/>
      <c r="N232" s="524"/>
      <c r="O232" s="524"/>
      <c r="P232" s="524"/>
      <c r="Q232" s="524"/>
      <c r="R232" s="524"/>
      <c r="S232" s="524"/>
      <c r="T232" s="524"/>
      <c r="U232" s="524"/>
      <c r="V232" s="524"/>
      <c r="W232" s="524"/>
      <c r="X232" s="524"/>
      <c r="Y232" s="524"/>
      <c r="Z232" s="524"/>
      <c r="AA232" s="524"/>
      <c r="AB232" s="524"/>
      <c r="AC232" s="524"/>
      <c r="AD232" s="524"/>
      <c r="AE232" s="524"/>
      <c r="AF232" s="524"/>
      <c r="AG232" s="524"/>
      <c r="AH232" s="524"/>
    </row>
    <row r="233" spans="1:34" ht="13.5">
      <c r="A233" s="524"/>
      <c r="B233" s="524"/>
      <c r="C233" s="524"/>
      <c r="D233" s="524"/>
      <c r="E233" s="524"/>
      <c r="F233" s="524"/>
      <c r="G233" s="524"/>
      <c r="H233" s="524"/>
      <c r="I233" s="524"/>
      <c r="J233" s="524"/>
      <c r="K233" s="524"/>
      <c r="L233" s="524"/>
      <c r="M233" s="524"/>
      <c r="N233" s="524"/>
      <c r="O233" s="524"/>
      <c r="P233" s="524"/>
      <c r="Q233" s="524"/>
      <c r="R233" s="524"/>
      <c r="S233" s="524"/>
      <c r="T233" s="524"/>
      <c r="U233" s="524"/>
      <c r="V233" s="524"/>
      <c r="W233" s="524"/>
      <c r="X233" s="524"/>
      <c r="Y233" s="524"/>
      <c r="Z233" s="524"/>
      <c r="AA233" s="524"/>
      <c r="AB233" s="524"/>
      <c r="AC233" s="524"/>
      <c r="AD233" s="524"/>
      <c r="AE233" s="524"/>
      <c r="AF233" s="524"/>
      <c r="AG233" s="524"/>
      <c r="AH233" s="524"/>
    </row>
    <row r="234" spans="1:34" ht="13.5">
      <c r="A234" s="524"/>
      <c r="B234" s="524"/>
      <c r="C234" s="524"/>
      <c r="D234" s="524"/>
      <c r="E234" s="524"/>
      <c r="F234" s="524"/>
      <c r="G234" s="524"/>
      <c r="H234" s="524"/>
      <c r="I234" s="524"/>
      <c r="J234" s="524"/>
      <c r="K234" s="524"/>
      <c r="L234" s="524"/>
      <c r="M234" s="524"/>
      <c r="N234" s="524"/>
      <c r="O234" s="524"/>
      <c r="P234" s="524"/>
      <c r="Q234" s="524"/>
      <c r="R234" s="524"/>
      <c r="S234" s="524"/>
      <c r="T234" s="524"/>
      <c r="U234" s="524"/>
      <c r="V234" s="524"/>
      <c r="W234" s="524"/>
      <c r="X234" s="524"/>
      <c r="Y234" s="524"/>
      <c r="Z234" s="524"/>
      <c r="AA234" s="524"/>
      <c r="AB234" s="524"/>
      <c r="AC234" s="524"/>
      <c r="AD234" s="524"/>
      <c r="AE234" s="524"/>
      <c r="AF234" s="524"/>
      <c r="AG234" s="524"/>
      <c r="AH234" s="524"/>
    </row>
    <row r="235" spans="1:34" ht="13.5">
      <c r="A235" s="524"/>
      <c r="B235" s="524"/>
      <c r="C235" s="524"/>
      <c r="D235" s="524"/>
      <c r="E235" s="524"/>
      <c r="F235" s="524"/>
      <c r="G235" s="524"/>
      <c r="H235" s="524"/>
      <c r="I235" s="524"/>
      <c r="J235" s="524"/>
      <c r="K235" s="524"/>
      <c r="L235" s="524"/>
      <c r="M235" s="524"/>
      <c r="N235" s="524"/>
      <c r="O235" s="524"/>
      <c r="P235" s="524"/>
      <c r="Q235" s="524"/>
      <c r="R235" s="524"/>
      <c r="S235" s="524"/>
      <c r="T235" s="524"/>
      <c r="U235" s="524"/>
      <c r="V235" s="524"/>
      <c r="W235" s="524"/>
      <c r="X235" s="524"/>
      <c r="Y235" s="524"/>
      <c r="Z235" s="524"/>
      <c r="AA235" s="524"/>
      <c r="AB235" s="524"/>
      <c r="AC235" s="524"/>
      <c r="AD235" s="524"/>
      <c r="AE235" s="524"/>
      <c r="AF235" s="524"/>
      <c r="AG235" s="524"/>
      <c r="AH235" s="524"/>
    </row>
    <row r="236" spans="1:34" ht="13.5">
      <c r="A236" s="524"/>
      <c r="B236" s="524"/>
      <c r="C236" s="524"/>
      <c r="D236" s="524"/>
      <c r="E236" s="524"/>
      <c r="F236" s="524"/>
      <c r="G236" s="524"/>
      <c r="H236" s="524"/>
      <c r="I236" s="524"/>
      <c r="J236" s="524"/>
      <c r="K236" s="524"/>
      <c r="L236" s="524"/>
      <c r="M236" s="524"/>
      <c r="N236" s="524"/>
      <c r="O236" s="524"/>
      <c r="P236" s="524"/>
      <c r="Q236" s="524"/>
      <c r="R236" s="524"/>
      <c r="S236" s="524"/>
      <c r="T236" s="524"/>
      <c r="U236" s="524"/>
      <c r="V236" s="524"/>
      <c r="W236" s="524"/>
      <c r="X236" s="524"/>
      <c r="Y236" s="524"/>
      <c r="Z236" s="524"/>
      <c r="AA236" s="524"/>
      <c r="AB236" s="524"/>
      <c r="AC236" s="524"/>
      <c r="AD236" s="524"/>
      <c r="AE236" s="524"/>
      <c r="AF236" s="524"/>
      <c r="AG236" s="524"/>
      <c r="AH236" s="524"/>
    </row>
    <row r="237" spans="1:34" ht="13.5">
      <c r="A237" s="524"/>
      <c r="B237" s="524"/>
      <c r="C237" s="524"/>
      <c r="D237" s="524"/>
      <c r="E237" s="524"/>
      <c r="F237" s="524"/>
      <c r="G237" s="524"/>
      <c r="H237" s="524"/>
      <c r="I237" s="524"/>
      <c r="J237" s="524"/>
      <c r="K237" s="524"/>
      <c r="L237" s="524"/>
      <c r="M237" s="524"/>
      <c r="N237" s="524"/>
      <c r="O237" s="524"/>
      <c r="P237" s="524"/>
      <c r="Q237" s="524"/>
      <c r="R237" s="524"/>
      <c r="S237" s="524"/>
      <c r="T237" s="524"/>
      <c r="U237" s="524"/>
      <c r="V237" s="524"/>
      <c r="W237" s="524"/>
      <c r="X237" s="524"/>
      <c r="Y237" s="524"/>
      <c r="Z237" s="524"/>
      <c r="AA237" s="524"/>
      <c r="AB237" s="524"/>
      <c r="AC237" s="524"/>
      <c r="AD237" s="524"/>
      <c r="AE237" s="524"/>
      <c r="AF237" s="524"/>
      <c r="AG237" s="524"/>
      <c r="AH237" s="524"/>
    </row>
    <row r="238" spans="1:34" ht="13.5">
      <c r="A238" s="524"/>
      <c r="B238" s="524"/>
      <c r="C238" s="524"/>
      <c r="D238" s="524"/>
      <c r="E238" s="524"/>
      <c r="F238" s="524"/>
      <c r="G238" s="524"/>
      <c r="H238" s="524"/>
      <c r="I238" s="524"/>
      <c r="J238" s="524"/>
      <c r="K238" s="524"/>
      <c r="L238" s="524"/>
      <c r="M238" s="524"/>
      <c r="N238" s="524"/>
      <c r="O238" s="524"/>
      <c r="P238" s="524"/>
      <c r="Q238" s="524"/>
      <c r="R238" s="524"/>
      <c r="S238" s="524"/>
      <c r="T238" s="524"/>
      <c r="U238" s="524"/>
      <c r="V238" s="524"/>
      <c r="W238" s="524"/>
      <c r="X238" s="524"/>
      <c r="Y238" s="524"/>
      <c r="Z238" s="524"/>
      <c r="AA238" s="524"/>
      <c r="AB238" s="524"/>
      <c r="AC238" s="524"/>
      <c r="AD238" s="524"/>
      <c r="AE238" s="524"/>
      <c r="AF238" s="524"/>
      <c r="AG238" s="524"/>
      <c r="AH238" s="524"/>
    </row>
    <row r="239" spans="1:34" ht="13.5">
      <c r="A239" s="524"/>
      <c r="B239" s="524"/>
      <c r="C239" s="524"/>
      <c r="D239" s="524"/>
      <c r="E239" s="524"/>
      <c r="F239" s="524"/>
      <c r="G239" s="524"/>
      <c r="H239" s="524"/>
      <c r="I239" s="524"/>
      <c r="J239" s="524"/>
      <c r="K239" s="524"/>
      <c r="L239" s="524"/>
      <c r="M239" s="524"/>
      <c r="N239" s="524"/>
      <c r="O239" s="524"/>
      <c r="P239" s="524"/>
      <c r="Q239" s="524"/>
      <c r="R239" s="524"/>
      <c r="S239" s="524"/>
      <c r="T239" s="524"/>
      <c r="U239" s="524"/>
      <c r="V239" s="524"/>
      <c r="W239" s="524"/>
      <c r="X239" s="524"/>
      <c r="Y239" s="524"/>
      <c r="Z239" s="524"/>
      <c r="AA239" s="524"/>
      <c r="AB239" s="524"/>
      <c r="AC239" s="524"/>
      <c r="AD239" s="524"/>
      <c r="AE239" s="524"/>
      <c r="AF239" s="524"/>
      <c r="AG239" s="524"/>
      <c r="AH239" s="524"/>
    </row>
    <row r="240" spans="1:34" ht="13.5">
      <c r="A240" s="524"/>
      <c r="B240" s="524"/>
      <c r="C240" s="524"/>
      <c r="D240" s="524"/>
      <c r="E240" s="524"/>
      <c r="F240" s="524"/>
      <c r="G240" s="524"/>
      <c r="H240" s="524"/>
      <c r="I240" s="524"/>
      <c r="J240" s="524"/>
      <c r="K240" s="524"/>
      <c r="L240" s="524"/>
      <c r="M240" s="524"/>
      <c r="N240" s="524"/>
      <c r="O240" s="524"/>
      <c r="P240" s="524"/>
      <c r="Q240" s="524"/>
      <c r="R240" s="524"/>
      <c r="S240" s="524"/>
      <c r="T240" s="524"/>
      <c r="U240" s="524"/>
      <c r="V240" s="524"/>
      <c r="W240" s="524"/>
      <c r="X240" s="524"/>
      <c r="Y240" s="524"/>
      <c r="Z240" s="524"/>
      <c r="AA240" s="524"/>
      <c r="AB240" s="524"/>
      <c r="AC240" s="524"/>
      <c r="AD240" s="524"/>
      <c r="AE240" s="524"/>
      <c r="AF240" s="524"/>
      <c r="AG240" s="524"/>
      <c r="AH240" s="524"/>
    </row>
    <row r="241" spans="1:34" ht="13.5">
      <c r="A241" s="524"/>
      <c r="B241" s="524"/>
      <c r="C241" s="524"/>
      <c r="D241" s="524"/>
      <c r="E241" s="524"/>
      <c r="F241" s="524"/>
      <c r="G241" s="524"/>
      <c r="H241" s="524"/>
      <c r="I241" s="524"/>
      <c r="J241" s="524"/>
      <c r="K241" s="524"/>
      <c r="L241" s="524"/>
      <c r="M241" s="524"/>
      <c r="N241" s="524"/>
      <c r="O241" s="524"/>
      <c r="P241" s="524"/>
      <c r="Q241" s="524"/>
      <c r="R241" s="524"/>
      <c r="S241" s="524"/>
      <c r="T241" s="524"/>
      <c r="U241" s="524"/>
      <c r="V241" s="524"/>
      <c r="W241" s="524"/>
      <c r="X241" s="524"/>
      <c r="Y241" s="524"/>
      <c r="Z241" s="524"/>
      <c r="AA241" s="524"/>
      <c r="AB241" s="524"/>
      <c r="AC241" s="524"/>
      <c r="AD241" s="524"/>
      <c r="AE241" s="524"/>
      <c r="AF241" s="524"/>
      <c r="AG241" s="524"/>
      <c r="AH241" s="524"/>
    </row>
    <row r="242" spans="1:34" ht="13.5">
      <c r="A242" s="524"/>
      <c r="B242" s="524"/>
      <c r="C242" s="524"/>
      <c r="D242" s="524"/>
      <c r="E242" s="524"/>
      <c r="F242" s="524"/>
      <c r="G242" s="524"/>
      <c r="H242" s="524"/>
      <c r="I242" s="524"/>
      <c r="J242" s="524"/>
      <c r="K242" s="524"/>
      <c r="L242" s="524"/>
      <c r="M242" s="524"/>
      <c r="N242" s="524"/>
      <c r="O242" s="524"/>
      <c r="P242" s="524"/>
      <c r="Q242" s="524"/>
      <c r="R242" s="524"/>
      <c r="S242" s="524"/>
      <c r="T242" s="524"/>
      <c r="U242" s="524"/>
      <c r="V242" s="524"/>
      <c r="W242" s="524"/>
      <c r="X242" s="524"/>
      <c r="Y242" s="524"/>
      <c r="Z242" s="524"/>
      <c r="AA242" s="524"/>
      <c r="AB242" s="524"/>
      <c r="AC242" s="524"/>
      <c r="AD242" s="524"/>
      <c r="AE242" s="524"/>
      <c r="AF242" s="524"/>
      <c r="AG242" s="524"/>
      <c r="AH242" s="524"/>
    </row>
    <row r="243" spans="1:34" ht="13.5">
      <c r="A243" s="524"/>
      <c r="B243" s="524"/>
      <c r="C243" s="524"/>
      <c r="D243" s="524"/>
      <c r="E243" s="524"/>
      <c r="F243" s="524"/>
      <c r="G243" s="524"/>
      <c r="H243" s="524"/>
      <c r="I243" s="524"/>
      <c r="J243" s="524"/>
      <c r="K243" s="524"/>
      <c r="L243" s="524"/>
      <c r="M243" s="524"/>
      <c r="N243" s="524"/>
      <c r="O243" s="524"/>
      <c r="P243" s="524"/>
      <c r="Q243" s="524"/>
      <c r="R243" s="524"/>
      <c r="S243" s="524"/>
      <c r="T243" s="524"/>
      <c r="U243" s="524"/>
      <c r="V243" s="524"/>
      <c r="W243" s="524"/>
      <c r="X243" s="524"/>
      <c r="Y243" s="524"/>
      <c r="Z243" s="524"/>
      <c r="AA243" s="524"/>
      <c r="AB243" s="524"/>
      <c r="AC243" s="524"/>
      <c r="AD243" s="524"/>
      <c r="AE243" s="524"/>
      <c r="AF243" s="524"/>
      <c r="AG243" s="524"/>
      <c r="AH243" s="524"/>
    </row>
    <row r="244" spans="1:34" ht="13.5">
      <c r="A244" s="524"/>
      <c r="B244" s="524"/>
      <c r="C244" s="524"/>
      <c r="D244" s="524"/>
      <c r="E244" s="524"/>
      <c r="F244" s="524"/>
      <c r="G244" s="524"/>
      <c r="H244" s="524"/>
      <c r="I244" s="524"/>
      <c r="J244" s="524"/>
      <c r="K244" s="524"/>
      <c r="L244" s="524"/>
      <c r="M244" s="524"/>
      <c r="N244" s="524"/>
      <c r="O244" s="524"/>
      <c r="P244" s="524"/>
      <c r="Q244" s="524"/>
      <c r="R244" s="524"/>
      <c r="S244" s="524"/>
      <c r="T244" s="524"/>
      <c r="U244" s="524"/>
      <c r="V244" s="524"/>
      <c r="W244" s="524"/>
      <c r="X244" s="524"/>
      <c r="Y244" s="524"/>
      <c r="Z244" s="524"/>
      <c r="AA244" s="524"/>
      <c r="AB244" s="524"/>
      <c r="AC244" s="524"/>
      <c r="AD244" s="524"/>
      <c r="AE244" s="524"/>
      <c r="AF244" s="524"/>
      <c r="AG244" s="524"/>
      <c r="AH244" s="524"/>
    </row>
    <row r="245" spans="1:34" ht="13.5">
      <c r="A245" s="524"/>
      <c r="B245" s="524"/>
      <c r="C245" s="524"/>
      <c r="D245" s="524"/>
      <c r="E245" s="524"/>
      <c r="F245" s="524"/>
      <c r="G245" s="524"/>
      <c r="H245" s="524"/>
      <c r="I245" s="524"/>
      <c r="J245" s="524"/>
      <c r="K245" s="524"/>
      <c r="L245" s="524"/>
      <c r="M245" s="524"/>
      <c r="N245" s="524"/>
      <c r="O245" s="524"/>
      <c r="P245" s="524"/>
      <c r="Q245" s="524"/>
      <c r="R245" s="524"/>
      <c r="S245" s="524"/>
      <c r="T245" s="524"/>
      <c r="U245" s="524"/>
      <c r="V245" s="524"/>
      <c r="W245" s="524"/>
      <c r="X245" s="524"/>
      <c r="Y245" s="524"/>
      <c r="Z245" s="524"/>
      <c r="AA245" s="524"/>
      <c r="AB245" s="524"/>
      <c r="AC245" s="524"/>
      <c r="AD245" s="524"/>
      <c r="AE245" s="524"/>
      <c r="AF245" s="524"/>
      <c r="AG245" s="524"/>
      <c r="AH245" s="524"/>
    </row>
    <row r="246" spans="1:34" ht="13.5">
      <c r="A246" s="524"/>
      <c r="B246" s="524"/>
      <c r="C246" s="524"/>
      <c r="D246" s="524"/>
      <c r="E246" s="524"/>
      <c r="F246" s="524"/>
      <c r="G246" s="524"/>
      <c r="H246" s="524"/>
      <c r="I246" s="524"/>
      <c r="J246" s="524"/>
      <c r="K246" s="524"/>
      <c r="L246" s="524"/>
      <c r="M246" s="524"/>
      <c r="N246" s="524"/>
      <c r="O246" s="524"/>
      <c r="P246" s="524"/>
      <c r="Q246" s="524"/>
      <c r="R246" s="524"/>
      <c r="S246" s="524"/>
      <c r="T246" s="524"/>
      <c r="U246" s="524"/>
      <c r="V246" s="524"/>
      <c r="W246" s="524"/>
      <c r="X246" s="524"/>
      <c r="Y246" s="524"/>
      <c r="Z246" s="524"/>
      <c r="AA246" s="524"/>
      <c r="AB246" s="524"/>
      <c r="AC246" s="524"/>
      <c r="AD246" s="524"/>
      <c r="AE246" s="524"/>
      <c r="AF246" s="524"/>
      <c r="AG246" s="524"/>
      <c r="AH246" s="524"/>
    </row>
    <row r="247" spans="1:34" ht="13.5">
      <c r="A247" s="524"/>
      <c r="B247" s="524"/>
      <c r="C247" s="524"/>
      <c r="D247" s="524"/>
      <c r="E247" s="524"/>
      <c r="F247" s="524"/>
      <c r="G247" s="524"/>
      <c r="H247" s="524"/>
      <c r="I247" s="524"/>
      <c r="J247" s="524"/>
      <c r="K247" s="524"/>
      <c r="L247" s="524"/>
      <c r="M247" s="524"/>
      <c r="N247" s="524"/>
      <c r="O247" s="524"/>
      <c r="P247" s="524"/>
      <c r="Q247" s="524"/>
      <c r="R247" s="524"/>
      <c r="S247" s="524"/>
      <c r="T247" s="524"/>
      <c r="U247" s="524"/>
      <c r="V247" s="524"/>
      <c r="W247" s="524"/>
      <c r="X247" s="524"/>
      <c r="Y247" s="524"/>
      <c r="Z247" s="524"/>
      <c r="AA247" s="524"/>
      <c r="AB247" s="524"/>
      <c r="AC247" s="524"/>
      <c r="AD247" s="524"/>
      <c r="AE247" s="524"/>
      <c r="AF247" s="524"/>
      <c r="AG247" s="524"/>
      <c r="AH247" s="524"/>
    </row>
    <row r="248" spans="1:34" ht="13.5">
      <c r="A248" s="524"/>
      <c r="B248" s="524"/>
      <c r="C248" s="524"/>
      <c r="D248" s="524"/>
      <c r="E248" s="524"/>
      <c r="F248" s="524"/>
      <c r="G248" s="524"/>
      <c r="H248" s="524"/>
      <c r="I248" s="524"/>
      <c r="J248" s="524"/>
      <c r="K248" s="524"/>
      <c r="L248" s="524"/>
      <c r="M248" s="524"/>
      <c r="N248" s="524"/>
      <c r="O248" s="524"/>
      <c r="P248" s="524"/>
      <c r="Q248" s="524"/>
      <c r="R248" s="524"/>
      <c r="S248" s="524"/>
      <c r="T248" s="524"/>
      <c r="U248" s="524"/>
      <c r="V248" s="524"/>
      <c r="W248" s="524"/>
      <c r="X248" s="524"/>
      <c r="Y248" s="524"/>
      <c r="Z248" s="524"/>
      <c r="AA248" s="524"/>
      <c r="AB248" s="524"/>
      <c r="AC248" s="524"/>
      <c r="AD248" s="524"/>
      <c r="AE248" s="524"/>
      <c r="AF248" s="524"/>
      <c r="AG248" s="524"/>
      <c r="AH248" s="524"/>
    </row>
    <row r="249" spans="1:34" ht="13.5">
      <c r="A249" s="524"/>
      <c r="B249" s="524"/>
      <c r="C249" s="524"/>
      <c r="D249" s="524"/>
      <c r="E249" s="524"/>
      <c r="F249" s="524"/>
      <c r="G249" s="524"/>
      <c r="H249" s="524"/>
      <c r="I249" s="524"/>
      <c r="J249" s="524"/>
      <c r="K249" s="524"/>
      <c r="L249" s="524"/>
      <c r="M249" s="524"/>
      <c r="N249" s="524"/>
      <c r="O249" s="524"/>
      <c r="P249" s="524"/>
      <c r="Q249" s="524"/>
      <c r="R249" s="524"/>
      <c r="S249" s="524"/>
      <c r="T249" s="524"/>
      <c r="U249" s="524"/>
      <c r="V249" s="524"/>
      <c r="W249" s="524"/>
      <c r="X249" s="524"/>
      <c r="Y249" s="524"/>
      <c r="Z249" s="524"/>
      <c r="AA249" s="524"/>
      <c r="AB249" s="524"/>
      <c r="AC249" s="524"/>
      <c r="AD249" s="524"/>
      <c r="AE249" s="524"/>
      <c r="AF249" s="524"/>
      <c r="AG249" s="524"/>
      <c r="AH249" s="524"/>
    </row>
    <row r="250" spans="1:34" ht="13.5">
      <c r="A250" s="524"/>
      <c r="B250" s="524"/>
      <c r="C250" s="524"/>
      <c r="D250" s="524"/>
      <c r="E250" s="524"/>
      <c r="F250" s="524"/>
      <c r="G250" s="524"/>
      <c r="H250" s="524"/>
      <c r="I250" s="524"/>
      <c r="J250" s="524"/>
      <c r="K250" s="524"/>
      <c r="L250" s="524"/>
      <c r="M250" s="524"/>
      <c r="N250" s="524"/>
      <c r="O250" s="524"/>
      <c r="P250" s="524"/>
      <c r="Q250" s="524"/>
      <c r="R250" s="524"/>
      <c r="S250" s="524"/>
      <c r="T250" s="524"/>
      <c r="U250" s="524"/>
      <c r="V250" s="524"/>
      <c r="W250" s="524"/>
      <c r="X250" s="524"/>
      <c r="Y250" s="524"/>
      <c r="Z250" s="524"/>
      <c r="AA250" s="524"/>
      <c r="AB250" s="524"/>
      <c r="AC250" s="524"/>
      <c r="AD250" s="524"/>
      <c r="AE250" s="524"/>
      <c r="AF250" s="524"/>
      <c r="AG250" s="524"/>
      <c r="AH250" s="524"/>
    </row>
    <row r="251" spans="1:34" ht="13.5">
      <c r="A251" s="524"/>
      <c r="B251" s="524"/>
      <c r="C251" s="524"/>
      <c r="D251" s="524"/>
      <c r="E251" s="524"/>
      <c r="F251" s="524"/>
      <c r="G251" s="524"/>
      <c r="H251" s="524"/>
      <c r="I251" s="524"/>
      <c r="J251" s="524"/>
      <c r="K251" s="524"/>
      <c r="L251" s="524"/>
      <c r="M251" s="524"/>
      <c r="N251" s="524"/>
      <c r="O251" s="524"/>
      <c r="P251" s="524"/>
      <c r="Q251" s="524"/>
      <c r="R251" s="524"/>
      <c r="S251" s="524"/>
      <c r="T251" s="524"/>
      <c r="U251" s="524"/>
      <c r="V251" s="524"/>
      <c r="W251" s="524"/>
      <c r="X251" s="524"/>
      <c r="Y251" s="524"/>
      <c r="Z251" s="524"/>
      <c r="AA251" s="524"/>
      <c r="AB251" s="524"/>
      <c r="AC251" s="524"/>
      <c r="AD251" s="524"/>
      <c r="AE251" s="524"/>
      <c r="AF251" s="524"/>
      <c r="AG251" s="524"/>
      <c r="AH251" s="524"/>
    </row>
    <row r="252" spans="1:34" ht="13.5">
      <c r="A252" s="524"/>
      <c r="B252" s="524"/>
      <c r="C252" s="524"/>
      <c r="D252" s="524"/>
      <c r="E252" s="524"/>
      <c r="F252" s="524"/>
      <c r="G252" s="524"/>
      <c r="H252" s="524"/>
      <c r="I252" s="524"/>
      <c r="J252" s="524"/>
      <c r="K252" s="524"/>
      <c r="L252" s="524"/>
      <c r="M252" s="524"/>
      <c r="N252" s="524"/>
      <c r="O252" s="524"/>
      <c r="P252" s="524"/>
      <c r="Q252" s="524"/>
      <c r="R252" s="524"/>
      <c r="S252" s="524"/>
      <c r="T252" s="524"/>
      <c r="U252" s="524"/>
      <c r="V252" s="524"/>
      <c r="W252" s="524"/>
      <c r="X252" s="524"/>
      <c r="Y252" s="524"/>
      <c r="Z252" s="524"/>
      <c r="AA252" s="524"/>
      <c r="AB252" s="524"/>
      <c r="AC252" s="524"/>
      <c r="AD252" s="524"/>
      <c r="AE252" s="524"/>
      <c r="AF252" s="524"/>
      <c r="AG252" s="524"/>
      <c r="AH252" s="524"/>
    </row>
    <row r="253" spans="1:34" ht="13.5">
      <c r="A253" s="524"/>
      <c r="B253" s="524"/>
      <c r="C253" s="524"/>
      <c r="D253" s="524"/>
      <c r="E253" s="524"/>
      <c r="F253" s="524"/>
      <c r="G253" s="524"/>
      <c r="H253" s="524"/>
      <c r="I253" s="524"/>
      <c r="J253" s="524"/>
      <c r="K253" s="524"/>
      <c r="L253" s="524"/>
      <c r="M253" s="524"/>
      <c r="N253" s="524"/>
      <c r="O253" s="524"/>
      <c r="P253" s="524"/>
      <c r="Q253" s="524"/>
      <c r="R253" s="524"/>
      <c r="S253" s="524"/>
      <c r="T253" s="524"/>
      <c r="U253" s="524"/>
      <c r="V253" s="524"/>
      <c r="W253" s="524"/>
      <c r="X253" s="524"/>
      <c r="Y253" s="524"/>
      <c r="Z253" s="524"/>
      <c r="AA253" s="524"/>
      <c r="AB253" s="524"/>
      <c r="AC253" s="524"/>
      <c r="AD253" s="524"/>
      <c r="AE253" s="524"/>
      <c r="AF253" s="524"/>
      <c r="AG253" s="524"/>
      <c r="AH253" s="524"/>
    </row>
    <row r="254" spans="1:34" ht="13.5">
      <c r="A254" s="524"/>
      <c r="B254" s="524"/>
      <c r="C254" s="524"/>
      <c r="D254" s="524"/>
      <c r="E254" s="524"/>
      <c r="F254" s="524"/>
      <c r="G254" s="524"/>
      <c r="H254" s="524"/>
      <c r="I254" s="524"/>
      <c r="J254" s="524"/>
      <c r="K254" s="524"/>
      <c r="L254" s="524"/>
      <c r="M254" s="524"/>
      <c r="N254" s="524"/>
      <c r="O254" s="524"/>
      <c r="P254" s="524"/>
      <c r="Q254" s="524"/>
      <c r="R254" s="524"/>
      <c r="S254" s="524"/>
      <c r="T254" s="524"/>
      <c r="U254" s="524"/>
      <c r="V254" s="524"/>
      <c r="W254" s="524"/>
      <c r="X254" s="524"/>
      <c r="Y254" s="524"/>
      <c r="Z254" s="524"/>
      <c r="AA254" s="524"/>
      <c r="AB254" s="524"/>
      <c r="AC254" s="524"/>
      <c r="AD254" s="524"/>
      <c r="AE254" s="524"/>
      <c r="AF254" s="524"/>
      <c r="AG254" s="524"/>
      <c r="AH254" s="524"/>
    </row>
    <row r="255" spans="1:34" ht="13.5">
      <c r="A255" s="524"/>
      <c r="B255" s="524"/>
      <c r="C255" s="524"/>
      <c r="D255" s="524"/>
      <c r="E255" s="524"/>
      <c r="F255" s="524"/>
      <c r="G255" s="524"/>
      <c r="H255" s="524"/>
      <c r="I255" s="524"/>
      <c r="J255" s="524"/>
      <c r="K255" s="524"/>
      <c r="L255" s="524"/>
      <c r="M255" s="524"/>
      <c r="N255" s="524"/>
      <c r="O255" s="524"/>
      <c r="P255" s="524"/>
      <c r="Q255" s="524"/>
      <c r="R255" s="524"/>
      <c r="S255" s="524"/>
      <c r="T255" s="524"/>
      <c r="U255" s="524"/>
      <c r="V255" s="524"/>
      <c r="W255" s="524"/>
      <c r="X255" s="524"/>
      <c r="Y255" s="524"/>
      <c r="Z255" s="524"/>
      <c r="AA255" s="524"/>
      <c r="AB255" s="524"/>
      <c r="AC255" s="524"/>
      <c r="AD255" s="524"/>
      <c r="AE255" s="524"/>
      <c r="AF255" s="524"/>
      <c r="AG255" s="524"/>
      <c r="AH255" s="524"/>
    </row>
    <row r="256" spans="1:34" ht="13.5">
      <c r="A256" s="524"/>
      <c r="B256" s="524"/>
      <c r="C256" s="524"/>
      <c r="D256" s="524"/>
      <c r="E256" s="524"/>
      <c r="F256" s="524"/>
      <c r="G256" s="524"/>
      <c r="H256" s="524"/>
      <c r="I256" s="524"/>
      <c r="J256" s="524"/>
      <c r="K256" s="524"/>
      <c r="L256" s="524"/>
      <c r="M256" s="524"/>
      <c r="N256" s="524"/>
      <c r="O256" s="524"/>
      <c r="P256" s="524"/>
      <c r="Q256" s="524"/>
      <c r="R256" s="524"/>
      <c r="S256" s="524"/>
      <c r="T256" s="524"/>
      <c r="U256" s="524"/>
      <c r="V256" s="524"/>
      <c r="W256" s="524"/>
      <c r="X256" s="524"/>
      <c r="Y256" s="524"/>
      <c r="Z256" s="524"/>
      <c r="AA256" s="524"/>
      <c r="AB256" s="524"/>
      <c r="AC256" s="524"/>
      <c r="AD256" s="524"/>
      <c r="AE256" s="524"/>
      <c r="AF256" s="524"/>
      <c r="AG256" s="524"/>
      <c r="AH256" s="524"/>
    </row>
    <row r="257" spans="1:34" ht="13.5">
      <c r="A257" s="524"/>
      <c r="B257" s="524"/>
      <c r="C257" s="524"/>
      <c r="D257" s="524"/>
      <c r="E257" s="524"/>
      <c r="F257" s="524"/>
      <c r="G257" s="524"/>
      <c r="H257" s="524"/>
      <c r="I257" s="524"/>
      <c r="J257" s="524"/>
      <c r="K257" s="524"/>
      <c r="L257" s="524"/>
      <c r="M257" s="524"/>
      <c r="N257" s="524"/>
      <c r="O257" s="524"/>
      <c r="P257" s="524"/>
      <c r="Q257" s="524"/>
      <c r="R257" s="524"/>
      <c r="S257" s="524"/>
      <c r="T257" s="524"/>
      <c r="U257" s="524"/>
      <c r="V257" s="524"/>
      <c r="W257" s="524"/>
      <c r="X257" s="524"/>
      <c r="Y257" s="524"/>
      <c r="Z257" s="524"/>
      <c r="AA257" s="524"/>
      <c r="AB257" s="524"/>
      <c r="AC257" s="524"/>
      <c r="AD257" s="524"/>
      <c r="AE257" s="524"/>
      <c r="AF257" s="524"/>
      <c r="AG257" s="524"/>
      <c r="AH257" s="524"/>
    </row>
    <row r="258" spans="1:34" ht="13.5">
      <c r="A258" s="524"/>
      <c r="B258" s="524"/>
      <c r="C258" s="524"/>
      <c r="D258" s="524"/>
      <c r="E258" s="524"/>
      <c r="F258" s="524"/>
      <c r="G258" s="524"/>
      <c r="H258" s="524"/>
      <c r="I258" s="524"/>
      <c r="J258" s="524"/>
      <c r="K258" s="524"/>
      <c r="L258" s="524"/>
      <c r="M258" s="524"/>
      <c r="N258" s="524"/>
      <c r="O258" s="524"/>
      <c r="P258" s="524"/>
      <c r="Q258" s="524"/>
      <c r="R258" s="524"/>
      <c r="S258" s="524"/>
      <c r="T258" s="524"/>
      <c r="U258" s="524"/>
      <c r="V258" s="524"/>
      <c r="W258" s="524"/>
      <c r="X258" s="524"/>
      <c r="Y258" s="524"/>
      <c r="Z258" s="524"/>
      <c r="AA258" s="524"/>
      <c r="AB258" s="524"/>
      <c r="AC258" s="524"/>
      <c r="AD258" s="524"/>
      <c r="AE258" s="524"/>
      <c r="AF258" s="524"/>
      <c r="AG258" s="524"/>
      <c r="AH258" s="524"/>
    </row>
    <row r="259" spans="1:34" ht="13.5">
      <c r="A259" s="524"/>
      <c r="B259" s="524"/>
      <c r="C259" s="524"/>
      <c r="D259" s="524"/>
      <c r="E259" s="524"/>
      <c r="F259" s="524"/>
      <c r="G259" s="524"/>
      <c r="H259" s="524"/>
      <c r="I259" s="524"/>
      <c r="J259" s="524"/>
      <c r="K259" s="524"/>
      <c r="L259" s="524"/>
      <c r="M259" s="524"/>
      <c r="N259" s="524"/>
      <c r="O259" s="524"/>
      <c r="P259" s="524"/>
      <c r="Q259" s="524"/>
      <c r="R259" s="524"/>
      <c r="S259" s="524"/>
      <c r="T259" s="524"/>
      <c r="U259" s="524"/>
      <c r="V259" s="524"/>
      <c r="W259" s="524"/>
      <c r="X259" s="524"/>
      <c r="Y259" s="524"/>
      <c r="Z259" s="524"/>
      <c r="AA259" s="524"/>
      <c r="AB259" s="524"/>
      <c r="AC259" s="524"/>
      <c r="AD259" s="524"/>
      <c r="AE259" s="524"/>
      <c r="AF259" s="524"/>
      <c r="AG259" s="524"/>
      <c r="AH259" s="524"/>
    </row>
    <row r="260" spans="1:34" ht="13.5">
      <c r="A260" s="524"/>
      <c r="B260" s="524"/>
      <c r="C260" s="524"/>
      <c r="D260" s="524"/>
      <c r="E260" s="524"/>
      <c r="F260" s="524"/>
      <c r="G260" s="524"/>
      <c r="H260" s="524"/>
      <c r="I260" s="524"/>
      <c r="J260" s="524"/>
      <c r="K260" s="524"/>
      <c r="L260" s="524"/>
      <c r="M260" s="524"/>
      <c r="N260" s="524"/>
      <c r="O260" s="524"/>
      <c r="P260" s="524"/>
      <c r="Q260" s="524"/>
      <c r="R260" s="524"/>
      <c r="S260" s="524"/>
      <c r="T260" s="524"/>
      <c r="U260" s="524"/>
      <c r="V260" s="524"/>
      <c r="W260" s="524"/>
      <c r="X260" s="524"/>
      <c r="Y260" s="524"/>
      <c r="Z260" s="524"/>
      <c r="AA260" s="524"/>
      <c r="AB260" s="524"/>
      <c r="AC260" s="524"/>
      <c r="AD260" s="524"/>
      <c r="AE260" s="524"/>
      <c r="AF260" s="524"/>
      <c r="AG260" s="524"/>
      <c r="AH260" s="524"/>
    </row>
    <row r="261" spans="1:34" ht="13.5">
      <c r="A261" s="524"/>
      <c r="B261" s="524"/>
      <c r="C261" s="524"/>
      <c r="D261" s="524"/>
      <c r="E261" s="524"/>
      <c r="F261" s="524"/>
      <c r="G261" s="524"/>
      <c r="H261" s="524"/>
      <c r="I261" s="524"/>
      <c r="J261" s="524"/>
      <c r="K261" s="524"/>
      <c r="L261" s="524"/>
      <c r="M261" s="524"/>
      <c r="N261" s="524"/>
      <c r="O261" s="524"/>
      <c r="P261" s="524"/>
      <c r="Q261" s="524"/>
      <c r="R261" s="524"/>
      <c r="S261" s="524"/>
      <c r="T261" s="524"/>
      <c r="U261" s="524"/>
      <c r="V261" s="524"/>
      <c r="W261" s="524"/>
      <c r="X261" s="524"/>
      <c r="Y261" s="524"/>
      <c r="Z261" s="524"/>
      <c r="AA261" s="524"/>
      <c r="AB261" s="524"/>
      <c r="AC261" s="524"/>
      <c r="AD261" s="524"/>
      <c r="AE261" s="524"/>
      <c r="AF261" s="524"/>
      <c r="AG261" s="524"/>
      <c r="AH261" s="524"/>
    </row>
    <row r="262" spans="1:34" ht="13.5">
      <c r="A262" s="524"/>
      <c r="B262" s="524"/>
      <c r="C262" s="524"/>
      <c r="D262" s="524"/>
      <c r="E262" s="524"/>
      <c r="F262" s="524"/>
      <c r="G262" s="524"/>
      <c r="H262" s="524"/>
      <c r="I262" s="524"/>
      <c r="J262" s="524"/>
      <c r="K262" s="524"/>
      <c r="L262" s="524"/>
      <c r="M262" s="524"/>
      <c r="N262" s="524"/>
      <c r="O262" s="524"/>
      <c r="P262" s="524"/>
      <c r="Q262" s="524"/>
      <c r="R262" s="524"/>
      <c r="S262" s="524"/>
      <c r="T262" s="524"/>
      <c r="U262" s="524"/>
      <c r="V262" s="524"/>
      <c r="W262" s="524"/>
      <c r="X262" s="524"/>
      <c r="Y262" s="524"/>
      <c r="Z262" s="524"/>
      <c r="AA262" s="524"/>
      <c r="AB262" s="524"/>
      <c r="AC262" s="524"/>
      <c r="AD262" s="524"/>
      <c r="AE262" s="524"/>
      <c r="AF262" s="524"/>
      <c r="AG262" s="524"/>
      <c r="AH262" s="524"/>
    </row>
    <row r="263" spans="1:34" ht="13.5">
      <c r="A263" s="524"/>
      <c r="B263" s="524"/>
      <c r="C263" s="524"/>
      <c r="D263" s="524"/>
      <c r="E263" s="524"/>
      <c r="F263" s="524"/>
      <c r="G263" s="524"/>
      <c r="H263" s="524"/>
      <c r="I263" s="524"/>
      <c r="J263" s="524"/>
      <c r="K263" s="524"/>
      <c r="L263" s="524"/>
      <c r="M263" s="524"/>
      <c r="N263" s="524"/>
      <c r="O263" s="524"/>
      <c r="P263" s="524"/>
      <c r="Q263" s="524"/>
      <c r="R263" s="524"/>
      <c r="S263" s="524"/>
      <c r="T263" s="524"/>
      <c r="U263" s="524"/>
      <c r="V263" s="524"/>
      <c r="W263" s="524"/>
      <c r="X263" s="524"/>
      <c r="Y263" s="524"/>
      <c r="Z263" s="524"/>
      <c r="AA263" s="524"/>
      <c r="AB263" s="524"/>
      <c r="AC263" s="524"/>
      <c r="AD263" s="524"/>
      <c r="AE263" s="524"/>
      <c r="AF263" s="524"/>
      <c r="AG263" s="524"/>
      <c r="AH263" s="524"/>
    </row>
    <row r="264" spans="1:34" ht="13.5">
      <c r="A264" s="524"/>
      <c r="B264" s="524"/>
      <c r="C264" s="524"/>
      <c r="D264" s="524"/>
      <c r="E264" s="524"/>
      <c r="F264" s="524"/>
      <c r="G264" s="524"/>
      <c r="H264" s="524"/>
      <c r="I264" s="524"/>
      <c r="J264" s="524"/>
      <c r="K264" s="524"/>
      <c r="L264" s="524"/>
      <c r="M264" s="524"/>
      <c r="N264" s="524"/>
      <c r="O264" s="524"/>
      <c r="P264" s="524"/>
      <c r="Q264" s="524"/>
      <c r="R264" s="524"/>
      <c r="S264" s="524"/>
      <c r="T264" s="524"/>
      <c r="U264" s="524"/>
      <c r="V264" s="524"/>
      <c r="W264" s="524"/>
      <c r="X264" s="524"/>
      <c r="Y264" s="524"/>
      <c r="Z264" s="524"/>
      <c r="AA264" s="524"/>
      <c r="AB264" s="524"/>
      <c r="AC264" s="524"/>
      <c r="AD264" s="524"/>
      <c r="AE264" s="524"/>
      <c r="AF264" s="524"/>
      <c r="AG264" s="524"/>
      <c r="AH264" s="524"/>
    </row>
    <row r="265" spans="1:34" ht="13.5">
      <c r="A265" s="524"/>
      <c r="B265" s="524"/>
      <c r="C265" s="524"/>
      <c r="D265" s="524"/>
      <c r="E265" s="524"/>
      <c r="F265" s="524"/>
      <c r="G265" s="524"/>
      <c r="H265" s="524"/>
      <c r="I265" s="524"/>
      <c r="J265" s="524"/>
      <c r="K265" s="524"/>
      <c r="L265" s="524"/>
      <c r="M265" s="524"/>
      <c r="N265" s="524"/>
      <c r="O265" s="524"/>
      <c r="P265" s="524"/>
      <c r="Q265" s="524"/>
      <c r="R265" s="524"/>
      <c r="S265" s="524"/>
      <c r="T265" s="524"/>
      <c r="U265" s="524"/>
      <c r="V265" s="524"/>
      <c r="W265" s="524"/>
      <c r="X265" s="524"/>
      <c r="Y265" s="524"/>
      <c r="Z265" s="524"/>
      <c r="AA265" s="524"/>
      <c r="AB265" s="524"/>
      <c r="AC265" s="524"/>
      <c r="AD265" s="524"/>
      <c r="AE265" s="524"/>
      <c r="AF265" s="524"/>
      <c r="AG265" s="524"/>
      <c r="AH265" s="524"/>
    </row>
    <row r="266" spans="1:34" ht="13.5">
      <c r="A266" s="524"/>
      <c r="B266" s="524"/>
      <c r="C266" s="524"/>
      <c r="D266" s="524"/>
      <c r="E266" s="524"/>
      <c r="F266" s="524"/>
      <c r="G266" s="524"/>
      <c r="H266" s="524"/>
      <c r="I266" s="524"/>
      <c r="J266" s="524"/>
      <c r="K266" s="524"/>
      <c r="L266" s="524"/>
      <c r="M266" s="524"/>
      <c r="N266" s="524"/>
      <c r="O266" s="524"/>
      <c r="P266" s="524"/>
      <c r="Q266" s="524"/>
      <c r="R266" s="524"/>
      <c r="S266" s="524"/>
      <c r="T266" s="524"/>
      <c r="U266" s="524"/>
      <c r="V266" s="524"/>
      <c r="W266" s="524"/>
      <c r="X266" s="524"/>
      <c r="Y266" s="524"/>
      <c r="Z266" s="524"/>
      <c r="AA266" s="524"/>
      <c r="AB266" s="524"/>
      <c r="AC266" s="524"/>
      <c r="AD266" s="524"/>
      <c r="AE266" s="524"/>
      <c r="AF266" s="524"/>
      <c r="AG266" s="524"/>
      <c r="AH266" s="524"/>
    </row>
    <row r="267" spans="1:34" ht="13.5">
      <c r="A267" s="524"/>
      <c r="B267" s="524"/>
      <c r="C267" s="524"/>
      <c r="D267" s="524"/>
      <c r="E267" s="524"/>
      <c r="F267" s="524"/>
      <c r="G267" s="524"/>
      <c r="H267" s="524"/>
      <c r="I267" s="524"/>
      <c r="J267" s="524"/>
      <c r="K267" s="524"/>
      <c r="L267" s="524"/>
      <c r="M267" s="524"/>
      <c r="N267" s="524"/>
      <c r="O267" s="524"/>
      <c r="P267" s="524"/>
      <c r="Q267" s="524"/>
      <c r="R267" s="524"/>
      <c r="S267" s="524"/>
      <c r="T267" s="524"/>
      <c r="U267" s="524"/>
      <c r="V267" s="524"/>
      <c r="W267" s="524"/>
      <c r="X267" s="524"/>
      <c r="Y267" s="524"/>
      <c r="Z267" s="524"/>
      <c r="AA267" s="524"/>
      <c r="AB267" s="524"/>
      <c r="AC267" s="524"/>
      <c r="AD267" s="524"/>
      <c r="AE267" s="524"/>
      <c r="AF267" s="524"/>
      <c r="AG267" s="524"/>
      <c r="AH267" s="524"/>
    </row>
    <row r="268" spans="1:34" ht="13.5">
      <c r="A268" s="524"/>
      <c r="B268" s="524"/>
      <c r="C268" s="524"/>
      <c r="D268" s="524"/>
      <c r="E268" s="524"/>
      <c r="F268" s="524"/>
      <c r="G268" s="524"/>
      <c r="H268" s="524"/>
      <c r="I268" s="524"/>
      <c r="J268" s="524"/>
      <c r="K268" s="524"/>
      <c r="L268" s="524"/>
      <c r="M268" s="524"/>
      <c r="N268" s="524"/>
      <c r="O268" s="524"/>
      <c r="P268" s="524"/>
      <c r="Q268" s="524"/>
      <c r="R268" s="524"/>
      <c r="S268" s="524"/>
      <c r="T268" s="524"/>
      <c r="U268" s="524"/>
      <c r="V268" s="524"/>
      <c r="W268" s="524"/>
      <c r="X268" s="524"/>
      <c r="Y268" s="524"/>
      <c r="Z268" s="524"/>
      <c r="AA268" s="524"/>
      <c r="AB268" s="524"/>
      <c r="AC268" s="524"/>
      <c r="AD268" s="524"/>
      <c r="AE268" s="524"/>
      <c r="AF268" s="524"/>
      <c r="AG268" s="524"/>
      <c r="AH268" s="524"/>
    </row>
    <row r="269" spans="1:34" ht="13.5">
      <c r="A269" s="524"/>
      <c r="B269" s="524"/>
      <c r="C269" s="524"/>
      <c r="D269" s="524"/>
      <c r="E269" s="524"/>
      <c r="F269" s="524"/>
      <c r="G269" s="524"/>
      <c r="H269" s="524"/>
      <c r="I269" s="524"/>
      <c r="J269" s="524"/>
      <c r="K269" s="524"/>
      <c r="L269" s="524"/>
      <c r="M269" s="524"/>
      <c r="N269" s="524"/>
      <c r="O269" s="524"/>
      <c r="P269" s="524"/>
      <c r="Q269" s="524"/>
      <c r="R269" s="524"/>
      <c r="S269" s="524"/>
      <c r="T269" s="524"/>
      <c r="U269" s="524"/>
      <c r="V269" s="524"/>
      <c r="W269" s="524"/>
      <c r="X269" s="524"/>
      <c r="Y269" s="524"/>
      <c r="Z269" s="524"/>
      <c r="AA269" s="524"/>
      <c r="AB269" s="524"/>
      <c r="AC269" s="524"/>
      <c r="AD269" s="524"/>
      <c r="AE269" s="524"/>
      <c r="AF269" s="524"/>
      <c r="AG269" s="524"/>
      <c r="AH269" s="524"/>
    </row>
    <row r="270" spans="1:34" ht="13.5">
      <c r="A270" s="524"/>
      <c r="B270" s="524"/>
      <c r="C270" s="524"/>
      <c r="D270" s="524"/>
      <c r="E270" s="524"/>
      <c r="F270" s="524"/>
      <c r="G270" s="524"/>
      <c r="H270" s="524"/>
      <c r="I270" s="524"/>
      <c r="J270" s="524"/>
      <c r="K270" s="524"/>
      <c r="L270" s="524"/>
      <c r="M270" s="524"/>
      <c r="N270" s="524"/>
      <c r="O270" s="524"/>
      <c r="P270" s="524"/>
      <c r="Q270" s="524"/>
      <c r="R270" s="524"/>
      <c r="S270" s="524"/>
      <c r="T270" s="524"/>
      <c r="U270" s="524"/>
      <c r="V270" s="524"/>
      <c r="W270" s="524"/>
      <c r="X270" s="524"/>
      <c r="Y270" s="524"/>
      <c r="Z270" s="524"/>
      <c r="AA270" s="524"/>
      <c r="AB270" s="524"/>
      <c r="AC270" s="524"/>
      <c r="AD270" s="524"/>
      <c r="AE270" s="524"/>
      <c r="AF270" s="524"/>
      <c r="AG270" s="524"/>
      <c r="AH270" s="524"/>
    </row>
    <row r="271" spans="1:34" ht="13.5">
      <c r="A271" s="524"/>
      <c r="B271" s="524"/>
      <c r="C271" s="524"/>
      <c r="D271" s="524"/>
      <c r="E271" s="524"/>
      <c r="F271" s="524"/>
      <c r="G271" s="524"/>
      <c r="H271" s="524"/>
      <c r="I271" s="524"/>
      <c r="J271" s="524"/>
      <c r="K271" s="524"/>
      <c r="L271" s="524"/>
      <c r="M271" s="524"/>
      <c r="N271" s="524"/>
      <c r="O271" s="524"/>
      <c r="P271" s="524"/>
      <c r="Q271" s="524"/>
      <c r="R271" s="524"/>
      <c r="S271" s="524"/>
      <c r="T271" s="524"/>
      <c r="U271" s="524"/>
      <c r="V271" s="524"/>
      <c r="W271" s="524"/>
      <c r="X271" s="524"/>
      <c r="Y271" s="524"/>
      <c r="Z271" s="524"/>
      <c r="AA271" s="524"/>
      <c r="AB271" s="524"/>
      <c r="AC271" s="524"/>
      <c r="AD271" s="524"/>
      <c r="AE271" s="524"/>
      <c r="AF271" s="524"/>
      <c r="AG271" s="524"/>
      <c r="AH271" s="524"/>
    </row>
    <row r="272" spans="1:34" ht="13.5">
      <c r="A272" s="524"/>
      <c r="B272" s="524"/>
      <c r="C272" s="524"/>
      <c r="D272" s="524"/>
      <c r="E272" s="524"/>
      <c r="F272" s="524"/>
      <c r="G272" s="524"/>
      <c r="H272" s="524"/>
      <c r="I272" s="524"/>
      <c r="J272" s="524"/>
      <c r="K272" s="524"/>
      <c r="L272" s="524"/>
      <c r="M272" s="524"/>
      <c r="N272" s="524"/>
      <c r="O272" s="524"/>
      <c r="P272" s="524"/>
      <c r="Q272" s="524"/>
      <c r="R272" s="524"/>
      <c r="S272" s="524"/>
      <c r="T272" s="524"/>
      <c r="U272" s="524"/>
      <c r="V272" s="524"/>
      <c r="W272" s="524"/>
      <c r="X272" s="524"/>
      <c r="Y272" s="524"/>
      <c r="Z272" s="524"/>
      <c r="AA272" s="524"/>
      <c r="AB272" s="524"/>
      <c r="AC272" s="524"/>
      <c r="AD272" s="524"/>
      <c r="AE272" s="524"/>
      <c r="AF272" s="524"/>
      <c r="AG272" s="524"/>
      <c r="AH272" s="524"/>
    </row>
    <row r="273" spans="1:34" ht="13.5">
      <c r="A273" s="524"/>
      <c r="B273" s="524"/>
      <c r="C273" s="524"/>
      <c r="D273" s="524"/>
      <c r="E273" s="524"/>
      <c r="F273" s="524"/>
      <c r="G273" s="524"/>
      <c r="H273" s="524"/>
      <c r="I273" s="524"/>
      <c r="J273" s="524"/>
      <c r="K273" s="524"/>
      <c r="L273" s="524"/>
      <c r="M273" s="524"/>
      <c r="N273" s="524"/>
      <c r="O273" s="524"/>
      <c r="P273" s="524"/>
      <c r="Q273" s="524"/>
      <c r="R273" s="524"/>
      <c r="S273" s="524"/>
      <c r="T273" s="524"/>
      <c r="U273" s="524"/>
      <c r="V273" s="524"/>
      <c r="W273" s="524"/>
      <c r="X273" s="524"/>
      <c r="Y273" s="524"/>
      <c r="Z273" s="524"/>
      <c r="AA273" s="524"/>
      <c r="AB273" s="524"/>
      <c r="AC273" s="524"/>
      <c r="AD273" s="524"/>
      <c r="AE273" s="524"/>
      <c r="AF273" s="524"/>
      <c r="AG273" s="524"/>
      <c r="AH273" s="524"/>
    </row>
    <row r="274" spans="1:34" ht="13.5">
      <c r="A274" s="524"/>
      <c r="B274" s="524"/>
      <c r="C274" s="524"/>
      <c r="D274" s="524"/>
      <c r="E274" s="524"/>
      <c r="F274" s="524"/>
      <c r="G274" s="524"/>
      <c r="H274" s="524"/>
      <c r="I274" s="524"/>
      <c r="J274" s="524"/>
      <c r="K274" s="524"/>
      <c r="L274" s="524"/>
      <c r="M274" s="524"/>
      <c r="N274" s="524"/>
      <c r="O274" s="524"/>
      <c r="P274" s="524"/>
      <c r="Q274" s="524"/>
      <c r="R274" s="524"/>
      <c r="S274" s="524"/>
      <c r="T274" s="524"/>
      <c r="U274" s="524"/>
      <c r="V274" s="524"/>
      <c r="W274" s="524"/>
      <c r="X274" s="524"/>
      <c r="Y274" s="524"/>
      <c r="Z274" s="524"/>
      <c r="AA274" s="524"/>
      <c r="AB274" s="524"/>
      <c r="AC274" s="524"/>
      <c r="AD274" s="524"/>
      <c r="AE274" s="524"/>
      <c r="AF274" s="524"/>
      <c r="AG274" s="524"/>
      <c r="AH274" s="524"/>
    </row>
    <row r="275" spans="1:34" ht="13.5">
      <c r="A275" s="524"/>
      <c r="B275" s="524"/>
      <c r="C275" s="524"/>
      <c r="D275" s="524"/>
      <c r="E275" s="524"/>
      <c r="F275" s="524"/>
      <c r="G275" s="524"/>
      <c r="H275" s="524"/>
      <c r="I275" s="524"/>
      <c r="J275" s="524"/>
      <c r="K275" s="524"/>
      <c r="L275" s="524"/>
      <c r="M275" s="524"/>
      <c r="N275" s="524"/>
      <c r="O275" s="524"/>
      <c r="P275" s="524"/>
      <c r="Q275" s="524"/>
      <c r="R275" s="524"/>
      <c r="S275" s="524"/>
      <c r="T275" s="524"/>
      <c r="U275" s="524"/>
      <c r="V275" s="524"/>
      <c r="W275" s="524"/>
      <c r="X275" s="524"/>
      <c r="Y275" s="524"/>
      <c r="Z275" s="524"/>
      <c r="AA275" s="524"/>
      <c r="AB275" s="524"/>
      <c r="AC275" s="524"/>
      <c r="AD275" s="524"/>
      <c r="AE275" s="524"/>
      <c r="AF275" s="524"/>
      <c r="AG275" s="524"/>
      <c r="AH275" s="524"/>
    </row>
    <row r="276" spans="1:34" ht="13.5">
      <c r="A276" s="524"/>
      <c r="B276" s="524"/>
      <c r="C276" s="524"/>
      <c r="D276" s="524"/>
      <c r="E276" s="524"/>
      <c r="F276" s="524"/>
      <c r="G276" s="524"/>
      <c r="H276" s="524"/>
      <c r="I276" s="524"/>
      <c r="J276" s="524"/>
      <c r="K276" s="524"/>
      <c r="L276" s="524"/>
      <c r="M276" s="524"/>
      <c r="N276" s="524"/>
      <c r="O276" s="524"/>
      <c r="P276" s="524"/>
      <c r="Q276" s="524"/>
      <c r="R276" s="524"/>
      <c r="S276" s="524"/>
      <c r="T276" s="524"/>
      <c r="U276" s="524"/>
      <c r="V276" s="524"/>
      <c r="W276" s="524"/>
      <c r="X276" s="524"/>
      <c r="Y276" s="524"/>
      <c r="Z276" s="524"/>
      <c r="AA276" s="524"/>
      <c r="AB276" s="524"/>
      <c r="AC276" s="524"/>
      <c r="AD276" s="524"/>
      <c r="AE276" s="524"/>
      <c r="AF276" s="524"/>
      <c r="AG276" s="524"/>
      <c r="AH276" s="524"/>
    </row>
    <row r="277" spans="1:34" ht="13.5">
      <c r="A277" s="524"/>
      <c r="B277" s="524"/>
      <c r="C277" s="524"/>
      <c r="D277" s="524"/>
      <c r="E277" s="524"/>
      <c r="F277" s="524"/>
      <c r="G277" s="524"/>
      <c r="H277" s="524"/>
      <c r="I277" s="524"/>
      <c r="J277" s="524"/>
      <c r="K277" s="524"/>
      <c r="L277" s="524"/>
      <c r="M277" s="524"/>
      <c r="N277" s="524"/>
      <c r="O277" s="524"/>
      <c r="P277" s="524"/>
      <c r="Q277" s="524"/>
      <c r="R277" s="524"/>
      <c r="S277" s="524"/>
      <c r="T277" s="524"/>
      <c r="U277" s="524"/>
      <c r="V277" s="524"/>
      <c r="W277" s="524"/>
      <c r="X277" s="524"/>
      <c r="Y277" s="524"/>
      <c r="Z277" s="524"/>
      <c r="AA277" s="524"/>
      <c r="AB277" s="524"/>
      <c r="AC277" s="524"/>
      <c r="AD277" s="524"/>
      <c r="AE277" s="524"/>
      <c r="AF277" s="524"/>
      <c r="AG277" s="524"/>
      <c r="AH277" s="524"/>
    </row>
    <row r="278" spans="1:34" ht="13.5">
      <c r="A278" s="524"/>
      <c r="B278" s="524"/>
      <c r="C278" s="524"/>
      <c r="D278" s="524"/>
      <c r="E278" s="524"/>
      <c r="F278" s="524"/>
      <c r="G278" s="524"/>
      <c r="H278" s="524"/>
      <c r="I278" s="524"/>
      <c r="J278" s="524"/>
      <c r="K278" s="524"/>
      <c r="L278" s="524"/>
      <c r="M278" s="524"/>
      <c r="N278" s="524"/>
      <c r="O278" s="524"/>
      <c r="P278" s="524"/>
      <c r="Q278" s="524"/>
      <c r="R278" s="524"/>
      <c r="S278" s="524"/>
      <c r="T278" s="524"/>
      <c r="U278" s="524"/>
      <c r="V278" s="524"/>
      <c r="W278" s="524"/>
      <c r="X278" s="524"/>
      <c r="Y278" s="524"/>
      <c r="Z278" s="524"/>
      <c r="AA278" s="524"/>
      <c r="AB278" s="524"/>
      <c r="AC278" s="524"/>
      <c r="AD278" s="524"/>
      <c r="AE278" s="524"/>
      <c r="AF278" s="524"/>
      <c r="AG278" s="524"/>
      <c r="AH278" s="524"/>
    </row>
    <row r="279" spans="1:34" ht="13.5">
      <c r="A279" s="524"/>
      <c r="B279" s="524"/>
      <c r="C279" s="524"/>
      <c r="D279" s="524"/>
      <c r="E279" s="524"/>
      <c r="F279" s="524"/>
      <c r="G279" s="524"/>
      <c r="H279" s="524"/>
      <c r="I279" s="524"/>
      <c r="J279" s="524"/>
      <c r="K279" s="524"/>
      <c r="L279" s="524"/>
      <c r="M279" s="524"/>
      <c r="N279" s="524"/>
      <c r="O279" s="524"/>
      <c r="P279" s="524"/>
      <c r="Q279" s="524"/>
      <c r="R279" s="524"/>
      <c r="S279" s="524"/>
      <c r="T279" s="524"/>
      <c r="U279" s="524"/>
      <c r="V279" s="524"/>
      <c r="W279" s="524"/>
      <c r="X279" s="524"/>
      <c r="Y279" s="524"/>
      <c r="Z279" s="524"/>
      <c r="AA279" s="524"/>
      <c r="AB279" s="524"/>
      <c r="AC279" s="524"/>
      <c r="AD279" s="524"/>
      <c r="AE279" s="524"/>
      <c r="AF279" s="524"/>
      <c r="AG279" s="524"/>
      <c r="AH279" s="524"/>
    </row>
    <row r="280" spans="1:34" ht="13.5">
      <c r="A280" s="524"/>
      <c r="B280" s="524"/>
      <c r="C280" s="524"/>
      <c r="D280" s="524"/>
      <c r="E280" s="524"/>
      <c r="F280" s="524"/>
      <c r="G280" s="524"/>
      <c r="H280" s="524"/>
      <c r="I280" s="524"/>
      <c r="J280" s="524"/>
      <c r="K280" s="524"/>
      <c r="L280" s="524"/>
      <c r="M280" s="524"/>
      <c r="N280" s="524"/>
      <c r="O280" s="524"/>
      <c r="P280" s="524"/>
      <c r="Q280" s="524"/>
      <c r="R280" s="524"/>
      <c r="S280" s="524"/>
      <c r="T280" s="524"/>
      <c r="U280" s="524"/>
      <c r="V280" s="524"/>
      <c r="W280" s="524"/>
      <c r="X280" s="524"/>
      <c r="Y280" s="524"/>
      <c r="Z280" s="524"/>
      <c r="AA280" s="524"/>
      <c r="AB280" s="524"/>
      <c r="AC280" s="524"/>
      <c r="AD280" s="524"/>
      <c r="AE280" s="524"/>
      <c r="AF280" s="524"/>
      <c r="AG280" s="524"/>
      <c r="AH280" s="524"/>
    </row>
    <row r="281" spans="1:34" ht="13.5">
      <c r="A281" s="524"/>
      <c r="B281" s="524"/>
      <c r="C281" s="524"/>
      <c r="D281" s="524"/>
      <c r="E281" s="524"/>
      <c r="F281" s="524"/>
      <c r="G281" s="524"/>
      <c r="H281" s="524"/>
      <c r="I281" s="524"/>
      <c r="J281" s="524"/>
      <c r="K281" s="524"/>
      <c r="L281" s="524"/>
      <c r="M281" s="524"/>
      <c r="N281" s="524"/>
      <c r="O281" s="524"/>
      <c r="P281" s="524"/>
      <c r="Q281" s="524"/>
      <c r="R281" s="524"/>
      <c r="S281" s="524"/>
      <c r="T281" s="524"/>
      <c r="U281" s="524"/>
      <c r="V281" s="524"/>
      <c r="W281" s="524"/>
      <c r="X281" s="524"/>
      <c r="Y281" s="524"/>
      <c r="Z281" s="524"/>
      <c r="AA281" s="524"/>
      <c r="AB281" s="524"/>
      <c r="AC281" s="524"/>
      <c r="AD281" s="524"/>
      <c r="AE281" s="524"/>
      <c r="AF281" s="524"/>
      <c r="AG281" s="524"/>
      <c r="AH281" s="524"/>
    </row>
    <row r="282" spans="1:34" ht="13.5">
      <c r="A282" s="524"/>
      <c r="B282" s="524"/>
      <c r="C282" s="524"/>
      <c r="D282" s="524"/>
      <c r="E282" s="524"/>
      <c r="F282" s="524"/>
      <c r="G282" s="524"/>
      <c r="H282" s="524"/>
      <c r="I282" s="524"/>
      <c r="J282" s="524"/>
      <c r="K282" s="524"/>
      <c r="L282" s="524"/>
      <c r="M282" s="524"/>
      <c r="N282" s="524"/>
      <c r="O282" s="524"/>
      <c r="P282" s="524"/>
      <c r="Q282" s="524"/>
      <c r="R282" s="524"/>
      <c r="S282" s="524"/>
      <c r="T282" s="524"/>
      <c r="U282" s="524"/>
      <c r="V282" s="524"/>
      <c r="W282" s="524"/>
      <c r="X282" s="524"/>
      <c r="Y282" s="524"/>
      <c r="Z282" s="524"/>
      <c r="AA282" s="524"/>
      <c r="AB282" s="524"/>
      <c r="AC282" s="524"/>
      <c r="AD282" s="524"/>
      <c r="AE282" s="524"/>
      <c r="AF282" s="524"/>
      <c r="AG282" s="524"/>
      <c r="AH282" s="524"/>
    </row>
    <row r="283" spans="1:34" ht="13.5">
      <c r="A283" s="524"/>
      <c r="B283" s="524"/>
      <c r="C283" s="524"/>
      <c r="D283" s="524"/>
      <c r="E283" s="524"/>
      <c r="F283" s="524"/>
      <c r="G283" s="524"/>
      <c r="H283" s="524"/>
      <c r="I283" s="524"/>
      <c r="J283" s="524"/>
      <c r="K283" s="524"/>
      <c r="L283" s="524"/>
      <c r="M283" s="524"/>
      <c r="N283" s="524"/>
      <c r="O283" s="524"/>
      <c r="P283" s="524"/>
      <c r="Q283" s="524"/>
      <c r="R283" s="524"/>
      <c r="S283" s="524"/>
      <c r="T283" s="524"/>
      <c r="U283" s="524"/>
      <c r="V283" s="524"/>
      <c r="W283" s="524"/>
      <c r="X283" s="524"/>
      <c r="Y283" s="524"/>
      <c r="Z283" s="524"/>
      <c r="AA283" s="524"/>
      <c r="AB283" s="524"/>
      <c r="AC283" s="524"/>
      <c r="AD283" s="524"/>
      <c r="AE283" s="524"/>
      <c r="AF283" s="524"/>
      <c r="AG283" s="524"/>
      <c r="AH283" s="524"/>
    </row>
    <row r="284" spans="1:34" ht="13.5">
      <c r="A284" s="524"/>
      <c r="B284" s="524"/>
      <c r="C284" s="524"/>
      <c r="D284" s="524"/>
      <c r="E284" s="524"/>
      <c r="F284" s="524"/>
      <c r="G284" s="524"/>
      <c r="H284" s="524"/>
      <c r="I284" s="524"/>
      <c r="J284" s="524"/>
      <c r="K284" s="524"/>
      <c r="L284" s="524"/>
      <c r="M284" s="524"/>
      <c r="N284" s="524"/>
      <c r="O284" s="524"/>
      <c r="P284" s="524"/>
      <c r="Q284" s="524"/>
      <c r="R284" s="524"/>
      <c r="S284" s="524"/>
      <c r="T284" s="524"/>
      <c r="U284" s="524"/>
      <c r="V284" s="524"/>
      <c r="W284" s="524"/>
      <c r="X284" s="524"/>
      <c r="Y284" s="524"/>
      <c r="Z284" s="524"/>
      <c r="AA284" s="524"/>
      <c r="AB284" s="524"/>
      <c r="AC284" s="524"/>
      <c r="AD284" s="524"/>
      <c r="AE284" s="524"/>
      <c r="AF284" s="524"/>
      <c r="AG284" s="524"/>
      <c r="AH284" s="524"/>
    </row>
    <row r="285" spans="1:34" ht="13.5">
      <c r="A285" s="524"/>
      <c r="B285" s="524"/>
      <c r="C285" s="524"/>
      <c r="D285" s="524"/>
      <c r="E285" s="524"/>
      <c r="F285" s="524"/>
      <c r="G285" s="524"/>
      <c r="H285" s="524"/>
      <c r="I285" s="524"/>
      <c r="J285" s="524"/>
      <c r="K285" s="524"/>
      <c r="L285" s="524"/>
      <c r="M285" s="524"/>
      <c r="N285" s="524"/>
      <c r="O285" s="524"/>
      <c r="P285" s="524"/>
      <c r="Q285" s="524"/>
      <c r="R285" s="524"/>
      <c r="S285" s="524"/>
      <c r="T285" s="524"/>
      <c r="U285" s="524"/>
      <c r="V285" s="524"/>
      <c r="W285" s="524"/>
      <c r="X285" s="524"/>
      <c r="Y285" s="524"/>
      <c r="Z285" s="524"/>
      <c r="AA285" s="524"/>
      <c r="AB285" s="524"/>
      <c r="AC285" s="524"/>
      <c r="AD285" s="524"/>
      <c r="AE285" s="524"/>
      <c r="AF285" s="524"/>
      <c r="AG285" s="524"/>
      <c r="AH285" s="524"/>
    </row>
    <row r="286" spans="1:34" ht="13.5">
      <c r="A286" s="524"/>
      <c r="B286" s="524"/>
      <c r="C286" s="524"/>
      <c r="D286" s="524"/>
      <c r="E286" s="524"/>
      <c r="F286" s="524"/>
      <c r="G286" s="524"/>
      <c r="H286" s="524"/>
      <c r="I286" s="524"/>
      <c r="J286" s="524"/>
      <c r="K286" s="524"/>
      <c r="L286" s="524"/>
      <c r="M286" s="524"/>
      <c r="N286" s="524"/>
      <c r="O286" s="524"/>
      <c r="P286" s="524"/>
      <c r="Q286" s="524"/>
      <c r="R286" s="524"/>
      <c r="S286" s="524"/>
      <c r="T286" s="524"/>
      <c r="U286" s="524"/>
      <c r="V286" s="524"/>
      <c r="W286" s="524"/>
      <c r="X286" s="524"/>
      <c r="Y286" s="524"/>
      <c r="Z286" s="524"/>
      <c r="AA286" s="524"/>
      <c r="AB286" s="524"/>
      <c r="AC286" s="524"/>
      <c r="AD286" s="524"/>
      <c r="AE286" s="524"/>
      <c r="AF286" s="524"/>
      <c r="AG286" s="524"/>
      <c r="AH286" s="524"/>
    </row>
    <row r="287" spans="1:34" ht="13.5">
      <c r="A287" s="524"/>
      <c r="B287" s="524"/>
      <c r="C287" s="524"/>
      <c r="D287" s="524"/>
      <c r="E287" s="524"/>
      <c r="F287" s="524"/>
      <c r="G287" s="524"/>
      <c r="H287" s="524"/>
      <c r="I287" s="524"/>
      <c r="J287" s="524"/>
      <c r="K287" s="524"/>
      <c r="L287" s="524"/>
      <c r="M287" s="524"/>
      <c r="N287" s="524"/>
      <c r="O287" s="524"/>
      <c r="P287" s="524"/>
      <c r="Q287" s="524"/>
      <c r="R287" s="524"/>
      <c r="S287" s="524"/>
      <c r="T287" s="524"/>
      <c r="U287" s="524"/>
      <c r="V287" s="524"/>
      <c r="W287" s="524"/>
      <c r="X287" s="524"/>
      <c r="Y287" s="524"/>
      <c r="Z287" s="524"/>
      <c r="AA287" s="524"/>
      <c r="AB287" s="524"/>
      <c r="AC287" s="524"/>
      <c r="AD287" s="524"/>
      <c r="AE287" s="524"/>
      <c r="AF287" s="524"/>
      <c r="AG287" s="524"/>
      <c r="AH287" s="524"/>
    </row>
    <row r="288" spans="1:34" ht="13.5">
      <c r="A288" s="524"/>
      <c r="B288" s="524"/>
      <c r="C288" s="524"/>
      <c r="D288" s="524"/>
      <c r="E288" s="524"/>
      <c r="F288" s="524"/>
      <c r="G288" s="524"/>
      <c r="H288" s="524"/>
      <c r="I288" s="524"/>
      <c r="J288" s="524"/>
      <c r="K288" s="524"/>
      <c r="L288" s="524"/>
      <c r="M288" s="524"/>
      <c r="N288" s="524"/>
      <c r="O288" s="524"/>
      <c r="P288" s="524"/>
      <c r="Q288" s="524"/>
      <c r="R288" s="524"/>
      <c r="S288" s="524"/>
      <c r="T288" s="524"/>
      <c r="U288" s="524"/>
      <c r="V288" s="524"/>
      <c r="W288" s="524"/>
      <c r="X288" s="524"/>
      <c r="Y288" s="524"/>
      <c r="Z288" s="524"/>
      <c r="AA288" s="524"/>
      <c r="AB288" s="524"/>
      <c r="AC288" s="524"/>
      <c r="AD288" s="524"/>
      <c r="AE288" s="524"/>
      <c r="AF288" s="524"/>
      <c r="AG288" s="524"/>
      <c r="AH288" s="524"/>
    </row>
    <row r="289" spans="1:34" ht="13.5">
      <c r="A289" s="524"/>
      <c r="B289" s="524"/>
      <c r="C289" s="524"/>
      <c r="D289" s="524"/>
      <c r="E289" s="524"/>
      <c r="F289" s="524"/>
      <c r="G289" s="524"/>
      <c r="H289" s="524"/>
      <c r="I289" s="524"/>
      <c r="J289" s="524"/>
      <c r="K289" s="524"/>
      <c r="L289" s="524"/>
      <c r="M289" s="524"/>
      <c r="N289" s="524"/>
      <c r="O289" s="524"/>
      <c r="P289" s="524"/>
      <c r="Q289" s="524"/>
      <c r="R289" s="524"/>
      <c r="S289" s="524"/>
      <c r="T289" s="524"/>
      <c r="U289" s="524"/>
      <c r="V289" s="524"/>
      <c r="W289" s="524"/>
      <c r="X289" s="524"/>
      <c r="Y289" s="524"/>
      <c r="Z289" s="524"/>
      <c r="AA289" s="524"/>
      <c r="AB289" s="524"/>
      <c r="AC289" s="524"/>
      <c r="AD289" s="524"/>
      <c r="AE289" s="524"/>
      <c r="AF289" s="524"/>
      <c r="AG289" s="524"/>
      <c r="AH289" s="524"/>
    </row>
    <row r="290" spans="1:34" ht="13.5">
      <c r="A290" s="524"/>
      <c r="B290" s="524"/>
      <c r="C290" s="524"/>
      <c r="D290" s="524"/>
      <c r="E290" s="524"/>
      <c r="F290" s="524"/>
      <c r="G290" s="524"/>
      <c r="H290" s="524"/>
      <c r="I290" s="524"/>
      <c r="J290" s="524"/>
      <c r="K290" s="524"/>
      <c r="L290" s="524"/>
      <c r="M290" s="524"/>
      <c r="N290" s="524"/>
      <c r="O290" s="524"/>
      <c r="P290" s="524"/>
      <c r="Q290" s="524"/>
      <c r="R290" s="524"/>
      <c r="S290" s="524"/>
      <c r="T290" s="524"/>
      <c r="U290" s="524"/>
      <c r="V290" s="524"/>
      <c r="W290" s="524"/>
      <c r="X290" s="524"/>
      <c r="Y290" s="524"/>
      <c r="Z290" s="524"/>
      <c r="AA290" s="524"/>
      <c r="AB290" s="524"/>
      <c r="AC290" s="524"/>
      <c r="AD290" s="524"/>
      <c r="AE290" s="524"/>
      <c r="AF290" s="524"/>
      <c r="AG290" s="524"/>
      <c r="AH290" s="524"/>
    </row>
    <row r="291" spans="1:34" ht="13.5">
      <c r="A291" s="524"/>
      <c r="B291" s="524"/>
      <c r="C291" s="524"/>
      <c r="D291" s="524"/>
      <c r="E291" s="524"/>
      <c r="F291" s="524"/>
      <c r="G291" s="524"/>
      <c r="H291" s="524"/>
      <c r="I291" s="524"/>
      <c r="J291" s="524"/>
      <c r="K291" s="524"/>
      <c r="L291" s="524"/>
      <c r="M291" s="524"/>
      <c r="N291" s="524"/>
      <c r="O291" s="524"/>
      <c r="P291" s="524"/>
      <c r="Q291" s="524"/>
      <c r="R291" s="524"/>
      <c r="S291" s="524"/>
      <c r="T291" s="524"/>
      <c r="U291" s="524"/>
      <c r="V291" s="524"/>
      <c r="W291" s="524"/>
      <c r="X291" s="524"/>
      <c r="Y291" s="524"/>
      <c r="Z291" s="524"/>
      <c r="AA291" s="524"/>
      <c r="AB291" s="524"/>
      <c r="AC291" s="524"/>
      <c r="AD291" s="524"/>
      <c r="AE291" s="524"/>
      <c r="AF291" s="524"/>
      <c r="AG291" s="524"/>
      <c r="AH291" s="524"/>
    </row>
    <row r="292" spans="1:34" ht="13.5">
      <c r="A292" s="524"/>
      <c r="B292" s="524"/>
      <c r="C292" s="524"/>
      <c r="D292" s="524"/>
      <c r="E292" s="524"/>
      <c r="F292" s="524"/>
      <c r="G292" s="524"/>
      <c r="H292" s="524"/>
      <c r="I292" s="524"/>
      <c r="J292" s="524"/>
      <c r="K292" s="524"/>
      <c r="L292" s="524"/>
      <c r="M292" s="524"/>
      <c r="N292" s="524"/>
      <c r="O292" s="524"/>
      <c r="P292" s="524"/>
      <c r="Q292" s="524"/>
      <c r="R292" s="524"/>
      <c r="S292" s="524"/>
      <c r="T292" s="524"/>
      <c r="U292" s="524"/>
      <c r="V292" s="524"/>
      <c r="W292" s="524"/>
      <c r="X292" s="524"/>
      <c r="Y292" s="524"/>
      <c r="Z292" s="524"/>
      <c r="AA292" s="524"/>
      <c r="AB292" s="524"/>
      <c r="AC292" s="524"/>
      <c r="AD292" s="524"/>
      <c r="AE292" s="524"/>
      <c r="AF292" s="524"/>
      <c r="AG292" s="524"/>
      <c r="AH292" s="524"/>
    </row>
    <row r="293" spans="1:34" ht="13.5">
      <c r="A293" s="524"/>
      <c r="B293" s="524"/>
      <c r="C293" s="524"/>
      <c r="D293" s="524"/>
      <c r="E293" s="524"/>
      <c r="F293" s="524"/>
      <c r="G293" s="524"/>
      <c r="H293" s="524"/>
      <c r="I293" s="524"/>
      <c r="J293" s="524"/>
      <c r="K293" s="524"/>
      <c r="L293" s="524"/>
      <c r="M293" s="524"/>
      <c r="N293" s="524"/>
      <c r="O293" s="524"/>
      <c r="P293" s="524"/>
      <c r="Q293" s="524"/>
      <c r="R293" s="524"/>
      <c r="S293" s="524"/>
      <c r="T293" s="524"/>
      <c r="U293" s="524"/>
      <c r="V293" s="524"/>
      <c r="W293" s="524"/>
      <c r="X293" s="524"/>
      <c r="Y293" s="524"/>
      <c r="Z293" s="524"/>
      <c r="AA293" s="524"/>
      <c r="AB293" s="524"/>
      <c r="AC293" s="524"/>
      <c r="AD293" s="524"/>
      <c r="AE293" s="524"/>
      <c r="AF293" s="524"/>
      <c r="AG293" s="524"/>
      <c r="AH293" s="524"/>
    </row>
    <row r="294" spans="1:34" ht="13.5">
      <c r="A294" s="524"/>
      <c r="B294" s="524"/>
      <c r="C294" s="524"/>
      <c r="D294" s="524"/>
      <c r="E294" s="524"/>
      <c r="F294" s="524"/>
      <c r="G294" s="524"/>
      <c r="H294" s="524"/>
      <c r="I294" s="524"/>
      <c r="J294" s="524"/>
      <c r="K294" s="524"/>
      <c r="L294" s="524"/>
      <c r="M294" s="524"/>
      <c r="N294" s="524"/>
      <c r="O294" s="524"/>
      <c r="P294" s="524"/>
      <c r="Q294" s="524"/>
      <c r="R294" s="524"/>
      <c r="S294" s="524"/>
      <c r="T294" s="524"/>
      <c r="U294" s="524"/>
      <c r="V294" s="524"/>
      <c r="W294" s="524"/>
      <c r="X294" s="524"/>
      <c r="Y294" s="524"/>
      <c r="Z294" s="524"/>
      <c r="AA294" s="524"/>
      <c r="AB294" s="524"/>
      <c r="AC294" s="524"/>
      <c r="AD294" s="524"/>
      <c r="AE294" s="524"/>
      <c r="AF294" s="524"/>
      <c r="AG294" s="524"/>
      <c r="AH294" s="524"/>
    </row>
    <row r="295" spans="1:34" ht="13.5">
      <c r="A295" s="524"/>
      <c r="B295" s="524"/>
      <c r="C295" s="524"/>
      <c r="D295" s="524"/>
      <c r="E295" s="524"/>
      <c r="F295" s="524"/>
      <c r="G295" s="524"/>
      <c r="H295" s="524"/>
      <c r="I295" s="524"/>
      <c r="J295" s="524"/>
      <c r="K295" s="524"/>
      <c r="L295" s="524"/>
      <c r="M295" s="524"/>
      <c r="N295" s="524"/>
      <c r="O295" s="524"/>
      <c r="P295" s="524"/>
      <c r="Q295" s="524"/>
      <c r="R295" s="524"/>
      <c r="S295" s="524"/>
      <c r="T295" s="524"/>
      <c r="U295" s="524"/>
      <c r="V295" s="524"/>
      <c r="W295" s="524"/>
      <c r="X295" s="524"/>
      <c r="Y295" s="524"/>
      <c r="Z295" s="524"/>
      <c r="AA295" s="524"/>
      <c r="AB295" s="524"/>
      <c r="AC295" s="524"/>
      <c r="AD295" s="524"/>
      <c r="AE295" s="524"/>
      <c r="AF295" s="524"/>
      <c r="AG295" s="524"/>
      <c r="AH295" s="524"/>
    </row>
    <row r="296" spans="1:34" ht="13.5">
      <c r="A296" s="524"/>
      <c r="B296" s="524"/>
      <c r="C296" s="524"/>
      <c r="D296" s="524"/>
      <c r="E296" s="524"/>
      <c r="F296" s="524"/>
      <c r="G296" s="524"/>
      <c r="H296" s="524"/>
      <c r="I296" s="524"/>
      <c r="J296" s="524"/>
      <c r="K296" s="524"/>
      <c r="L296" s="524"/>
      <c r="M296" s="524"/>
      <c r="N296" s="524"/>
      <c r="O296" s="524"/>
      <c r="P296" s="524"/>
      <c r="Q296" s="524"/>
      <c r="R296" s="524"/>
      <c r="S296" s="524"/>
      <c r="T296" s="524"/>
      <c r="U296" s="524"/>
      <c r="V296" s="524"/>
      <c r="W296" s="524"/>
      <c r="X296" s="524"/>
      <c r="Y296" s="524"/>
      <c r="Z296" s="524"/>
      <c r="AA296" s="524"/>
      <c r="AB296" s="524"/>
      <c r="AC296" s="524"/>
      <c r="AD296" s="524"/>
      <c r="AE296" s="524"/>
      <c r="AF296" s="524"/>
      <c r="AG296" s="524"/>
      <c r="AH296" s="524"/>
    </row>
    <row r="297" spans="1:34" ht="13.5">
      <c r="A297" s="524"/>
      <c r="B297" s="524"/>
      <c r="C297" s="524"/>
      <c r="D297" s="524"/>
      <c r="E297" s="524"/>
      <c r="F297" s="524"/>
      <c r="G297" s="524"/>
      <c r="H297" s="524"/>
      <c r="I297" s="524"/>
      <c r="J297" s="524"/>
      <c r="K297" s="524"/>
      <c r="L297" s="524"/>
      <c r="M297" s="524"/>
      <c r="N297" s="524"/>
      <c r="O297" s="524"/>
      <c r="P297" s="524"/>
      <c r="Q297" s="524"/>
      <c r="R297" s="524"/>
      <c r="S297" s="524"/>
      <c r="T297" s="524"/>
      <c r="U297" s="524"/>
      <c r="V297" s="524"/>
      <c r="W297" s="524"/>
      <c r="X297" s="524"/>
      <c r="Y297" s="524"/>
      <c r="Z297" s="524"/>
      <c r="AA297" s="524"/>
      <c r="AB297" s="524"/>
      <c r="AC297" s="524"/>
      <c r="AD297" s="524"/>
      <c r="AE297" s="524"/>
      <c r="AF297" s="524"/>
      <c r="AG297" s="524"/>
      <c r="AH297" s="524"/>
    </row>
    <row r="298" spans="1:34" ht="13.5">
      <c r="A298" s="524"/>
      <c r="B298" s="524"/>
      <c r="C298" s="524"/>
      <c r="D298" s="524"/>
      <c r="E298" s="524"/>
      <c r="F298" s="524"/>
      <c r="G298" s="524"/>
      <c r="H298" s="524"/>
      <c r="I298" s="524"/>
      <c r="J298" s="524"/>
      <c r="K298" s="524"/>
      <c r="L298" s="524"/>
      <c r="M298" s="524"/>
      <c r="N298" s="524"/>
      <c r="O298" s="524"/>
      <c r="P298" s="524"/>
      <c r="Q298" s="524"/>
      <c r="R298" s="524"/>
      <c r="S298" s="524"/>
      <c r="T298" s="524"/>
      <c r="U298" s="524"/>
      <c r="V298" s="524"/>
      <c r="W298" s="524"/>
      <c r="X298" s="524"/>
      <c r="Y298" s="524"/>
      <c r="Z298" s="524"/>
      <c r="AA298" s="524"/>
      <c r="AB298" s="524"/>
      <c r="AC298" s="524"/>
      <c r="AD298" s="524"/>
      <c r="AE298" s="524"/>
      <c r="AF298" s="524"/>
      <c r="AG298" s="524"/>
      <c r="AH298" s="524"/>
    </row>
    <row r="299" spans="1:34" ht="13.5">
      <c r="A299" s="524"/>
      <c r="B299" s="524"/>
      <c r="C299" s="524"/>
      <c r="D299" s="524"/>
      <c r="E299" s="524"/>
      <c r="F299" s="524"/>
      <c r="G299" s="524"/>
      <c r="H299" s="524"/>
      <c r="I299" s="524"/>
      <c r="J299" s="524"/>
      <c r="K299" s="524"/>
      <c r="L299" s="524"/>
      <c r="M299" s="524"/>
      <c r="N299" s="524"/>
      <c r="O299" s="524"/>
      <c r="P299" s="524"/>
      <c r="Q299" s="524"/>
      <c r="R299" s="524"/>
      <c r="S299" s="524"/>
      <c r="T299" s="524"/>
      <c r="U299" s="524"/>
      <c r="V299" s="524"/>
      <c r="W299" s="524"/>
      <c r="X299" s="524"/>
      <c r="Y299" s="524"/>
      <c r="Z299" s="524"/>
      <c r="AA299" s="524"/>
      <c r="AB299" s="524"/>
      <c r="AC299" s="524"/>
      <c r="AD299" s="524"/>
      <c r="AE299" s="524"/>
      <c r="AF299" s="524"/>
      <c r="AG299" s="524"/>
      <c r="AH299" s="524"/>
    </row>
    <row r="300" spans="1:34" ht="13.5">
      <c r="A300" s="524"/>
      <c r="B300" s="524"/>
      <c r="C300" s="524"/>
      <c r="D300" s="524"/>
      <c r="E300" s="524"/>
      <c r="F300" s="524"/>
      <c r="G300" s="524"/>
      <c r="H300" s="524"/>
      <c r="I300" s="524"/>
      <c r="J300" s="524"/>
      <c r="K300" s="524"/>
      <c r="L300" s="524"/>
      <c r="M300" s="524"/>
      <c r="N300" s="524"/>
      <c r="O300" s="524"/>
      <c r="P300" s="524"/>
      <c r="Q300" s="524"/>
      <c r="R300" s="524"/>
      <c r="S300" s="524"/>
      <c r="T300" s="524"/>
      <c r="U300" s="524"/>
      <c r="V300" s="524"/>
      <c r="W300" s="524"/>
      <c r="X300" s="524"/>
      <c r="Y300" s="524"/>
      <c r="Z300" s="524"/>
      <c r="AA300" s="524"/>
      <c r="AB300" s="524"/>
      <c r="AC300" s="524"/>
      <c r="AD300" s="524"/>
      <c r="AE300" s="524"/>
      <c r="AF300" s="524"/>
      <c r="AG300" s="524"/>
      <c r="AH300" s="524"/>
    </row>
    <row r="301" spans="1:34" ht="13.5">
      <c r="A301" s="524"/>
      <c r="B301" s="524"/>
      <c r="C301" s="524"/>
      <c r="D301" s="524"/>
      <c r="E301" s="524"/>
      <c r="F301" s="524"/>
      <c r="G301" s="524"/>
      <c r="H301" s="524"/>
      <c r="I301" s="524"/>
      <c r="J301" s="524"/>
      <c r="K301" s="524"/>
      <c r="L301" s="524"/>
      <c r="M301" s="524"/>
      <c r="N301" s="524"/>
      <c r="O301" s="524"/>
      <c r="P301" s="524"/>
      <c r="Q301" s="524"/>
      <c r="R301" s="524"/>
      <c r="S301" s="524"/>
      <c r="T301" s="524"/>
      <c r="U301" s="524"/>
      <c r="V301" s="524"/>
      <c r="W301" s="524"/>
      <c r="X301" s="524"/>
      <c r="Y301" s="524"/>
      <c r="Z301" s="524"/>
      <c r="AA301" s="524"/>
      <c r="AB301" s="524"/>
      <c r="AC301" s="524"/>
      <c r="AD301" s="524"/>
      <c r="AE301" s="524"/>
      <c r="AF301" s="524"/>
      <c r="AG301" s="524"/>
      <c r="AH301" s="524"/>
    </row>
    <row r="302" spans="1:34" ht="13.5">
      <c r="A302" s="524"/>
      <c r="B302" s="524"/>
      <c r="C302" s="524"/>
      <c r="D302" s="524"/>
      <c r="E302" s="524"/>
      <c r="F302" s="524"/>
      <c r="G302" s="524"/>
      <c r="H302" s="524"/>
      <c r="I302" s="524"/>
      <c r="J302" s="524"/>
      <c r="K302" s="524"/>
      <c r="L302" s="524"/>
      <c r="M302" s="524"/>
      <c r="N302" s="524"/>
      <c r="O302" s="524"/>
      <c r="P302" s="524"/>
      <c r="Q302" s="524"/>
      <c r="R302" s="524"/>
      <c r="S302" s="524"/>
      <c r="T302" s="524"/>
      <c r="U302" s="524"/>
      <c r="V302" s="524"/>
      <c r="W302" s="524"/>
      <c r="X302" s="524"/>
      <c r="Y302" s="524"/>
      <c r="Z302" s="524"/>
      <c r="AA302" s="524"/>
      <c r="AB302" s="524"/>
      <c r="AC302" s="524"/>
      <c r="AD302" s="524"/>
      <c r="AE302" s="524"/>
      <c r="AF302" s="524"/>
      <c r="AG302" s="524"/>
      <c r="AH302" s="524"/>
    </row>
    <row r="303" spans="1:34" ht="13.5">
      <c r="A303" s="524"/>
      <c r="B303" s="524"/>
      <c r="C303" s="524"/>
      <c r="D303" s="524"/>
      <c r="E303" s="524"/>
      <c r="F303" s="524"/>
      <c r="G303" s="524"/>
      <c r="H303" s="524"/>
      <c r="I303" s="524"/>
      <c r="J303" s="524"/>
      <c r="K303" s="524"/>
      <c r="L303" s="524"/>
      <c r="M303" s="524"/>
      <c r="N303" s="524"/>
      <c r="O303" s="524"/>
      <c r="P303" s="524"/>
      <c r="Q303" s="524"/>
      <c r="R303" s="524"/>
      <c r="S303" s="524"/>
      <c r="T303" s="524"/>
      <c r="U303" s="524"/>
      <c r="V303" s="524"/>
      <c r="W303" s="524"/>
      <c r="X303" s="524"/>
      <c r="Y303" s="524"/>
      <c r="Z303" s="524"/>
      <c r="AA303" s="524"/>
      <c r="AB303" s="524"/>
      <c r="AC303" s="524"/>
      <c r="AD303" s="524"/>
      <c r="AE303" s="524"/>
      <c r="AF303" s="524"/>
      <c r="AG303" s="524"/>
      <c r="AH303" s="524"/>
    </row>
    <row r="304" spans="1:34" ht="13.5">
      <c r="A304" s="524"/>
      <c r="B304" s="524"/>
      <c r="C304" s="524"/>
      <c r="D304" s="524"/>
      <c r="E304" s="524"/>
      <c r="F304" s="524"/>
      <c r="G304" s="524"/>
      <c r="H304" s="524"/>
      <c r="I304" s="524"/>
      <c r="J304" s="524"/>
      <c r="K304" s="524"/>
      <c r="L304" s="524"/>
      <c r="M304" s="524"/>
      <c r="N304" s="524"/>
      <c r="O304" s="524"/>
      <c r="P304" s="524"/>
      <c r="Q304" s="524"/>
      <c r="R304" s="524"/>
      <c r="S304" s="524"/>
      <c r="T304" s="524"/>
      <c r="U304" s="524"/>
      <c r="V304" s="524"/>
      <c r="W304" s="524"/>
      <c r="X304" s="524"/>
      <c r="Y304" s="524"/>
      <c r="Z304" s="524"/>
      <c r="AA304" s="524"/>
      <c r="AB304" s="524"/>
      <c r="AC304" s="524"/>
      <c r="AD304" s="524"/>
      <c r="AE304" s="524"/>
      <c r="AF304" s="524"/>
      <c r="AG304" s="524"/>
      <c r="AH304" s="524"/>
    </row>
    <row r="305" spans="1:34" ht="13.5">
      <c r="A305" s="524"/>
      <c r="B305" s="524"/>
      <c r="C305" s="524"/>
      <c r="D305" s="524"/>
      <c r="E305" s="524"/>
      <c r="F305" s="524"/>
      <c r="G305" s="524"/>
      <c r="H305" s="524"/>
      <c r="I305" s="524"/>
      <c r="J305" s="524"/>
      <c r="K305" s="524"/>
      <c r="L305" s="524"/>
      <c r="M305" s="524"/>
      <c r="N305" s="524"/>
      <c r="O305" s="524"/>
      <c r="P305" s="524"/>
      <c r="Q305" s="524"/>
      <c r="R305" s="524"/>
      <c r="S305" s="524"/>
      <c r="T305" s="524"/>
      <c r="U305" s="524"/>
      <c r="V305" s="524"/>
      <c r="W305" s="524"/>
      <c r="X305" s="524"/>
      <c r="Y305" s="524"/>
      <c r="Z305" s="524"/>
      <c r="AA305" s="524"/>
      <c r="AB305" s="524"/>
      <c r="AC305" s="524"/>
      <c r="AD305" s="524"/>
      <c r="AE305" s="524"/>
      <c r="AF305" s="524"/>
      <c r="AG305" s="524"/>
      <c r="AH305" s="524"/>
    </row>
    <row r="306" spans="1:34" ht="13.5">
      <c r="A306" s="524"/>
      <c r="B306" s="524"/>
      <c r="C306" s="524"/>
      <c r="D306" s="524"/>
      <c r="E306" s="524"/>
      <c r="F306" s="524"/>
      <c r="G306" s="524"/>
      <c r="H306" s="524"/>
      <c r="I306" s="524"/>
      <c r="J306" s="524"/>
      <c r="K306" s="524"/>
      <c r="L306" s="524"/>
      <c r="M306" s="524"/>
      <c r="N306" s="524"/>
      <c r="O306" s="524"/>
      <c r="P306" s="524"/>
      <c r="Q306" s="524"/>
      <c r="R306" s="524"/>
      <c r="S306" s="524"/>
      <c r="T306" s="524"/>
      <c r="U306" s="524"/>
      <c r="V306" s="524"/>
      <c r="W306" s="524"/>
      <c r="X306" s="524"/>
      <c r="Y306" s="524"/>
      <c r="Z306" s="524"/>
      <c r="AA306" s="524"/>
      <c r="AB306" s="524"/>
      <c r="AC306" s="524"/>
      <c r="AD306" s="524"/>
      <c r="AE306" s="524"/>
      <c r="AF306" s="524"/>
      <c r="AG306" s="524"/>
      <c r="AH306" s="524"/>
    </row>
    <row r="307" spans="1:34" ht="13.5">
      <c r="A307" s="524"/>
      <c r="B307" s="524"/>
      <c r="C307" s="524"/>
      <c r="D307" s="524"/>
      <c r="E307" s="524"/>
      <c r="F307" s="524"/>
      <c r="G307" s="524"/>
      <c r="H307" s="524"/>
      <c r="I307" s="524"/>
      <c r="J307" s="524"/>
      <c r="K307" s="524"/>
      <c r="L307" s="524"/>
      <c r="M307" s="524"/>
      <c r="N307" s="524"/>
      <c r="O307" s="524"/>
      <c r="P307" s="524"/>
      <c r="Q307" s="524"/>
      <c r="R307" s="524"/>
      <c r="S307" s="524"/>
      <c r="T307" s="524"/>
      <c r="U307" s="524"/>
      <c r="V307" s="524"/>
      <c r="W307" s="524"/>
      <c r="X307" s="524"/>
      <c r="Y307" s="524"/>
      <c r="Z307" s="524"/>
      <c r="AA307" s="524"/>
      <c r="AB307" s="524"/>
      <c r="AC307" s="524"/>
      <c r="AD307" s="524"/>
      <c r="AE307" s="524"/>
      <c r="AF307" s="524"/>
      <c r="AG307" s="524"/>
      <c r="AH307" s="524"/>
    </row>
    <row r="308" spans="1:34" ht="13.5">
      <c r="A308" s="524"/>
      <c r="B308" s="524"/>
      <c r="C308" s="524"/>
      <c r="D308" s="524"/>
      <c r="E308" s="524"/>
      <c r="F308" s="524"/>
      <c r="G308" s="524"/>
      <c r="H308" s="524"/>
      <c r="I308" s="524"/>
      <c r="J308" s="524"/>
      <c r="K308" s="524"/>
      <c r="L308" s="524"/>
      <c r="M308" s="524"/>
      <c r="N308" s="524"/>
      <c r="O308" s="524"/>
      <c r="P308" s="524"/>
      <c r="Q308" s="524"/>
      <c r="R308" s="524"/>
      <c r="S308" s="524"/>
      <c r="T308" s="524"/>
      <c r="U308" s="524"/>
      <c r="V308" s="524"/>
      <c r="W308" s="524"/>
      <c r="X308" s="524"/>
      <c r="Y308" s="524"/>
      <c r="Z308" s="524"/>
      <c r="AA308" s="524"/>
      <c r="AB308" s="524"/>
      <c r="AC308" s="524"/>
      <c r="AD308" s="524"/>
      <c r="AE308" s="524"/>
      <c r="AF308" s="524"/>
      <c r="AG308" s="524"/>
      <c r="AH308" s="524"/>
    </row>
    <row r="309" spans="1:34" ht="13.5">
      <c r="A309" s="524"/>
      <c r="B309" s="524"/>
      <c r="C309" s="524"/>
      <c r="D309" s="524"/>
      <c r="E309" s="524"/>
      <c r="F309" s="524"/>
      <c r="G309" s="524"/>
      <c r="H309" s="524"/>
      <c r="I309" s="524"/>
      <c r="J309" s="524"/>
      <c r="K309" s="524"/>
      <c r="L309" s="524"/>
      <c r="M309" s="524"/>
      <c r="N309" s="524"/>
      <c r="O309" s="524"/>
      <c r="P309" s="524"/>
      <c r="Q309" s="524"/>
      <c r="R309" s="524"/>
      <c r="S309" s="524"/>
      <c r="T309" s="524"/>
      <c r="U309" s="524"/>
      <c r="V309" s="524"/>
      <c r="W309" s="524"/>
      <c r="X309" s="524"/>
      <c r="Y309" s="524"/>
      <c r="Z309" s="524"/>
      <c r="AA309" s="524"/>
      <c r="AB309" s="524"/>
      <c r="AC309" s="524"/>
      <c r="AD309" s="524"/>
      <c r="AE309" s="524"/>
      <c r="AF309" s="524"/>
      <c r="AG309" s="524"/>
      <c r="AH309" s="524"/>
    </row>
    <row r="310" spans="1:34" ht="13.5">
      <c r="A310" s="524"/>
      <c r="B310" s="524"/>
      <c r="C310" s="524"/>
      <c r="D310" s="524"/>
      <c r="E310" s="524"/>
      <c r="F310" s="524"/>
      <c r="G310" s="524"/>
      <c r="H310" s="524"/>
      <c r="I310" s="524"/>
      <c r="J310" s="524"/>
      <c r="K310" s="524"/>
      <c r="L310" s="524"/>
      <c r="M310" s="524"/>
      <c r="N310" s="524"/>
      <c r="O310" s="524"/>
      <c r="P310" s="524"/>
      <c r="Q310" s="524"/>
      <c r="R310" s="524"/>
      <c r="S310" s="524"/>
      <c r="T310" s="524"/>
      <c r="U310" s="524"/>
      <c r="V310" s="524"/>
      <c r="W310" s="524"/>
      <c r="X310" s="524"/>
      <c r="Y310" s="524"/>
      <c r="Z310" s="524"/>
      <c r="AA310" s="524"/>
      <c r="AB310" s="524"/>
      <c r="AC310" s="524"/>
      <c r="AD310" s="524"/>
      <c r="AE310" s="524"/>
      <c r="AF310" s="524"/>
      <c r="AG310" s="524"/>
      <c r="AH310" s="524"/>
    </row>
    <row r="311" spans="1:34" ht="13.5">
      <c r="A311" s="524"/>
      <c r="B311" s="524"/>
      <c r="C311" s="524"/>
      <c r="D311" s="524"/>
      <c r="E311" s="524"/>
      <c r="F311" s="524"/>
      <c r="G311" s="524"/>
      <c r="H311" s="524"/>
      <c r="I311" s="524"/>
      <c r="J311" s="524"/>
      <c r="K311" s="524"/>
      <c r="L311" s="524"/>
      <c r="M311" s="524"/>
      <c r="N311" s="524"/>
      <c r="O311" s="524"/>
      <c r="P311" s="524"/>
      <c r="Q311" s="524"/>
      <c r="R311" s="524"/>
      <c r="S311" s="524"/>
      <c r="T311" s="524"/>
      <c r="U311" s="524"/>
      <c r="V311" s="524"/>
      <c r="W311" s="524"/>
      <c r="X311" s="524"/>
      <c r="Y311" s="524"/>
      <c r="Z311" s="524"/>
      <c r="AA311" s="524"/>
      <c r="AB311" s="524"/>
      <c r="AC311" s="524"/>
      <c r="AD311" s="524"/>
      <c r="AE311" s="524"/>
      <c r="AF311" s="524"/>
      <c r="AG311" s="524"/>
      <c r="AH311" s="524"/>
    </row>
    <row r="312" spans="1:34" ht="13.5">
      <c r="A312" s="524"/>
      <c r="B312" s="524"/>
      <c r="C312" s="524"/>
      <c r="D312" s="524"/>
      <c r="E312" s="524"/>
      <c r="F312" s="524"/>
      <c r="G312" s="524"/>
      <c r="H312" s="524"/>
      <c r="I312" s="524"/>
      <c r="J312" s="524"/>
      <c r="K312" s="524"/>
      <c r="L312" s="524"/>
      <c r="M312" s="524"/>
      <c r="N312" s="524"/>
      <c r="O312" s="524"/>
      <c r="P312" s="524"/>
      <c r="Q312" s="524"/>
      <c r="R312" s="524"/>
      <c r="S312" s="524"/>
      <c r="T312" s="524"/>
      <c r="U312" s="524"/>
      <c r="V312" s="524"/>
      <c r="W312" s="524"/>
      <c r="X312" s="524"/>
      <c r="Y312" s="524"/>
      <c r="Z312" s="524"/>
      <c r="AA312" s="524"/>
      <c r="AB312" s="524"/>
      <c r="AC312" s="524"/>
      <c r="AD312" s="524"/>
      <c r="AE312" s="524"/>
      <c r="AF312" s="524"/>
      <c r="AG312" s="524"/>
      <c r="AH312" s="524"/>
    </row>
    <row r="313" spans="1:34" ht="13.5">
      <c r="A313" s="524"/>
      <c r="B313" s="524"/>
      <c r="C313" s="524"/>
      <c r="D313" s="524"/>
      <c r="E313" s="524"/>
      <c r="F313" s="524"/>
      <c r="G313" s="524"/>
      <c r="H313" s="524"/>
      <c r="I313" s="524"/>
      <c r="J313" s="524"/>
      <c r="K313" s="524"/>
      <c r="L313" s="524"/>
      <c r="M313" s="524"/>
      <c r="N313" s="524"/>
      <c r="O313" s="524"/>
      <c r="P313" s="524"/>
      <c r="Q313" s="524"/>
      <c r="R313" s="524"/>
      <c r="S313" s="524"/>
      <c r="T313" s="524"/>
      <c r="U313" s="524"/>
      <c r="V313" s="524"/>
      <c r="W313" s="524"/>
      <c r="X313" s="524"/>
      <c r="Y313" s="524"/>
      <c r="Z313" s="524"/>
      <c r="AA313" s="524"/>
      <c r="AB313" s="524"/>
      <c r="AC313" s="524"/>
      <c r="AD313" s="524"/>
      <c r="AE313" s="524"/>
      <c r="AF313" s="524"/>
      <c r="AG313" s="524"/>
      <c r="AH313" s="524"/>
    </row>
    <row r="314" spans="1:34" ht="13.5">
      <c r="A314" s="524"/>
      <c r="B314" s="524"/>
      <c r="C314" s="524"/>
      <c r="D314" s="524"/>
      <c r="E314" s="524"/>
      <c r="F314" s="524"/>
      <c r="G314" s="524"/>
      <c r="H314" s="524"/>
      <c r="I314" s="524"/>
      <c r="J314" s="524"/>
      <c r="K314" s="524"/>
      <c r="L314" s="524"/>
      <c r="M314" s="524"/>
      <c r="N314" s="524"/>
      <c r="O314" s="524"/>
      <c r="P314" s="524"/>
      <c r="Q314" s="524"/>
      <c r="R314" s="524"/>
      <c r="S314" s="524"/>
      <c r="T314" s="524"/>
      <c r="U314" s="524"/>
      <c r="V314" s="524"/>
      <c r="W314" s="524"/>
      <c r="X314" s="524"/>
      <c r="Y314" s="524"/>
      <c r="Z314" s="524"/>
      <c r="AA314" s="524"/>
      <c r="AB314" s="524"/>
      <c r="AC314" s="524"/>
      <c r="AD314" s="524"/>
      <c r="AE314" s="524"/>
      <c r="AF314" s="524"/>
      <c r="AG314" s="524"/>
      <c r="AH314" s="524"/>
    </row>
    <row r="315" spans="1:34" ht="13.5">
      <c r="A315" s="524"/>
      <c r="B315" s="524"/>
      <c r="C315" s="524"/>
      <c r="D315" s="524"/>
      <c r="E315" s="524"/>
      <c r="F315" s="524"/>
      <c r="G315" s="524"/>
      <c r="H315" s="524"/>
      <c r="I315" s="524"/>
      <c r="J315" s="524"/>
      <c r="K315" s="524"/>
      <c r="L315" s="524"/>
      <c r="M315" s="524"/>
      <c r="N315" s="524"/>
      <c r="O315" s="524"/>
      <c r="P315" s="524"/>
      <c r="Q315" s="524"/>
      <c r="R315" s="524"/>
      <c r="S315" s="524"/>
      <c r="T315" s="524"/>
      <c r="U315" s="524"/>
      <c r="V315" s="524"/>
      <c r="W315" s="524"/>
      <c r="X315" s="524"/>
      <c r="Y315" s="524"/>
      <c r="Z315" s="524"/>
      <c r="AA315" s="524"/>
      <c r="AB315" s="524"/>
      <c r="AC315" s="524"/>
      <c r="AD315" s="524"/>
      <c r="AE315" s="524"/>
      <c r="AF315" s="524"/>
      <c r="AG315" s="524"/>
      <c r="AH315" s="524"/>
    </row>
    <row r="316" spans="1:34" ht="13.5">
      <c r="A316" s="524"/>
      <c r="B316" s="524"/>
      <c r="C316" s="524"/>
      <c r="D316" s="524"/>
      <c r="E316" s="524"/>
      <c r="F316" s="524"/>
      <c r="G316" s="524"/>
      <c r="H316" s="524"/>
      <c r="I316" s="524"/>
      <c r="J316" s="524"/>
      <c r="K316" s="524"/>
      <c r="L316" s="524"/>
      <c r="M316" s="524"/>
      <c r="N316" s="524"/>
      <c r="O316" s="524"/>
      <c r="P316" s="524"/>
      <c r="Q316" s="524"/>
      <c r="R316" s="524"/>
      <c r="S316" s="524"/>
      <c r="T316" s="524"/>
      <c r="U316" s="524"/>
      <c r="V316" s="524"/>
      <c r="W316" s="524"/>
      <c r="X316" s="524"/>
      <c r="Y316" s="524"/>
      <c r="Z316" s="524"/>
      <c r="AA316" s="524"/>
      <c r="AB316" s="524"/>
      <c r="AC316" s="524"/>
      <c r="AD316" s="524"/>
      <c r="AE316" s="524"/>
      <c r="AF316" s="524"/>
      <c r="AG316" s="524"/>
      <c r="AH316" s="524"/>
    </row>
    <row r="317" spans="1:34" ht="13.5">
      <c r="A317" s="524"/>
      <c r="B317" s="524"/>
      <c r="C317" s="524"/>
      <c r="D317" s="524"/>
      <c r="E317" s="524"/>
      <c r="F317" s="524"/>
      <c r="G317" s="524"/>
      <c r="H317" s="524"/>
      <c r="I317" s="524"/>
      <c r="J317" s="524"/>
      <c r="K317" s="524"/>
      <c r="L317" s="524"/>
      <c r="M317" s="524"/>
      <c r="N317" s="524"/>
      <c r="O317" s="524"/>
      <c r="P317" s="524"/>
      <c r="Q317" s="524"/>
      <c r="R317" s="524"/>
      <c r="S317" s="524"/>
      <c r="T317" s="524"/>
      <c r="U317" s="524"/>
      <c r="V317" s="524"/>
      <c r="W317" s="524"/>
      <c r="X317" s="524"/>
      <c r="Y317" s="524"/>
      <c r="Z317" s="524"/>
      <c r="AA317" s="524"/>
      <c r="AB317" s="524"/>
      <c r="AC317" s="524"/>
      <c r="AD317" s="524"/>
      <c r="AE317" s="524"/>
      <c r="AF317" s="524"/>
      <c r="AG317" s="524"/>
      <c r="AH317" s="524"/>
    </row>
    <row r="318" spans="1:34" ht="13.5">
      <c r="A318" s="524"/>
      <c r="B318" s="524"/>
      <c r="C318" s="524"/>
      <c r="D318" s="524"/>
      <c r="E318" s="524"/>
      <c r="F318" s="524"/>
      <c r="G318" s="524"/>
      <c r="H318" s="524"/>
      <c r="I318" s="524"/>
      <c r="J318" s="524"/>
      <c r="K318" s="524"/>
      <c r="L318" s="524"/>
      <c r="M318" s="524"/>
      <c r="N318" s="524"/>
      <c r="O318" s="524"/>
      <c r="P318" s="524"/>
      <c r="Q318" s="524"/>
      <c r="R318" s="524"/>
      <c r="S318" s="524"/>
      <c r="T318" s="524"/>
      <c r="U318" s="524"/>
      <c r="V318" s="524"/>
      <c r="W318" s="524"/>
      <c r="X318" s="524"/>
      <c r="Y318" s="524"/>
      <c r="Z318" s="524"/>
      <c r="AA318" s="524"/>
      <c r="AB318" s="524"/>
      <c r="AC318" s="524"/>
      <c r="AD318" s="524"/>
      <c r="AE318" s="524"/>
      <c r="AF318" s="524"/>
      <c r="AG318" s="524"/>
      <c r="AH318" s="524"/>
    </row>
    <row r="319" spans="1:34" ht="13.5">
      <c r="A319" s="524"/>
      <c r="B319" s="524"/>
      <c r="C319" s="524"/>
      <c r="D319" s="524"/>
      <c r="E319" s="524"/>
      <c r="F319" s="524"/>
      <c r="G319" s="524"/>
      <c r="H319" s="524"/>
      <c r="I319" s="524"/>
      <c r="J319" s="524"/>
      <c r="K319" s="524"/>
      <c r="L319" s="524"/>
      <c r="M319" s="524"/>
      <c r="N319" s="524"/>
      <c r="O319" s="524"/>
      <c r="P319" s="524"/>
      <c r="Q319" s="524"/>
      <c r="R319" s="524"/>
      <c r="S319" s="524"/>
      <c r="T319" s="524"/>
      <c r="U319" s="524"/>
      <c r="V319" s="524"/>
      <c r="W319" s="524"/>
      <c r="X319" s="524"/>
      <c r="Y319" s="524"/>
      <c r="Z319" s="524"/>
      <c r="AA319" s="524"/>
      <c r="AB319" s="524"/>
      <c r="AC319" s="524"/>
      <c r="AD319" s="524"/>
      <c r="AE319" s="524"/>
      <c r="AF319" s="524"/>
      <c r="AG319" s="524"/>
      <c r="AH319" s="524"/>
    </row>
    <row r="320" spans="1:34" ht="13.5">
      <c r="A320" s="524"/>
      <c r="B320" s="524"/>
      <c r="C320" s="524"/>
      <c r="D320" s="524"/>
      <c r="E320" s="524"/>
      <c r="F320" s="524"/>
      <c r="G320" s="524"/>
      <c r="H320" s="524"/>
      <c r="I320" s="524"/>
      <c r="J320" s="524"/>
      <c r="K320" s="524"/>
      <c r="L320" s="524"/>
      <c r="M320" s="524"/>
      <c r="N320" s="524"/>
      <c r="O320" s="524"/>
      <c r="P320" s="524"/>
      <c r="Q320" s="524"/>
      <c r="R320" s="524"/>
      <c r="S320" s="524"/>
      <c r="T320" s="524"/>
      <c r="U320" s="524"/>
      <c r="V320" s="524"/>
      <c r="W320" s="524"/>
      <c r="X320" s="524"/>
      <c r="Y320" s="524"/>
      <c r="Z320" s="524"/>
      <c r="AA320" s="524"/>
      <c r="AB320" s="524"/>
      <c r="AC320" s="524"/>
      <c r="AD320" s="524"/>
      <c r="AE320" s="524"/>
      <c r="AF320" s="524"/>
      <c r="AG320" s="524"/>
      <c r="AH320" s="524"/>
    </row>
    <row r="321" spans="1:34" ht="13.5">
      <c r="A321" s="524"/>
      <c r="B321" s="524"/>
      <c r="C321" s="524"/>
      <c r="D321" s="524"/>
      <c r="E321" s="524"/>
      <c r="F321" s="524"/>
      <c r="G321" s="524"/>
      <c r="H321" s="524"/>
      <c r="I321" s="524"/>
      <c r="J321" s="524"/>
      <c r="K321" s="524"/>
      <c r="L321" s="524"/>
      <c r="M321" s="524"/>
      <c r="N321" s="524"/>
      <c r="O321" s="524"/>
      <c r="P321" s="524"/>
      <c r="Q321" s="524"/>
      <c r="R321" s="524"/>
      <c r="S321" s="524"/>
      <c r="T321" s="524"/>
      <c r="U321" s="524"/>
      <c r="V321" s="524"/>
      <c r="W321" s="524"/>
      <c r="X321" s="524"/>
      <c r="Y321" s="524"/>
      <c r="Z321" s="524"/>
      <c r="AA321" s="524"/>
      <c r="AB321" s="524"/>
      <c r="AC321" s="524"/>
      <c r="AD321" s="524"/>
      <c r="AE321" s="524"/>
      <c r="AF321" s="524"/>
      <c r="AG321" s="524"/>
      <c r="AH321" s="524"/>
    </row>
    <row r="322" spans="1:34" ht="13.5">
      <c r="A322" s="524"/>
      <c r="B322" s="524"/>
      <c r="C322" s="524"/>
      <c r="D322" s="524"/>
      <c r="E322" s="524"/>
      <c r="F322" s="524"/>
      <c r="G322" s="524"/>
      <c r="H322" s="524"/>
      <c r="I322" s="524"/>
      <c r="J322" s="524"/>
      <c r="K322" s="524"/>
      <c r="L322" s="524"/>
      <c r="M322" s="524"/>
      <c r="N322" s="524"/>
      <c r="O322" s="524"/>
      <c r="P322" s="524"/>
      <c r="Q322" s="524"/>
      <c r="R322" s="524"/>
      <c r="S322" s="524"/>
      <c r="T322" s="524"/>
      <c r="U322" s="524"/>
      <c r="V322" s="524"/>
      <c r="W322" s="524"/>
      <c r="X322" s="524"/>
      <c r="Y322" s="524"/>
      <c r="Z322" s="524"/>
      <c r="AA322" s="524"/>
      <c r="AB322" s="524"/>
      <c r="AC322" s="524"/>
      <c r="AD322" s="524"/>
      <c r="AE322" s="524"/>
      <c r="AF322" s="524"/>
      <c r="AG322" s="524"/>
      <c r="AH322" s="524"/>
    </row>
    <row r="323" spans="1:34" ht="13.5">
      <c r="A323" s="524"/>
      <c r="B323" s="524"/>
      <c r="C323" s="524"/>
      <c r="D323" s="524"/>
      <c r="E323" s="524"/>
      <c r="F323" s="524"/>
      <c r="G323" s="524"/>
      <c r="H323" s="524"/>
      <c r="I323" s="524"/>
      <c r="J323" s="524"/>
      <c r="K323" s="524"/>
      <c r="L323" s="524"/>
      <c r="M323" s="524"/>
      <c r="N323" s="524"/>
      <c r="O323" s="524"/>
      <c r="P323" s="524"/>
      <c r="Q323" s="524"/>
      <c r="R323" s="524"/>
      <c r="S323" s="524"/>
      <c r="T323" s="524"/>
      <c r="U323" s="524"/>
      <c r="V323" s="524"/>
      <c r="W323" s="524"/>
      <c r="X323" s="524"/>
      <c r="Y323" s="524"/>
      <c r="Z323" s="524"/>
      <c r="AA323" s="524"/>
      <c r="AB323" s="524"/>
      <c r="AC323" s="524"/>
      <c r="AD323" s="524"/>
      <c r="AE323" s="524"/>
      <c r="AF323" s="524"/>
      <c r="AG323" s="524"/>
      <c r="AH323" s="524"/>
    </row>
    <row r="324" spans="1:34" ht="13.5">
      <c r="A324" s="524"/>
      <c r="B324" s="524"/>
      <c r="C324" s="524"/>
      <c r="D324" s="524"/>
      <c r="E324" s="524"/>
      <c r="F324" s="524"/>
      <c r="G324" s="524"/>
      <c r="H324" s="524"/>
      <c r="I324" s="524"/>
      <c r="J324" s="524"/>
      <c r="K324" s="524"/>
      <c r="L324" s="524"/>
      <c r="M324" s="524"/>
      <c r="N324" s="524"/>
      <c r="O324" s="524"/>
      <c r="P324" s="524"/>
      <c r="Q324" s="524"/>
      <c r="R324" s="524"/>
      <c r="S324" s="524"/>
      <c r="T324" s="524"/>
      <c r="U324" s="524"/>
      <c r="V324" s="524"/>
      <c r="W324" s="524"/>
      <c r="X324" s="524"/>
      <c r="Y324" s="524"/>
      <c r="Z324" s="524"/>
      <c r="AA324" s="524"/>
      <c r="AB324" s="524"/>
      <c r="AC324" s="524"/>
      <c r="AD324" s="524"/>
      <c r="AE324" s="524"/>
      <c r="AF324" s="524"/>
      <c r="AG324" s="524"/>
      <c r="AH324" s="524"/>
    </row>
    <row r="325" spans="1:34" ht="13.5">
      <c r="A325" s="524"/>
      <c r="B325" s="524"/>
      <c r="C325" s="524"/>
      <c r="D325" s="524"/>
      <c r="E325" s="524"/>
      <c r="F325" s="524"/>
      <c r="G325" s="524"/>
      <c r="H325" s="524"/>
      <c r="I325" s="524"/>
      <c r="J325" s="524"/>
      <c r="K325" s="524"/>
      <c r="L325" s="524"/>
      <c r="M325" s="524"/>
      <c r="N325" s="524"/>
      <c r="O325" s="524"/>
      <c r="P325" s="524"/>
      <c r="Q325" s="524"/>
      <c r="R325" s="524"/>
      <c r="S325" s="524"/>
      <c r="T325" s="524"/>
      <c r="U325" s="524"/>
      <c r="V325" s="524"/>
      <c r="W325" s="524"/>
      <c r="X325" s="524"/>
      <c r="Y325" s="524"/>
      <c r="Z325" s="524"/>
      <c r="AA325" s="524"/>
      <c r="AB325" s="524"/>
      <c r="AC325" s="524"/>
      <c r="AD325" s="524"/>
      <c r="AE325" s="524"/>
      <c r="AF325" s="524"/>
      <c r="AG325" s="524"/>
      <c r="AH325" s="524"/>
    </row>
    <row r="326" spans="1:34" ht="13.5">
      <c r="A326" s="524"/>
      <c r="B326" s="524"/>
      <c r="C326" s="524"/>
      <c r="D326" s="524"/>
      <c r="E326" s="524"/>
      <c r="F326" s="524"/>
      <c r="G326" s="524"/>
      <c r="H326" s="524"/>
      <c r="I326" s="524"/>
      <c r="J326" s="524"/>
      <c r="K326" s="524"/>
      <c r="L326" s="524"/>
      <c r="M326" s="524"/>
      <c r="N326" s="524"/>
      <c r="O326" s="524"/>
      <c r="P326" s="524"/>
      <c r="Q326" s="524"/>
      <c r="R326" s="524"/>
      <c r="S326" s="524"/>
      <c r="T326" s="524"/>
      <c r="U326" s="524"/>
      <c r="V326" s="524"/>
      <c r="W326" s="524"/>
      <c r="X326" s="524"/>
      <c r="Y326" s="524"/>
      <c r="Z326" s="524"/>
      <c r="AA326" s="524"/>
      <c r="AB326" s="524"/>
      <c r="AC326" s="524"/>
      <c r="AD326" s="524"/>
      <c r="AE326" s="524"/>
      <c r="AF326" s="524"/>
      <c r="AG326" s="524"/>
      <c r="AH326" s="524"/>
    </row>
    <row r="327" spans="1:34" ht="13.5">
      <c r="A327" s="524"/>
      <c r="B327" s="524"/>
      <c r="C327" s="524"/>
      <c r="D327" s="524"/>
      <c r="E327" s="524"/>
      <c r="F327" s="524"/>
      <c r="G327" s="524"/>
      <c r="H327" s="524"/>
      <c r="I327" s="524"/>
      <c r="J327" s="524"/>
      <c r="K327" s="524"/>
      <c r="L327" s="524"/>
      <c r="M327" s="524"/>
      <c r="N327" s="524"/>
      <c r="O327" s="524"/>
      <c r="P327" s="524"/>
      <c r="Q327" s="524"/>
      <c r="R327" s="524"/>
      <c r="S327" s="524"/>
      <c r="T327" s="524"/>
      <c r="U327" s="524"/>
      <c r="V327" s="524"/>
      <c r="W327" s="524"/>
      <c r="X327" s="524"/>
      <c r="Y327" s="524"/>
      <c r="Z327" s="524"/>
      <c r="AA327" s="524"/>
      <c r="AB327" s="524"/>
      <c r="AC327" s="524"/>
      <c r="AD327" s="524"/>
      <c r="AE327" s="524"/>
      <c r="AF327" s="524"/>
      <c r="AG327" s="524"/>
      <c r="AH327" s="524"/>
    </row>
    <row r="328" spans="1:34" ht="13.5">
      <c r="A328" s="524"/>
      <c r="B328" s="524"/>
      <c r="C328" s="524"/>
      <c r="D328" s="524"/>
      <c r="E328" s="524"/>
      <c r="F328" s="524"/>
      <c r="G328" s="524"/>
      <c r="H328" s="524"/>
      <c r="I328" s="524"/>
      <c r="J328" s="524"/>
      <c r="K328" s="524"/>
      <c r="L328" s="524"/>
      <c r="M328" s="524"/>
      <c r="N328" s="524"/>
      <c r="O328" s="524"/>
      <c r="P328" s="524"/>
      <c r="Q328" s="524"/>
      <c r="R328" s="524"/>
      <c r="S328" s="524"/>
      <c r="T328" s="524"/>
      <c r="U328" s="524"/>
      <c r="V328" s="524"/>
      <c r="W328" s="524"/>
      <c r="X328" s="524"/>
      <c r="Y328" s="524"/>
      <c r="Z328" s="524"/>
      <c r="AA328" s="524"/>
      <c r="AB328" s="524"/>
      <c r="AC328" s="524"/>
      <c r="AD328" s="524"/>
      <c r="AE328" s="524"/>
      <c r="AF328" s="524"/>
      <c r="AG328" s="524"/>
      <c r="AH328" s="524"/>
    </row>
    <row r="329" spans="1:34" ht="13.5">
      <c r="A329" s="524"/>
      <c r="B329" s="524"/>
      <c r="C329" s="524"/>
      <c r="D329" s="524"/>
      <c r="E329" s="524"/>
      <c r="F329" s="524"/>
      <c r="G329" s="524"/>
      <c r="H329" s="524"/>
      <c r="I329" s="524"/>
      <c r="J329" s="524"/>
      <c r="K329" s="524"/>
      <c r="L329" s="524"/>
      <c r="M329" s="524"/>
      <c r="N329" s="524"/>
      <c r="O329" s="524"/>
      <c r="P329" s="524"/>
      <c r="Q329" s="524"/>
      <c r="R329" s="524"/>
      <c r="S329" s="524"/>
      <c r="T329" s="524"/>
      <c r="U329" s="524"/>
      <c r="V329" s="524"/>
      <c r="W329" s="524"/>
      <c r="X329" s="524"/>
      <c r="Y329" s="524"/>
      <c r="Z329" s="524"/>
      <c r="AA329" s="524"/>
      <c r="AB329" s="524"/>
      <c r="AC329" s="524"/>
      <c r="AD329" s="524"/>
      <c r="AE329" s="524"/>
      <c r="AF329" s="524"/>
      <c r="AG329" s="524"/>
      <c r="AH329" s="524"/>
    </row>
    <row r="330" spans="1:34" ht="13.5">
      <c r="A330" s="524"/>
      <c r="B330" s="524"/>
      <c r="C330" s="524"/>
      <c r="D330" s="524"/>
      <c r="E330" s="524"/>
      <c r="F330" s="524"/>
      <c r="G330" s="524"/>
      <c r="H330" s="524"/>
      <c r="I330" s="524"/>
      <c r="J330" s="524"/>
      <c r="K330" s="524"/>
      <c r="L330" s="524"/>
      <c r="M330" s="524"/>
      <c r="N330" s="524"/>
      <c r="O330" s="524"/>
      <c r="P330" s="524"/>
      <c r="Q330" s="524"/>
      <c r="R330" s="524"/>
      <c r="S330" s="524"/>
      <c r="T330" s="524"/>
      <c r="U330" s="524"/>
      <c r="V330" s="524"/>
      <c r="W330" s="524"/>
      <c r="X330" s="524"/>
      <c r="Y330" s="524"/>
      <c r="Z330" s="524"/>
      <c r="AA330" s="524"/>
      <c r="AB330" s="524"/>
      <c r="AC330" s="524"/>
      <c r="AD330" s="524"/>
      <c r="AE330" s="524"/>
      <c r="AF330" s="524"/>
      <c r="AG330" s="524"/>
      <c r="AH330" s="524"/>
    </row>
    <row r="331" spans="1:34" ht="13.5">
      <c r="A331" s="524"/>
      <c r="B331" s="524"/>
      <c r="C331" s="524"/>
      <c r="D331" s="524"/>
      <c r="E331" s="524"/>
      <c r="F331" s="524"/>
      <c r="G331" s="524"/>
      <c r="H331" s="524"/>
      <c r="I331" s="524"/>
      <c r="J331" s="524"/>
      <c r="K331" s="524"/>
      <c r="L331" s="524"/>
      <c r="M331" s="524"/>
      <c r="N331" s="524"/>
      <c r="O331" s="524"/>
      <c r="P331" s="524"/>
      <c r="Q331" s="524"/>
      <c r="R331" s="524"/>
      <c r="S331" s="524"/>
      <c r="T331" s="524"/>
      <c r="U331" s="524"/>
      <c r="V331" s="524"/>
      <c r="W331" s="524"/>
      <c r="X331" s="524"/>
      <c r="Y331" s="524"/>
      <c r="Z331" s="524"/>
      <c r="AA331" s="524"/>
      <c r="AB331" s="524"/>
      <c r="AC331" s="524"/>
      <c r="AD331" s="524"/>
      <c r="AE331" s="524"/>
      <c r="AF331" s="524"/>
      <c r="AG331" s="524"/>
      <c r="AH331" s="524"/>
    </row>
    <row r="332" spans="1:34" ht="13.5">
      <c r="A332" s="524"/>
      <c r="B332" s="524"/>
      <c r="C332" s="524"/>
      <c r="D332" s="524"/>
      <c r="E332" s="524"/>
      <c r="F332" s="524"/>
      <c r="G332" s="524"/>
      <c r="H332" s="524"/>
      <c r="I332" s="524"/>
      <c r="J332" s="524"/>
      <c r="K332" s="524"/>
      <c r="L332" s="524"/>
      <c r="M332" s="524"/>
      <c r="N332" s="524"/>
      <c r="O332" s="524"/>
      <c r="P332" s="524"/>
      <c r="Q332" s="524"/>
      <c r="R332" s="524"/>
      <c r="S332" s="524"/>
      <c r="T332" s="524"/>
      <c r="U332" s="524"/>
      <c r="V332" s="524"/>
      <c r="W332" s="524"/>
      <c r="X332" s="524"/>
      <c r="Y332" s="524"/>
      <c r="Z332" s="524"/>
      <c r="AA332" s="524"/>
      <c r="AB332" s="524"/>
      <c r="AC332" s="524"/>
      <c r="AD332" s="524"/>
      <c r="AE332" s="524"/>
      <c r="AF332" s="524"/>
      <c r="AG332" s="524"/>
      <c r="AH332" s="524"/>
    </row>
    <row r="333" spans="1:34" ht="13.5">
      <c r="A333" s="524"/>
      <c r="B333" s="524"/>
      <c r="C333" s="524"/>
      <c r="D333" s="524"/>
      <c r="E333" s="524"/>
      <c r="F333" s="524"/>
      <c r="G333" s="524"/>
      <c r="H333" s="524"/>
      <c r="I333" s="524"/>
      <c r="J333" s="524"/>
      <c r="K333" s="524"/>
      <c r="L333" s="524"/>
      <c r="M333" s="524"/>
      <c r="N333" s="524"/>
      <c r="O333" s="524"/>
      <c r="P333" s="524"/>
      <c r="Q333" s="524"/>
      <c r="R333" s="524"/>
      <c r="S333" s="524"/>
      <c r="T333" s="524"/>
      <c r="U333" s="524"/>
      <c r="V333" s="524"/>
      <c r="W333" s="524"/>
      <c r="X333" s="524"/>
      <c r="Y333" s="524"/>
      <c r="Z333" s="524"/>
      <c r="AA333" s="524"/>
      <c r="AB333" s="524"/>
      <c r="AC333" s="524"/>
      <c r="AD333" s="524"/>
      <c r="AE333" s="524"/>
      <c r="AF333" s="524"/>
      <c r="AG333" s="524"/>
      <c r="AH333" s="524"/>
    </row>
    <row r="334" spans="1:34" ht="13.5">
      <c r="A334" s="524"/>
      <c r="B334" s="524"/>
      <c r="C334" s="524"/>
      <c r="D334" s="524"/>
      <c r="E334" s="524"/>
      <c r="F334" s="524"/>
      <c r="G334" s="524"/>
      <c r="H334" s="524"/>
      <c r="I334" s="524"/>
      <c r="J334" s="524"/>
      <c r="K334" s="524"/>
      <c r="L334" s="524"/>
      <c r="M334" s="524"/>
      <c r="N334" s="524"/>
      <c r="O334" s="524"/>
      <c r="P334" s="524"/>
      <c r="Q334" s="524"/>
      <c r="R334" s="524"/>
      <c r="S334" s="524"/>
      <c r="T334" s="524"/>
      <c r="U334" s="524"/>
      <c r="V334" s="524"/>
      <c r="W334" s="524"/>
      <c r="X334" s="524"/>
      <c r="Y334" s="524"/>
      <c r="Z334" s="524"/>
      <c r="AA334" s="524"/>
      <c r="AB334" s="524"/>
      <c r="AC334" s="524"/>
      <c r="AD334" s="524"/>
      <c r="AE334" s="524"/>
      <c r="AF334" s="524"/>
      <c r="AG334" s="524"/>
      <c r="AH334" s="524"/>
    </row>
    <row r="335" spans="1:34" ht="13.5">
      <c r="A335" s="524"/>
      <c r="B335" s="524"/>
      <c r="C335" s="524"/>
      <c r="D335" s="524"/>
      <c r="E335" s="524"/>
      <c r="F335" s="524"/>
      <c r="G335" s="524"/>
      <c r="H335" s="524"/>
      <c r="I335" s="524"/>
      <c r="J335" s="524"/>
      <c r="K335" s="524"/>
      <c r="L335" s="524"/>
      <c r="M335" s="524"/>
      <c r="N335" s="524"/>
      <c r="O335" s="524"/>
      <c r="P335" s="524"/>
      <c r="Q335" s="524"/>
      <c r="R335" s="524"/>
      <c r="S335" s="524"/>
      <c r="T335" s="524"/>
      <c r="U335" s="524"/>
      <c r="V335" s="524"/>
      <c r="W335" s="524"/>
      <c r="X335" s="524"/>
      <c r="Y335" s="524"/>
      <c r="Z335" s="524"/>
      <c r="AA335" s="524"/>
      <c r="AB335" s="524"/>
      <c r="AC335" s="524"/>
      <c r="AD335" s="524"/>
      <c r="AE335" s="524"/>
      <c r="AF335" s="524"/>
      <c r="AG335" s="524"/>
      <c r="AH335" s="524"/>
    </row>
    <row r="336" spans="1:34" ht="13.5">
      <c r="A336" s="524"/>
      <c r="B336" s="524"/>
      <c r="C336" s="524"/>
      <c r="D336" s="524"/>
      <c r="E336" s="524"/>
      <c r="F336" s="524"/>
      <c r="G336" s="524"/>
      <c r="H336" s="524"/>
      <c r="I336" s="524"/>
      <c r="J336" s="524"/>
      <c r="K336" s="524"/>
      <c r="L336" s="524"/>
      <c r="M336" s="524"/>
      <c r="N336" s="524"/>
      <c r="O336" s="524"/>
      <c r="P336" s="524"/>
      <c r="Q336" s="524"/>
      <c r="R336" s="524"/>
      <c r="S336" s="524"/>
      <c r="T336" s="524"/>
      <c r="U336" s="524"/>
      <c r="V336" s="524"/>
      <c r="W336" s="524"/>
      <c r="X336" s="524"/>
      <c r="Y336" s="524"/>
      <c r="Z336" s="524"/>
      <c r="AA336" s="524"/>
      <c r="AB336" s="524"/>
      <c r="AC336" s="524"/>
      <c r="AD336" s="524"/>
      <c r="AE336" s="524"/>
      <c r="AF336" s="524"/>
      <c r="AG336" s="524"/>
      <c r="AH336" s="524"/>
    </row>
    <row r="337" spans="1:34" ht="13.5">
      <c r="A337" s="524"/>
      <c r="B337" s="524"/>
      <c r="C337" s="524"/>
      <c r="D337" s="524"/>
      <c r="E337" s="524"/>
      <c r="F337" s="524"/>
      <c r="G337" s="524"/>
      <c r="H337" s="524"/>
      <c r="I337" s="524"/>
      <c r="J337" s="524"/>
      <c r="K337" s="524"/>
      <c r="L337" s="524"/>
      <c r="M337" s="524"/>
      <c r="N337" s="524"/>
      <c r="O337" s="524"/>
      <c r="P337" s="524"/>
      <c r="Q337" s="524"/>
      <c r="R337" s="524"/>
      <c r="S337" s="524"/>
      <c r="T337" s="524"/>
      <c r="U337" s="524"/>
      <c r="V337" s="524"/>
      <c r="W337" s="524"/>
      <c r="X337" s="524"/>
      <c r="Y337" s="524"/>
      <c r="Z337" s="524"/>
      <c r="AA337" s="524"/>
      <c r="AB337" s="524"/>
      <c r="AC337" s="524"/>
      <c r="AD337" s="524"/>
      <c r="AE337" s="524"/>
      <c r="AF337" s="524"/>
      <c r="AG337" s="524"/>
      <c r="AH337" s="524"/>
    </row>
    <row r="338" spans="1:34" ht="13.5">
      <c r="A338" s="524"/>
      <c r="B338" s="524"/>
      <c r="C338" s="524"/>
      <c r="D338" s="524"/>
      <c r="E338" s="524"/>
      <c r="F338" s="524"/>
      <c r="G338" s="524"/>
      <c r="H338" s="524"/>
      <c r="I338" s="524"/>
      <c r="J338" s="524"/>
      <c r="K338" s="524"/>
      <c r="L338" s="524"/>
      <c r="M338" s="524"/>
      <c r="N338" s="524"/>
      <c r="O338" s="524"/>
      <c r="P338" s="524"/>
      <c r="Q338" s="524"/>
      <c r="R338" s="524"/>
      <c r="S338" s="524"/>
      <c r="T338" s="524"/>
      <c r="U338" s="524"/>
      <c r="V338" s="524"/>
      <c r="W338" s="524"/>
      <c r="X338" s="524"/>
      <c r="Y338" s="524"/>
      <c r="Z338" s="524"/>
      <c r="AA338" s="524"/>
      <c r="AB338" s="524"/>
      <c r="AC338" s="524"/>
      <c r="AD338" s="524"/>
      <c r="AE338" s="524"/>
      <c r="AF338" s="524"/>
      <c r="AG338" s="524"/>
      <c r="AH338" s="524"/>
    </row>
    <row r="339" spans="1:34" ht="13.5">
      <c r="A339" s="524"/>
      <c r="B339" s="524"/>
      <c r="C339" s="524"/>
      <c r="D339" s="524"/>
      <c r="E339" s="524"/>
      <c r="F339" s="524"/>
      <c r="G339" s="524"/>
      <c r="H339" s="524"/>
      <c r="I339" s="524"/>
      <c r="J339" s="524"/>
      <c r="K339" s="524"/>
      <c r="L339" s="524"/>
      <c r="M339" s="524"/>
      <c r="N339" s="524"/>
      <c r="O339" s="524"/>
      <c r="P339" s="524"/>
      <c r="Q339" s="524"/>
      <c r="R339" s="524"/>
      <c r="S339" s="524"/>
      <c r="T339" s="524"/>
      <c r="U339" s="524"/>
      <c r="V339" s="524"/>
      <c r="W339" s="524"/>
      <c r="X339" s="524"/>
      <c r="Y339" s="524"/>
      <c r="Z339" s="524"/>
      <c r="AA339" s="524"/>
      <c r="AB339" s="524"/>
      <c r="AC339" s="524"/>
      <c r="AD339" s="524"/>
      <c r="AE339" s="524"/>
      <c r="AF339" s="524"/>
      <c r="AG339" s="524"/>
      <c r="AH339" s="524"/>
    </row>
    <row r="340" spans="1:34" ht="13.5">
      <c r="A340" s="524"/>
      <c r="B340" s="524"/>
      <c r="C340" s="524"/>
      <c r="D340" s="524"/>
      <c r="E340" s="524"/>
      <c r="F340" s="524"/>
      <c r="G340" s="524"/>
      <c r="H340" s="524"/>
      <c r="I340" s="524"/>
      <c r="J340" s="524"/>
      <c r="K340" s="524"/>
      <c r="L340" s="524"/>
      <c r="M340" s="524"/>
      <c r="N340" s="524"/>
      <c r="O340" s="524"/>
      <c r="P340" s="524"/>
      <c r="Q340" s="524"/>
      <c r="R340" s="524"/>
      <c r="S340" s="524"/>
      <c r="T340" s="524"/>
      <c r="U340" s="524"/>
      <c r="V340" s="524"/>
      <c r="W340" s="524"/>
      <c r="X340" s="524"/>
      <c r="Y340" s="524"/>
      <c r="Z340" s="524"/>
      <c r="AA340" s="524"/>
      <c r="AB340" s="524"/>
      <c r="AC340" s="524"/>
      <c r="AD340" s="524"/>
      <c r="AE340" s="524"/>
      <c r="AF340" s="524"/>
      <c r="AG340" s="524"/>
      <c r="AH340" s="524"/>
    </row>
    <row r="341" spans="1:34" ht="13.5">
      <c r="A341" s="524"/>
      <c r="B341" s="524"/>
      <c r="C341" s="524"/>
      <c r="D341" s="524"/>
      <c r="E341" s="524"/>
      <c r="F341" s="524"/>
      <c r="G341" s="524"/>
      <c r="H341" s="524"/>
      <c r="I341" s="524"/>
      <c r="J341" s="524"/>
      <c r="K341" s="524"/>
      <c r="L341" s="524"/>
      <c r="M341" s="524"/>
      <c r="N341" s="524"/>
      <c r="O341" s="524"/>
      <c r="P341" s="524"/>
      <c r="Q341" s="524"/>
      <c r="R341" s="524"/>
      <c r="S341" s="524"/>
      <c r="T341" s="524"/>
      <c r="U341" s="524"/>
      <c r="V341" s="524"/>
      <c r="W341" s="524"/>
      <c r="X341" s="524"/>
      <c r="Y341" s="524"/>
      <c r="Z341" s="524"/>
      <c r="AA341" s="524"/>
      <c r="AB341" s="524"/>
      <c r="AC341" s="524"/>
      <c r="AD341" s="524"/>
      <c r="AE341" s="524"/>
      <c r="AF341" s="524"/>
      <c r="AG341" s="524"/>
      <c r="AH341" s="524"/>
    </row>
    <row r="342" spans="1:34" ht="13.5">
      <c r="A342" s="524"/>
      <c r="B342" s="524"/>
      <c r="C342" s="524"/>
      <c r="D342" s="524"/>
      <c r="E342" s="524"/>
      <c r="F342" s="524"/>
      <c r="G342" s="524"/>
      <c r="H342" s="524"/>
      <c r="I342" s="524"/>
      <c r="J342" s="524"/>
      <c r="K342" s="524"/>
      <c r="L342" s="524"/>
      <c r="M342" s="524"/>
      <c r="N342" s="524"/>
      <c r="O342" s="524"/>
      <c r="P342" s="524"/>
      <c r="Q342" s="524"/>
      <c r="R342" s="524"/>
      <c r="S342" s="524"/>
      <c r="T342" s="524"/>
      <c r="U342" s="524"/>
      <c r="V342" s="524"/>
      <c r="W342" s="524"/>
      <c r="X342" s="524"/>
      <c r="Y342" s="524"/>
      <c r="Z342" s="524"/>
      <c r="AA342" s="524"/>
      <c r="AB342" s="524"/>
      <c r="AC342" s="524"/>
      <c r="AD342" s="524"/>
      <c r="AE342" s="524"/>
      <c r="AF342" s="524"/>
      <c r="AG342" s="524"/>
      <c r="AH342" s="524"/>
    </row>
    <row r="343" spans="1:34" ht="13.5">
      <c r="A343" s="524"/>
      <c r="B343" s="524"/>
      <c r="C343" s="524"/>
      <c r="D343" s="524"/>
      <c r="E343" s="524"/>
      <c r="F343" s="524"/>
      <c r="G343" s="524"/>
      <c r="H343" s="524"/>
      <c r="I343" s="524"/>
      <c r="J343" s="524"/>
      <c r="K343" s="524"/>
      <c r="L343" s="524"/>
      <c r="M343" s="524"/>
      <c r="N343" s="524"/>
      <c r="O343" s="524"/>
      <c r="P343" s="524"/>
      <c r="Q343" s="524"/>
      <c r="R343" s="524"/>
      <c r="S343" s="524"/>
      <c r="T343" s="524"/>
      <c r="U343" s="524"/>
      <c r="V343" s="524"/>
      <c r="W343" s="524"/>
      <c r="X343" s="524"/>
      <c r="Y343" s="524"/>
      <c r="Z343" s="524"/>
      <c r="AA343" s="524"/>
      <c r="AB343" s="524"/>
      <c r="AC343" s="524"/>
      <c r="AD343" s="524"/>
      <c r="AE343" s="524"/>
      <c r="AF343" s="524"/>
      <c r="AG343" s="524"/>
      <c r="AH343" s="524"/>
    </row>
    <row r="344" spans="1:34" ht="13.5">
      <c r="A344" s="524"/>
      <c r="B344" s="524"/>
      <c r="C344" s="524"/>
      <c r="D344" s="524"/>
      <c r="E344" s="524"/>
      <c r="F344" s="524"/>
      <c r="G344" s="524"/>
      <c r="H344" s="524"/>
      <c r="I344" s="524"/>
      <c r="J344" s="524"/>
      <c r="K344" s="524"/>
      <c r="L344" s="524"/>
      <c r="M344" s="524"/>
      <c r="N344" s="524"/>
      <c r="O344" s="524"/>
      <c r="P344" s="524"/>
      <c r="Q344" s="524"/>
      <c r="R344" s="524"/>
      <c r="S344" s="524"/>
      <c r="T344" s="524"/>
      <c r="U344" s="524"/>
      <c r="V344" s="524"/>
      <c r="W344" s="524"/>
      <c r="X344" s="524"/>
      <c r="Y344" s="524"/>
      <c r="Z344" s="524"/>
      <c r="AA344" s="524"/>
      <c r="AB344" s="524"/>
      <c r="AC344" s="524"/>
      <c r="AD344" s="524"/>
      <c r="AE344" s="524"/>
      <c r="AF344" s="524"/>
      <c r="AG344" s="524"/>
      <c r="AH344" s="524"/>
    </row>
    <row r="345" spans="1:34" ht="13.5">
      <c r="A345" s="524"/>
      <c r="B345" s="524"/>
      <c r="C345" s="524"/>
      <c r="D345" s="524"/>
      <c r="E345" s="524"/>
      <c r="F345" s="524"/>
      <c r="G345" s="524"/>
      <c r="H345" s="524"/>
      <c r="I345" s="524"/>
      <c r="J345" s="524"/>
      <c r="K345" s="524"/>
      <c r="L345" s="524"/>
      <c r="M345" s="524"/>
      <c r="N345" s="524"/>
      <c r="O345" s="524"/>
      <c r="P345" s="524"/>
      <c r="Q345" s="524"/>
      <c r="R345" s="524"/>
      <c r="S345" s="524"/>
      <c r="T345" s="524"/>
      <c r="U345" s="524"/>
      <c r="V345" s="524"/>
      <c r="W345" s="524"/>
      <c r="X345" s="524"/>
      <c r="Y345" s="524"/>
      <c r="Z345" s="524"/>
      <c r="AA345" s="524"/>
      <c r="AB345" s="524"/>
      <c r="AC345" s="524"/>
      <c r="AD345" s="524"/>
      <c r="AE345" s="524"/>
      <c r="AF345" s="524"/>
      <c r="AG345" s="524"/>
      <c r="AH345" s="524"/>
    </row>
    <row r="346" spans="1:34" ht="13.5">
      <c r="A346" s="524"/>
      <c r="B346" s="524"/>
      <c r="C346" s="524"/>
      <c r="D346" s="524"/>
      <c r="E346" s="524"/>
      <c r="F346" s="524"/>
      <c r="G346" s="524"/>
      <c r="H346" s="524"/>
      <c r="I346" s="524"/>
      <c r="J346" s="524"/>
      <c r="K346" s="524"/>
      <c r="L346" s="524"/>
      <c r="M346" s="524"/>
      <c r="N346" s="524"/>
      <c r="O346" s="524"/>
      <c r="P346" s="524"/>
      <c r="Q346" s="524"/>
      <c r="R346" s="524"/>
      <c r="S346" s="524"/>
      <c r="T346" s="524"/>
      <c r="U346" s="524"/>
      <c r="V346" s="524"/>
      <c r="W346" s="524"/>
      <c r="X346" s="524"/>
      <c r="Y346" s="524"/>
      <c r="Z346" s="524"/>
      <c r="AA346" s="524"/>
      <c r="AB346" s="524"/>
      <c r="AC346" s="524"/>
      <c r="AD346" s="524"/>
      <c r="AE346" s="524"/>
      <c r="AF346" s="524"/>
      <c r="AG346" s="524"/>
      <c r="AH346" s="524"/>
    </row>
    <row r="347" spans="1:34" ht="13.5">
      <c r="A347" s="524"/>
      <c r="B347" s="524"/>
      <c r="C347" s="524"/>
      <c r="D347" s="524"/>
      <c r="E347" s="524"/>
      <c r="F347" s="524"/>
      <c r="G347" s="524"/>
      <c r="H347" s="524"/>
      <c r="I347" s="524"/>
      <c r="J347" s="524"/>
      <c r="K347" s="524"/>
      <c r="L347" s="524"/>
      <c r="M347" s="524"/>
      <c r="N347" s="524"/>
      <c r="O347" s="524"/>
      <c r="P347" s="524"/>
      <c r="Q347" s="524"/>
      <c r="R347" s="524"/>
      <c r="S347" s="524"/>
      <c r="T347" s="524"/>
      <c r="U347" s="524"/>
      <c r="V347" s="524"/>
      <c r="W347" s="524"/>
      <c r="X347" s="524"/>
      <c r="Y347" s="524"/>
      <c r="Z347" s="524"/>
      <c r="AA347" s="524"/>
      <c r="AB347" s="524"/>
      <c r="AC347" s="524"/>
      <c r="AD347" s="524"/>
      <c r="AE347" s="524"/>
      <c r="AF347" s="524"/>
      <c r="AG347" s="524"/>
      <c r="AH347" s="524"/>
    </row>
    <row r="348" spans="1:34" ht="13.5">
      <c r="A348" s="524"/>
      <c r="B348" s="524"/>
      <c r="C348" s="524"/>
      <c r="D348" s="524"/>
      <c r="E348" s="524"/>
      <c r="F348" s="524"/>
      <c r="G348" s="524"/>
      <c r="H348" s="524"/>
      <c r="I348" s="524"/>
      <c r="J348" s="524"/>
      <c r="K348" s="524"/>
      <c r="L348" s="524"/>
      <c r="M348" s="524"/>
      <c r="N348" s="524"/>
      <c r="O348" s="524"/>
      <c r="P348" s="524"/>
      <c r="Q348" s="524"/>
      <c r="R348" s="524"/>
      <c r="S348" s="524"/>
      <c r="T348" s="524"/>
      <c r="U348" s="524"/>
      <c r="V348" s="524"/>
      <c r="W348" s="524"/>
      <c r="X348" s="524"/>
      <c r="Y348" s="524"/>
      <c r="Z348" s="524"/>
      <c r="AA348" s="524"/>
      <c r="AB348" s="524"/>
      <c r="AC348" s="524"/>
      <c r="AD348" s="524"/>
      <c r="AE348" s="524"/>
      <c r="AF348" s="524"/>
      <c r="AG348" s="524"/>
      <c r="AH348" s="524"/>
    </row>
    <row r="349" spans="1:34" ht="13.5">
      <c r="A349" s="524"/>
      <c r="B349" s="524"/>
      <c r="C349" s="524"/>
      <c r="D349" s="524"/>
      <c r="E349" s="524"/>
      <c r="F349" s="524"/>
      <c r="G349" s="524"/>
      <c r="H349" s="524"/>
      <c r="I349" s="524"/>
      <c r="J349" s="524"/>
      <c r="K349" s="524"/>
      <c r="L349" s="524"/>
      <c r="M349" s="524"/>
      <c r="N349" s="524"/>
      <c r="O349" s="524"/>
      <c r="P349" s="524"/>
      <c r="Q349" s="524"/>
      <c r="R349" s="524"/>
      <c r="S349" s="524"/>
      <c r="T349" s="524"/>
      <c r="U349" s="524"/>
      <c r="V349" s="524"/>
      <c r="W349" s="524"/>
      <c r="X349" s="524"/>
      <c r="Y349" s="524"/>
      <c r="Z349" s="524"/>
      <c r="AA349" s="524"/>
      <c r="AB349" s="524"/>
      <c r="AC349" s="524"/>
      <c r="AD349" s="524"/>
      <c r="AE349" s="524"/>
      <c r="AF349" s="524"/>
      <c r="AG349" s="524"/>
      <c r="AH349" s="524"/>
    </row>
    <row r="350" spans="1:34" ht="13.5">
      <c r="A350" s="524"/>
      <c r="B350" s="524"/>
      <c r="C350" s="524"/>
      <c r="D350" s="524"/>
      <c r="E350" s="524"/>
      <c r="F350" s="524"/>
      <c r="G350" s="524"/>
      <c r="H350" s="524"/>
      <c r="I350" s="524"/>
      <c r="J350" s="524"/>
      <c r="K350" s="524"/>
      <c r="L350" s="524"/>
      <c r="M350" s="524"/>
      <c r="N350" s="524"/>
      <c r="O350" s="524"/>
      <c r="P350" s="524"/>
      <c r="Q350" s="524"/>
      <c r="R350" s="524"/>
      <c r="S350" s="524"/>
      <c r="T350" s="524"/>
      <c r="U350" s="524"/>
      <c r="V350" s="524"/>
      <c r="W350" s="524"/>
      <c r="X350" s="524"/>
      <c r="Y350" s="524"/>
      <c r="Z350" s="524"/>
      <c r="AA350" s="524"/>
      <c r="AB350" s="524"/>
      <c r="AC350" s="524"/>
      <c r="AD350" s="524"/>
      <c r="AE350" s="524"/>
      <c r="AF350" s="524"/>
      <c r="AG350" s="524"/>
      <c r="AH350" s="524"/>
    </row>
    <row r="351" spans="1:34" ht="13.5">
      <c r="A351" s="524"/>
      <c r="B351" s="524"/>
      <c r="C351" s="524"/>
      <c r="D351" s="524"/>
      <c r="E351" s="524"/>
      <c r="F351" s="524"/>
      <c r="G351" s="524"/>
      <c r="H351" s="524"/>
      <c r="I351" s="524"/>
      <c r="J351" s="524"/>
      <c r="K351" s="524"/>
      <c r="L351" s="524"/>
      <c r="M351" s="524"/>
      <c r="N351" s="524"/>
      <c r="O351" s="524"/>
      <c r="P351" s="524"/>
      <c r="Q351" s="524"/>
      <c r="R351" s="524"/>
      <c r="S351" s="524"/>
      <c r="T351" s="524"/>
      <c r="U351" s="524"/>
      <c r="V351" s="524"/>
      <c r="W351" s="524"/>
      <c r="X351" s="524"/>
      <c r="Y351" s="524"/>
      <c r="Z351" s="524"/>
      <c r="AA351" s="524"/>
      <c r="AB351" s="524"/>
      <c r="AC351" s="524"/>
      <c r="AD351" s="524"/>
      <c r="AE351" s="524"/>
      <c r="AF351" s="524"/>
      <c r="AG351" s="524"/>
      <c r="AH351" s="524"/>
    </row>
    <row r="352" spans="1:34" ht="13.5">
      <c r="A352" s="524"/>
      <c r="B352" s="524"/>
      <c r="C352" s="524"/>
      <c r="D352" s="524"/>
      <c r="E352" s="524"/>
      <c r="F352" s="524"/>
      <c r="G352" s="524"/>
      <c r="H352" s="524"/>
      <c r="I352" s="524"/>
      <c r="J352" s="524"/>
      <c r="K352" s="524"/>
      <c r="L352" s="524"/>
      <c r="M352" s="524"/>
      <c r="N352" s="524"/>
      <c r="O352" s="524"/>
      <c r="P352" s="524"/>
      <c r="Q352" s="524"/>
      <c r="R352" s="524"/>
      <c r="S352" s="524"/>
      <c r="T352" s="524"/>
      <c r="U352" s="524"/>
      <c r="V352" s="524"/>
      <c r="W352" s="524"/>
      <c r="X352" s="524"/>
      <c r="Y352" s="524"/>
      <c r="Z352" s="524"/>
      <c r="AA352" s="524"/>
      <c r="AB352" s="524"/>
      <c r="AC352" s="524"/>
      <c r="AD352" s="524"/>
      <c r="AE352" s="524"/>
      <c r="AF352" s="524"/>
      <c r="AG352" s="524"/>
      <c r="AH352" s="524"/>
    </row>
    <row r="353" spans="1:34" ht="13.5">
      <c r="A353" s="524"/>
      <c r="B353" s="524"/>
      <c r="C353" s="524"/>
      <c r="D353" s="524"/>
      <c r="E353" s="524"/>
      <c r="F353" s="524"/>
      <c r="G353" s="524"/>
      <c r="H353" s="524"/>
      <c r="I353" s="524"/>
      <c r="J353" s="524"/>
      <c r="K353" s="524"/>
      <c r="L353" s="524"/>
      <c r="M353" s="524"/>
      <c r="N353" s="524"/>
      <c r="O353" s="524"/>
      <c r="P353" s="524"/>
      <c r="Q353" s="524"/>
      <c r="R353" s="524"/>
      <c r="S353" s="524"/>
      <c r="T353" s="524"/>
      <c r="U353" s="524"/>
      <c r="V353" s="524"/>
      <c r="W353" s="524"/>
      <c r="X353" s="524"/>
      <c r="Y353" s="524"/>
      <c r="Z353" s="524"/>
      <c r="AA353" s="524"/>
      <c r="AB353" s="524"/>
      <c r="AC353" s="524"/>
      <c r="AD353" s="524"/>
      <c r="AE353" s="524"/>
      <c r="AF353" s="524"/>
      <c r="AG353" s="524"/>
      <c r="AH353" s="524"/>
    </row>
    <row r="354" spans="1:34" ht="13.5">
      <c r="A354" s="524"/>
      <c r="B354" s="524"/>
      <c r="C354" s="524"/>
      <c r="D354" s="524"/>
      <c r="E354" s="524"/>
      <c r="F354" s="524"/>
      <c r="G354" s="524"/>
      <c r="H354" s="524"/>
      <c r="I354" s="524"/>
      <c r="J354" s="524"/>
      <c r="K354" s="524"/>
      <c r="L354" s="524"/>
      <c r="M354" s="524"/>
      <c r="N354" s="524"/>
      <c r="O354" s="524"/>
      <c r="P354" s="524"/>
      <c r="Q354" s="524"/>
      <c r="R354" s="524"/>
      <c r="S354" s="524"/>
      <c r="T354" s="524"/>
      <c r="U354" s="524"/>
      <c r="V354" s="524"/>
      <c r="W354" s="524"/>
      <c r="X354" s="524"/>
      <c r="Y354" s="524"/>
      <c r="Z354" s="524"/>
      <c r="AA354" s="524"/>
      <c r="AB354" s="524"/>
      <c r="AC354" s="524"/>
      <c r="AD354" s="524"/>
      <c r="AE354" s="524"/>
      <c r="AF354" s="524"/>
      <c r="AG354" s="524"/>
      <c r="AH354" s="524"/>
    </row>
    <row r="355" spans="1:34" ht="13.5">
      <c r="A355" s="524"/>
      <c r="B355" s="524"/>
      <c r="C355" s="524"/>
      <c r="D355" s="524"/>
      <c r="E355" s="524"/>
      <c r="F355" s="524"/>
      <c r="G355" s="524"/>
      <c r="H355" s="524"/>
      <c r="I355" s="524"/>
      <c r="J355" s="524"/>
      <c r="K355" s="524"/>
      <c r="L355" s="524"/>
      <c r="M355" s="524"/>
      <c r="N355" s="524"/>
      <c r="O355" s="524"/>
      <c r="P355" s="524"/>
      <c r="Q355" s="524"/>
      <c r="R355" s="524"/>
      <c r="S355" s="524"/>
      <c r="T355" s="524"/>
      <c r="U355" s="524"/>
      <c r="V355" s="524"/>
      <c r="W355" s="524"/>
      <c r="X355" s="524"/>
      <c r="Y355" s="524"/>
      <c r="Z355" s="524"/>
      <c r="AA355" s="524"/>
      <c r="AB355" s="524"/>
      <c r="AC355" s="524"/>
      <c r="AD355" s="524"/>
      <c r="AE355" s="524"/>
      <c r="AF355" s="524"/>
      <c r="AG355" s="524"/>
      <c r="AH355" s="524"/>
    </row>
    <row r="356" spans="1:34" ht="13.5">
      <c r="A356" s="524"/>
      <c r="B356" s="524"/>
      <c r="C356" s="524"/>
      <c r="D356" s="524"/>
      <c r="E356" s="524"/>
      <c r="F356" s="524"/>
      <c r="G356" s="524"/>
      <c r="H356" s="524"/>
      <c r="I356" s="524"/>
      <c r="J356" s="524"/>
      <c r="K356" s="524"/>
      <c r="L356" s="524"/>
      <c r="M356" s="524"/>
      <c r="N356" s="524"/>
      <c r="O356" s="524"/>
      <c r="P356" s="524"/>
      <c r="Q356" s="524"/>
      <c r="R356" s="524"/>
      <c r="S356" s="524"/>
      <c r="T356" s="524"/>
      <c r="U356" s="524"/>
      <c r="V356" s="524"/>
      <c r="W356" s="524"/>
      <c r="X356" s="524"/>
      <c r="Y356" s="524"/>
      <c r="Z356" s="524"/>
      <c r="AA356" s="524"/>
      <c r="AB356" s="524"/>
      <c r="AC356" s="524"/>
      <c r="AD356" s="524"/>
      <c r="AE356" s="524"/>
      <c r="AF356" s="524"/>
      <c r="AG356" s="524"/>
      <c r="AH356" s="524"/>
    </row>
    <row r="357" spans="1:34" ht="13.5">
      <c r="A357" s="524"/>
      <c r="B357" s="524"/>
      <c r="C357" s="524"/>
      <c r="D357" s="524"/>
      <c r="E357" s="524"/>
      <c r="F357" s="524"/>
      <c r="G357" s="524"/>
      <c r="H357" s="524"/>
      <c r="I357" s="524"/>
      <c r="J357" s="524"/>
      <c r="K357" s="524"/>
      <c r="L357" s="524"/>
      <c r="M357" s="524"/>
      <c r="N357" s="524"/>
      <c r="O357" s="524"/>
      <c r="P357" s="524"/>
      <c r="Q357" s="524"/>
      <c r="R357" s="524"/>
      <c r="S357" s="524"/>
      <c r="T357" s="524"/>
      <c r="U357" s="524"/>
      <c r="V357" s="524"/>
      <c r="W357" s="524"/>
      <c r="X357" s="524"/>
      <c r="Y357" s="524"/>
      <c r="Z357" s="524"/>
      <c r="AA357" s="524"/>
      <c r="AB357" s="524"/>
      <c r="AC357" s="524"/>
      <c r="AD357" s="524"/>
      <c r="AE357" s="524"/>
      <c r="AF357" s="524"/>
      <c r="AG357" s="524"/>
      <c r="AH357" s="524"/>
    </row>
    <row r="358" spans="1:34" ht="13.5">
      <c r="A358" s="524"/>
      <c r="B358" s="524"/>
      <c r="C358" s="524"/>
      <c r="D358" s="524"/>
      <c r="E358" s="524"/>
      <c r="F358" s="524"/>
      <c r="G358" s="524"/>
      <c r="H358" s="524"/>
      <c r="I358" s="524"/>
      <c r="J358" s="524"/>
      <c r="K358" s="524"/>
      <c r="L358" s="524"/>
      <c r="M358" s="524"/>
      <c r="N358" s="524"/>
      <c r="O358" s="524"/>
      <c r="P358" s="524"/>
      <c r="Q358" s="524"/>
      <c r="R358" s="524"/>
      <c r="S358" s="524"/>
      <c r="T358" s="524"/>
      <c r="U358" s="524"/>
      <c r="V358" s="524"/>
      <c r="W358" s="524"/>
      <c r="X358" s="524"/>
      <c r="Y358" s="524"/>
      <c r="Z358" s="524"/>
      <c r="AA358" s="524"/>
      <c r="AB358" s="524"/>
      <c r="AC358" s="524"/>
      <c r="AD358" s="524"/>
      <c r="AE358" s="524"/>
      <c r="AF358" s="524"/>
      <c r="AG358" s="524"/>
      <c r="AH358" s="524"/>
    </row>
    <row r="359" spans="1:34" ht="13.5">
      <c r="A359" s="524"/>
      <c r="B359" s="524"/>
      <c r="C359" s="524"/>
      <c r="D359" s="524"/>
      <c r="E359" s="524"/>
      <c r="F359" s="524"/>
      <c r="G359" s="524"/>
      <c r="H359" s="524"/>
      <c r="I359" s="524"/>
      <c r="J359" s="524"/>
      <c r="K359" s="524"/>
      <c r="L359" s="524"/>
      <c r="M359" s="524"/>
      <c r="N359" s="524"/>
      <c r="O359" s="524"/>
      <c r="P359" s="524"/>
      <c r="Q359" s="524"/>
      <c r="R359" s="524"/>
      <c r="S359" s="524"/>
      <c r="T359" s="524"/>
      <c r="U359" s="524"/>
      <c r="V359" s="524"/>
      <c r="W359" s="524"/>
      <c r="X359" s="524"/>
      <c r="Y359" s="524"/>
      <c r="Z359" s="524"/>
      <c r="AA359" s="524"/>
      <c r="AB359" s="524"/>
      <c r="AC359" s="524"/>
      <c r="AD359" s="524"/>
      <c r="AE359" s="524"/>
      <c r="AF359" s="524"/>
      <c r="AG359" s="524"/>
      <c r="AH359" s="524"/>
    </row>
    <row r="360" spans="1:34" ht="13.5">
      <c r="A360" s="524"/>
      <c r="B360" s="524"/>
      <c r="C360" s="524"/>
      <c r="D360" s="524"/>
      <c r="E360" s="524"/>
      <c r="F360" s="524"/>
      <c r="G360" s="524"/>
      <c r="H360" s="524"/>
      <c r="I360" s="524"/>
      <c r="J360" s="524"/>
      <c r="K360" s="524"/>
      <c r="L360" s="524"/>
      <c r="M360" s="524"/>
      <c r="N360" s="524"/>
      <c r="O360" s="524"/>
      <c r="P360" s="524"/>
      <c r="Q360" s="524"/>
      <c r="R360" s="524"/>
      <c r="S360" s="524"/>
      <c r="T360" s="524"/>
      <c r="U360" s="524"/>
      <c r="V360" s="524"/>
      <c r="W360" s="524"/>
      <c r="X360" s="524"/>
      <c r="Y360" s="524"/>
      <c r="Z360" s="524"/>
      <c r="AA360" s="524"/>
      <c r="AB360" s="524"/>
      <c r="AC360" s="524"/>
      <c r="AD360" s="524"/>
      <c r="AE360" s="524"/>
      <c r="AF360" s="524"/>
      <c r="AG360" s="524"/>
      <c r="AH360" s="524"/>
    </row>
    <row r="361" spans="1:34" ht="13.5">
      <c r="A361" s="524"/>
      <c r="B361" s="524"/>
      <c r="C361" s="524"/>
      <c r="D361" s="524"/>
      <c r="E361" s="524"/>
      <c r="F361" s="524"/>
      <c r="G361" s="524"/>
      <c r="H361" s="524"/>
      <c r="I361" s="524"/>
      <c r="J361" s="524"/>
      <c r="K361" s="524"/>
      <c r="L361" s="524"/>
      <c r="M361" s="524"/>
      <c r="N361" s="524"/>
      <c r="O361" s="524"/>
      <c r="P361" s="524"/>
      <c r="Q361" s="524"/>
      <c r="R361" s="524"/>
      <c r="S361" s="524"/>
      <c r="T361" s="524"/>
      <c r="U361" s="524"/>
      <c r="V361" s="524"/>
      <c r="W361" s="524"/>
      <c r="X361" s="524"/>
      <c r="Y361" s="524"/>
      <c r="Z361" s="524"/>
      <c r="AA361" s="524"/>
      <c r="AB361" s="524"/>
      <c r="AC361" s="524"/>
      <c r="AD361" s="524"/>
      <c r="AE361" s="524"/>
      <c r="AF361" s="524"/>
      <c r="AG361" s="524"/>
      <c r="AH361" s="524"/>
    </row>
    <row r="362" spans="1:34" ht="13.5">
      <c r="A362" s="524"/>
      <c r="B362" s="524"/>
      <c r="C362" s="524"/>
      <c r="D362" s="524"/>
      <c r="E362" s="524"/>
      <c r="F362" s="524"/>
      <c r="G362" s="524"/>
      <c r="H362" s="524"/>
      <c r="I362" s="524"/>
      <c r="J362" s="524"/>
      <c r="K362" s="524"/>
      <c r="L362" s="524"/>
      <c r="M362" s="524"/>
      <c r="N362" s="524"/>
      <c r="O362" s="524"/>
      <c r="P362" s="524"/>
      <c r="Q362" s="524"/>
      <c r="R362" s="524"/>
      <c r="S362" s="524"/>
      <c r="T362" s="524"/>
      <c r="U362" s="524"/>
      <c r="V362" s="524"/>
      <c r="W362" s="524"/>
      <c r="X362" s="524"/>
      <c r="Y362" s="524"/>
      <c r="Z362" s="524"/>
      <c r="AA362" s="524"/>
      <c r="AB362" s="524"/>
      <c r="AC362" s="524"/>
      <c r="AD362" s="524"/>
      <c r="AE362" s="524"/>
      <c r="AF362" s="524"/>
      <c r="AG362" s="524"/>
      <c r="AH362" s="524"/>
    </row>
    <row r="363" spans="1:34" ht="13.5">
      <c r="A363" s="524"/>
      <c r="B363" s="524"/>
      <c r="C363" s="524"/>
      <c r="D363" s="524"/>
      <c r="E363" s="524"/>
      <c r="F363" s="524"/>
      <c r="G363" s="524"/>
      <c r="H363" s="524"/>
      <c r="I363" s="524"/>
      <c r="J363" s="524"/>
      <c r="K363" s="524"/>
      <c r="L363" s="524"/>
      <c r="M363" s="524"/>
      <c r="N363" s="524"/>
      <c r="O363" s="524"/>
      <c r="P363" s="524"/>
      <c r="Q363" s="524"/>
      <c r="R363" s="524"/>
      <c r="S363" s="524"/>
      <c r="T363" s="524"/>
      <c r="U363" s="524"/>
      <c r="V363" s="524"/>
      <c r="W363" s="524"/>
      <c r="X363" s="524"/>
      <c r="Y363" s="524"/>
      <c r="Z363" s="524"/>
      <c r="AA363" s="524"/>
      <c r="AB363" s="524"/>
      <c r="AC363" s="524"/>
      <c r="AD363" s="524"/>
      <c r="AE363" s="524"/>
      <c r="AF363" s="524"/>
      <c r="AG363" s="524"/>
      <c r="AH363" s="524"/>
    </row>
    <row r="364" spans="1:34" ht="13.5">
      <c r="A364" s="524"/>
      <c r="B364" s="524"/>
      <c r="C364" s="524"/>
      <c r="D364" s="524"/>
      <c r="E364" s="524"/>
      <c r="F364" s="524"/>
      <c r="G364" s="524"/>
      <c r="H364" s="524"/>
      <c r="I364" s="524"/>
      <c r="J364" s="524"/>
      <c r="K364" s="524"/>
      <c r="L364" s="524"/>
      <c r="M364" s="524"/>
      <c r="N364" s="524"/>
      <c r="O364" s="524"/>
      <c r="P364" s="524"/>
      <c r="Q364" s="524"/>
      <c r="R364" s="524"/>
      <c r="S364" s="524"/>
      <c r="T364" s="524"/>
      <c r="U364" s="524"/>
      <c r="V364" s="524"/>
      <c r="W364" s="524"/>
      <c r="X364" s="524"/>
      <c r="Y364" s="524"/>
      <c r="Z364" s="524"/>
      <c r="AA364" s="524"/>
      <c r="AB364" s="524"/>
      <c r="AC364" s="524"/>
      <c r="AD364" s="524"/>
      <c r="AE364" s="524"/>
      <c r="AF364" s="524"/>
      <c r="AG364" s="524"/>
      <c r="AH364" s="524"/>
    </row>
    <row r="365" spans="1:34" ht="13.5">
      <c r="A365" s="524"/>
      <c r="B365" s="524"/>
      <c r="C365" s="524"/>
      <c r="D365" s="524"/>
      <c r="E365" s="524"/>
      <c r="F365" s="524"/>
      <c r="G365" s="524"/>
      <c r="H365" s="524"/>
      <c r="I365" s="524"/>
      <c r="J365" s="524"/>
      <c r="K365" s="524"/>
      <c r="L365" s="524"/>
      <c r="M365" s="524"/>
      <c r="N365" s="524"/>
      <c r="O365" s="524"/>
      <c r="P365" s="524"/>
      <c r="Q365" s="524"/>
      <c r="R365" s="524"/>
      <c r="S365" s="524"/>
      <c r="T365" s="524"/>
      <c r="U365" s="524"/>
      <c r="V365" s="524"/>
      <c r="W365" s="524"/>
      <c r="X365" s="524"/>
      <c r="Y365" s="524"/>
      <c r="Z365" s="524"/>
      <c r="AA365" s="524"/>
      <c r="AB365" s="524"/>
      <c r="AC365" s="524"/>
      <c r="AD365" s="524"/>
      <c r="AE365" s="524"/>
      <c r="AF365" s="524"/>
      <c r="AG365" s="524"/>
      <c r="AH365" s="524"/>
    </row>
    <row r="366" spans="1:34" ht="13.5">
      <c r="A366" s="524"/>
      <c r="B366" s="524"/>
      <c r="C366" s="524"/>
      <c r="D366" s="524"/>
      <c r="E366" s="524"/>
      <c r="F366" s="524"/>
      <c r="G366" s="524"/>
      <c r="H366" s="524"/>
      <c r="I366" s="524"/>
      <c r="J366" s="524"/>
      <c r="K366" s="524"/>
      <c r="L366" s="524"/>
      <c r="M366" s="524"/>
      <c r="N366" s="524"/>
      <c r="O366" s="524"/>
      <c r="P366" s="524"/>
      <c r="Q366" s="524"/>
      <c r="R366" s="524"/>
      <c r="S366" s="524"/>
      <c r="T366" s="524"/>
      <c r="U366" s="524"/>
      <c r="V366" s="524"/>
      <c r="W366" s="524"/>
      <c r="X366" s="524"/>
      <c r="Y366" s="524"/>
      <c r="Z366" s="524"/>
      <c r="AA366" s="524"/>
      <c r="AB366" s="524"/>
      <c r="AC366" s="524"/>
      <c r="AD366" s="524"/>
      <c r="AE366" s="524"/>
      <c r="AF366" s="524"/>
      <c r="AG366" s="524"/>
      <c r="AH366" s="524"/>
    </row>
    <row r="367" spans="1:34" ht="13.5">
      <c r="A367" s="524"/>
      <c r="B367" s="524"/>
      <c r="C367" s="524"/>
      <c r="D367" s="524"/>
      <c r="E367" s="524"/>
      <c r="F367" s="524"/>
      <c r="G367" s="524"/>
      <c r="H367" s="524"/>
      <c r="I367" s="524"/>
      <c r="J367" s="524"/>
      <c r="K367" s="524"/>
      <c r="L367" s="524"/>
      <c r="M367" s="524"/>
      <c r="N367" s="524"/>
      <c r="O367" s="524"/>
      <c r="P367" s="524"/>
      <c r="Q367" s="524"/>
      <c r="R367" s="524"/>
      <c r="S367" s="524"/>
      <c r="T367" s="524"/>
      <c r="U367" s="524"/>
      <c r="V367" s="524"/>
      <c r="W367" s="524"/>
      <c r="X367" s="524"/>
      <c r="Y367" s="524"/>
      <c r="Z367" s="524"/>
      <c r="AA367" s="524"/>
      <c r="AB367" s="524"/>
      <c r="AC367" s="524"/>
      <c r="AD367" s="524"/>
      <c r="AE367" s="524"/>
      <c r="AF367" s="524"/>
      <c r="AG367" s="524"/>
      <c r="AH367" s="524"/>
    </row>
    <row r="368" spans="1:34" ht="13.5">
      <c r="A368" s="524"/>
      <c r="B368" s="524"/>
      <c r="C368" s="524"/>
      <c r="D368" s="524"/>
      <c r="E368" s="524"/>
      <c r="F368" s="524"/>
      <c r="G368" s="524"/>
      <c r="H368" s="524"/>
      <c r="I368" s="524"/>
      <c r="J368" s="524"/>
      <c r="K368" s="524"/>
      <c r="L368" s="524"/>
      <c r="M368" s="524"/>
      <c r="N368" s="524"/>
      <c r="O368" s="524"/>
      <c r="P368" s="524"/>
      <c r="Q368" s="524"/>
      <c r="R368" s="524"/>
      <c r="S368" s="524"/>
      <c r="T368" s="524"/>
      <c r="U368" s="524"/>
      <c r="V368" s="524"/>
      <c r="W368" s="524"/>
      <c r="X368" s="524"/>
      <c r="Y368" s="524"/>
      <c r="Z368" s="524"/>
      <c r="AA368" s="524"/>
      <c r="AB368" s="524"/>
      <c r="AC368" s="524"/>
      <c r="AD368" s="524"/>
      <c r="AE368" s="524"/>
      <c r="AF368" s="524"/>
      <c r="AG368" s="524"/>
      <c r="AH368" s="524"/>
    </row>
    <row r="369" spans="1:34" ht="13.5">
      <c r="A369" s="524"/>
      <c r="B369" s="524"/>
      <c r="C369" s="524"/>
      <c r="D369" s="524"/>
      <c r="E369" s="524"/>
      <c r="F369" s="524"/>
      <c r="G369" s="524"/>
      <c r="H369" s="524"/>
      <c r="I369" s="524"/>
      <c r="J369" s="524"/>
      <c r="K369" s="524"/>
      <c r="L369" s="524"/>
      <c r="M369" s="524"/>
      <c r="N369" s="524"/>
      <c r="O369" s="524"/>
      <c r="P369" s="524"/>
      <c r="Q369" s="524"/>
      <c r="R369" s="524"/>
      <c r="S369" s="524"/>
      <c r="T369" s="524"/>
      <c r="U369" s="524"/>
      <c r="V369" s="524"/>
      <c r="W369" s="524"/>
      <c r="X369" s="524"/>
      <c r="Y369" s="524"/>
      <c r="Z369" s="524"/>
      <c r="AA369" s="524"/>
      <c r="AB369" s="524"/>
      <c r="AC369" s="524"/>
      <c r="AD369" s="524"/>
      <c r="AE369" s="524"/>
      <c r="AF369" s="524"/>
      <c r="AG369" s="524"/>
      <c r="AH369" s="524"/>
    </row>
    <row r="370" spans="1:34" ht="13.5">
      <c r="A370" s="524"/>
      <c r="B370" s="524"/>
      <c r="C370" s="524"/>
      <c r="D370" s="524"/>
      <c r="E370" s="524"/>
      <c r="F370" s="524"/>
      <c r="G370" s="524"/>
      <c r="H370" s="524"/>
      <c r="I370" s="524"/>
      <c r="J370" s="524"/>
      <c r="K370" s="524"/>
      <c r="L370" s="524"/>
      <c r="M370" s="524"/>
      <c r="N370" s="524"/>
      <c r="O370" s="524"/>
      <c r="P370" s="524"/>
      <c r="Q370" s="524"/>
      <c r="R370" s="524"/>
      <c r="S370" s="524"/>
      <c r="T370" s="524"/>
      <c r="U370" s="524"/>
      <c r="V370" s="524"/>
      <c r="W370" s="524"/>
      <c r="X370" s="524"/>
      <c r="Y370" s="524"/>
      <c r="Z370" s="524"/>
      <c r="AA370" s="524"/>
      <c r="AB370" s="524"/>
      <c r="AC370" s="524"/>
      <c r="AD370" s="524"/>
      <c r="AE370" s="524"/>
      <c r="AF370" s="524"/>
      <c r="AG370" s="524"/>
      <c r="AH370" s="524"/>
    </row>
    <row r="371" spans="1:34" ht="13.5">
      <c r="A371" s="524"/>
      <c r="B371" s="524"/>
      <c r="C371" s="524"/>
      <c r="D371" s="524"/>
      <c r="E371" s="524"/>
      <c r="F371" s="524"/>
      <c r="G371" s="524"/>
      <c r="H371" s="524"/>
      <c r="I371" s="524"/>
      <c r="J371" s="524"/>
      <c r="K371" s="524"/>
      <c r="L371" s="524"/>
      <c r="M371" s="524"/>
      <c r="N371" s="524"/>
      <c r="O371" s="524"/>
      <c r="P371" s="524"/>
      <c r="Q371" s="524"/>
      <c r="R371" s="524"/>
      <c r="S371" s="524"/>
      <c r="T371" s="524"/>
      <c r="U371" s="524"/>
      <c r="V371" s="524"/>
      <c r="W371" s="524"/>
      <c r="X371" s="524"/>
      <c r="Y371" s="524"/>
      <c r="Z371" s="524"/>
      <c r="AA371" s="524"/>
      <c r="AB371" s="524"/>
      <c r="AC371" s="524"/>
      <c r="AD371" s="524"/>
      <c r="AE371" s="524"/>
      <c r="AF371" s="524"/>
      <c r="AG371" s="524"/>
      <c r="AH371" s="524"/>
    </row>
    <row r="372" spans="1:34" ht="13.5">
      <c r="A372" s="524"/>
      <c r="B372" s="524"/>
      <c r="C372" s="524"/>
      <c r="D372" s="524"/>
      <c r="E372" s="524"/>
      <c r="F372" s="524"/>
      <c r="G372" s="524"/>
      <c r="H372" s="524"/>
      <c r="I372" s="524"/>
      <c r="J372" s="524"/>
      <c r="K372" s="524"/>
      <c r="L372" s="524"/>
      <c r="M372" s="524"/>
      <c r="N372" s="524"/>
      <c r="O372" s="524"/>
      <c r="P372" s="524"/>
      <c r="Q372" s="524"/>
      <c r="R372" s="524"/>
      <c r="S372" s="524"/>
      <c r="T372" s="524"/>
      <c r="U372" s="524"/>
      <c r="V372" s="524"/>
      <c r="W372" s="524"/>
      <c r="X372" s="524"/>
      <c r="Y372" s="524"/>
      <c r="Z372" s="524"/>
      <c r="AA372" s="524"/>
      <c r="AB372" s="524"/>
      <c r="AC372" s="524"/>
      <c r="AD372" s="524"/>
      <c r="AE372" s="524"/>
      <c r="AF372" s="524"/>
      <c r="AG372" s="524"/>
      <c r="AH372" s="524"/>
    </row>
    <row r="373" spans="1:34" ht="13.5">
      <c r="A373" s="524"/>
      <c r="B373" s="524"/>
      <c r="C373" s="524"/>
      <c r="D373" s="524"/>
      <c r="E373" s="524"/>
      <c r="F373" s="524"/>
      <c r="G373" s="524"/>
      <c r="H373" s="524"/>
      <c r="I373" s="524"/>
      <c r="J373" s="524"/>
      <c r="K373" s="524"/>
      <c r="L373" s="524"/>
      <c r="M373" s="524"/>
      <c r="N373" s="524"/>
      <c r="O373" s="524"/>
      <c r="P373" s="524"/>
      <c r="Q373" s="524"/>
      <c r="R373" s="524"/>
      <c r="S373" s="524"/>
      <c r="T373" s="524"/>
      <c r="U373" s="524"/>
      <c r="V373" s="524"/>
      <c r="W373" s="524"/>
      <c r="X373" s="524"/>
      <c r="Y373" s="524"/>
      <c r="Z373" s="524"/>
      <c r="AA373" s="524"/>
      <c r="AB373" s="524"/>
      <c r="AC373" s="524"/>
      <c r="AD373" s="524"/>
      <c r="AE373" s="524"/>
      <c r="AF373" s="524"/>
      <c r="AG373" s="524"/>
      <c r="AH373" s="524"/>
    </row>
    <row r="374" spans="1:34" ht="13.5">
      <c r="A374" s="524"/>
      <c r="B374" s="524"/>
      <c r="C374" s="524"/>
      <c r="D374" s="524"/>
      <c r="E374" s="524"/>
      <c r="F374" s="524"/>
      <c r="G374" s="524"/>
      <c r="H374" s="524"/>
      <c r="I374" s="524"/>
      <c r="J374" s="524"/>
      <c r="K374" s="524"/>
      <c r="L374" s="524"/>
      <c r="M374" s="524"/>
      <c r="N374" s="524"/>
      <c r="O374" s="524"/>
      <c r="P374" s="524"/>
      <c r="Q374" s="524"/>
      <c r="R374" s="524"/>
      <c r="S374" s="524"/>
      <c r="T374" s="524"/>
      <c r="U374" s="524"/>
      <c r="V374" s="524"/>
      <c r="W374" s="524"/>
      <c r="X374" s="524"/>
      <c r="Y374" s="524"/>
      <c r="Z374" s="524"/>
      <c r="AA374" s="524"/>
      <c r="AB374" s="524"/>
      <c r="AC374" s="524"/>
      <c r="AD374" s="524"/>
      <c r="AE374" s="524"/>
      <c r="AF374" s="524"/>
      <c r="AG374" s="524"/>
      <c r="AH374" s="524"/>
    </row>
    <row r="375" spans="1:34" ht="13.5">
      <c r="A375" s="524"/>
      <c r="B375" s="524"/>
      <c r="C375" s="524"/>
      <c r="D375" s="524"/>
      <c r="E375" s="524"/>
      <c r="F375" s="524"/>
      <c r="G375" s="524"/>
      <c r="H375" s="524"/>
      <c r="I375" s="524"/>
      <c r="J375" s="524"/>
      <c r="K375" s="524"/>
      <c r="L375" s="524"/>
      <c r="M375" s="524"/>
      <c r="N375" s="524"/>
      <c r="O375" s="524"/>
      <c r="P375" s="524"/>
      <c r="Q375" s="524"/>
      <c r="R375" s="524"/>
      <c r="S375" s="524"/>
      <c r="T375" s="524"/>
      <c r="U375" s="524"/>
      <c r="V375" s="524"/>
      <c r="W375" s="524"/>
      <c r="X375" s="524"/>
      <c r="Y375" s="524"/>
      <c r="Z375" s="524"/>
      <c r="AA375" s="524"/>
      <c r="AB375" s="524"/>
      <c r="AC375" s="524"/>
      <c r="AD375" s="524"/>
      <c r="AE375" s="524"/>
      <c r="AF375" s="524"/>
      <c r="AG375" s="524"/>
      <c r="AH375" s="524"/>
    </row>
    <row r="376" spans="1:34" ht="13.5">
      <c r="A376" s="524"/>
      <c r="B376" s="524"/>
      <c r="C376" s="524"/>
      <c r="D376" s="524"/>
      <c r="E376" s="524"/>
      <c r="F376" s="524"/>
      <c r="G376" s="524"/>
      <c r="H376" s="524"/>
      <c r="I376" s="524"/>
      <c r="J376" s="524"/>
      <c r="K376" s="524"/>
      <c r="L376" s="524"/>
      <c r="M376" s="524"/>
      <c r="N376" s="524"/>
      <c r="O376" s="524"/>
      <c r="P376" s="524"/>
      <c r="Q376" s="524"/>
      <c r="R376" s="524"/>
      <c r="S376" s="524"/>
      <c r="T376" s="524"/>
      <c r="U376" s="524"/>
      <c r="V376" s="524"/>
      <c r="W376" s="524"/>
      <c r="X376" s="524"/>
      <c r="Y376" s="524"/>
      <c r="Z376" s="524"/>
      <c r="AA376" s="524"/>
      <c r="AB376" s="524"/>
      <c r="AC376" s="524"/>
      <c r="AD376" s="524"/>
      <c r="AE376" s="524"/>
      <c r="AF376" s="524"/>
      <c r="AG376" s="524"/>
      <c r="AH376" s="524"/>
    </row>
    <row r="377" spans="1:34" ht="13.5">
      <c r="A377" s="524"/>
      <c r="B377" s="524"/>
      <c r="C377" s="524"/>
      <c r="D377" s="524"/>
      <c r="E377" s="524"/>
      <c r="F377" s="524"/>
      <c r="G377" s="524"/>
      <c r="H377" s="524"/>
      <c r="I377" s="524"/>
      <c r="J377" s="524"/>
      <c r="K377" s="524"/>
      <c r="L377" s="524"/>
      <c r="M377" s="524"/>
      <c r="N377" s="524"/>
      <c r="O377" s="524"/>
      <c r="P377" s="524"/>
      <c r="Q377" s="524"/>
      <c r="R377" s="524"/>
      <c r="S377" s="524"/>
      <c r="T377" s="524"/>
      <c r="U377" s="524"/>
      <c r="V377" s="524"/>
      <c r="W377" s="524"/>
      <c r="X377" s="524"/>
      <c r="Y377" s="524"/>
      <c r="Z377" s="524"/>
      <c r="AA377" s="524"/>
      <c r="AB377" s="524"/>
      <c r="AC377" s="524"/>
      <c r="AD377" s="524"/>
      <c r="AE377" s="524"/>
      <c r="AF377" s="524"/>
      <c r="AG377" s="524"/>
      <c r="AH377" s="524"/>
    </row>
    <row r="378" spans="1:34" ht="13.5">
      <c r="A378" s="524"/>
      <c r="B378" s="524"/>
      <c r="C378" s="524"/>
      <c r="D378" s="524"/>
      <c r="E378" s="524"/>
      <c r="F378" s="524"/>
      <c r="G378" s="524"/>
      <c r="H378" s="524"/>
      <c r="I378" s="524"/>
      <c r="J378" s="524"/>
      <c r="K378" s="524"/>
      <c r="L378" s="524"/>
      <c r="M378" s="524"/>
      <c r="N378" s="524"/>
      <c r="O378" s="524"/>
      <c r="P378" s="524"/>
      <c r="Q378" s="524"/>
      <c r="R378" s="524"/>
      <c r="S378" s="524"/>
      <c r="T378" s="524"/>
      <c r="U378" s="524"/>
      <c r="V378" s="524"/>
      <c r="W378" s="524"/>
      <c r="X378" s="524"/>
      <c r="Y378" s="524"/>
      <c r="Z378" s="524"/>
      <c r="AA378" s="524"/>
      <c r="AB378" s="524"/>
      <c r="AC378" s="524"/>
      <c r="AD378" s="524"/>
      <c r="AE378" s="524"/>
      <c r="AF378" s="524"/>
      <c r="AG378" s="524"/>
      <c r="AH378" s="524"/>
    </row>
    <row r="379" spans="1:34" ht="13.5">
      <c r="A379" s="524"/>
      <c r="B379" s="524"/>
      <c r="C379" s="524"/>
      <c r="D379" s="524"/>
      <c r="E379" s="524"/>
      <c r="F379" s="524"/>
      <c r="G379" s="524"/>
      <c r="H379" s="524"/>
      <c r="I379" s="524"/>
      <c r="J379" s="524"/>
      <c r="K379" s="524"/>
      <c r="L379" s="524"/>
      <c r="M379" s="524"/>
      <c r="N379" s="524"/>
      <c r="O379" s="524"/>
      <c r="P379" s="524"/>
      <c r="Q379" s="524"/>
      <c r="R379" s="524"/>
      <c r="S379" s="524"/>
      <c r="T379" s="524"/>
      <c r="U379" s="524"/>
      <c r="V379" s="524"/>
      <c r="W379" s="524"/>
      <c r="X379" s="524"/>
      <c r="Y379" s="524"/>
      <c r="Z379" s="524"/>
      <c r="AA379" s="524"/>
      <c r="AB379" s="524"/>
      <c r="AC379" s="524"/>
      <c r="AD379" s="524"/>
      <c r="AE379" s="524"/>
      <c r="AF379" s="524"/>
      <c r="AG379" s="524"/>
      <c r="AH379" s="524"/>
    </row>
    <row r="380" spans="1:34" ht="13.5">
      <c r="A380" s="524"/>
      <c r="B380" s="524"/>
      <c r="C380" s="524"/>
      <c r="D380" s="524"/>
      <c r="E380" s="524"/>
      <c r="F380" s="524"/>
      <c r="G380" s="524"/>
      <c r="H380" s="524"/>
      <c r="I380" s="524"/>
      <c r="J380" s="524"/>
      <c r="K380" s="524"/>
      <c r="L380" s="524"/>
      <c r="M380" s="524"/>
      <c r="N380" s="524"/>
      <c r="O380" s="524"/>
      <c r="P380" s="524"/>
      <c r="Q380" s="524"/>
      <c r="R380" s="524"/>
      <c r="S380" s="524"/>
      <c r="T380" s="524"/>
      <c r="U380" s="524"/>
      <c r="V380" s="524"/>
      <c r="W380" s="524"/>
      <c r="X380" s="524"/>
      <c r="Y380" s="524"/>
      <c r="Z380" s="524"/>
      <c r="AA380" s="524"/>
      <c r="AB380" s="524"/>
      <c r="AC380" s="524"/>
      <c r="AD380" s="524"/>
      <c r="AE380" s="524"/>
      <c r="AF380" s="524"/>
      <c r="AG380" s="524"/>
      <c r="AH380" s="524"/>
    </row>
    <row r="381" spans="1:34" ht="13.5">
      <c r="A381" s="524"/>
      <c r="B381" s="524"/>
      <c r="C381" s="524"/>
      <c r="D381" s="524"/>
      <c r="E381" s="524"/>
      <c r="F381" s="524"/>
      <c r="G381" s="524"/>
      <c r="H381" s="524"/>
      <c r="I381" s="524"/>
      <c r="J381" s="524"/>
      <c r="K381" s="524"/>
      <c r="L381" s="524"/>
      <c r="M381" s="524"/>
      <c r="N381" s="524"/>
      <c r="O381" s="524"/>
      <c r="P381" s="524"/>
      <c r="Q381" s="524"/>
      <c r="R381" s="524"/>
      <c r="S381" s="524"/>
      <c r="T381" s="524"/>
      <c r="U381" s="524"/>
      <c r="V381" s="524"/>
      <c r="W381" s="524"/>
      <c r="X381" s="524"/>
      <c r="Y381" s="524"/>
      <c r="Z381" s="524"/>
      <c r="AA381" s="524"/>
      <c r="AB381" s="524"/>
      <c r="AC381" s="524"/>
      <c r="AD381" s="524"/>
      <c r="AE381" s="524"/>
      <c r="AF381" s="524"/>
      <c r="AG381" s="524"/>
      <c r="AH381" s="524"/>
    </row>
    <row r="382" spans="1:34" ht="13.5">
      <c r="A382" s="524"/>
      <c r="B382" s="524"/>
      <c r="C382" s="524"/>
      <c r="D382" s="524"/>
      <c r="E382" s="524"/>
      <c r="F382" s="524"/>
      <c r="G382" s="524"/>
      <c r="H382" s="524"/>
      <c r="I382" s="524"/>
      <c r="J382" s="524"/>
      <c r="K382" s="524"/>
      <c r="L382" s="524"/>
      <c r="M382" s="524"/>
      <c r="N382" s="524"/>
      <c r="O382" s="524"/>
      <c r="P382" s="524"/>
      <c r="Q382" s="524"/>
      <c r="R382" s="524"/>
      <c r="S382" s="524"/>
      <c r="T382" s="524"/>
      <c r="U382" s="524"/>
      <c r="V382" s="524"/>
      <c r="W382" s="524"/>
      <c r="X382" s="524"/>
      <c r="Y382" s="524"/>
      <c r="Z382" s="524"/>
      <c r="AA382" s="524"/>
      <c r="AB382" s="524"/>
      <c r="AC382" s="524"/>
      <c r="AD382" s="524"/>
      <c r="AE382" s="524"/>
      <c r="AF382" s="524"/>
      <c r="AG382" s="524"/>
      <c r="AH382" s="524"/>
    </row>
    <row r="383" spans="1:34" ht="13.5">
      <c r="A383" s="524"/>
      <c r="B383" s="524"/>
      <c r="C383" s="524"/>
      <c r="D383" s="524"/>
      <c r="E383" s="524"/>
      <c r="F383" s="524"/>
      <c r="G383" s="524"/>
      <c r="H383" s="524"/>
      <c r="I383" s="524"/>
      <c r="J383" s="524"/>
      <c r="K383" s="524"/>
      <c r="L383" s="524"/>
      <c r="M383" s="524"/>
      <c r="N383" s="524"/>
      <c r="O383" s="524"/>
      <c r="P383" s="524"/>
      <c r="Q383" s="524"/>
      <c r="R383" s="524"/>
      <c r="S383" s="524"/>
      <c r="T383" s="524"/>
      <c r="U383" s="524"/>
      <c r="V383" s="524"/>
      <c r="W383" s="524"/>
      <c r="X383" s="524"/>
      <c r="Y383" s="524"/>
      <c r="Z383" s="524"/>
      <c r="AA383" s="524"/>
      <c r="AB383" s="524"/>
      <c r="AC383" s="524"/>
      <c r="AD383" s="524"/>
      <c r="AE383" s="524"/>
      <c r="AF383" s="524"/>
      <c r="AG383" s="524"/>
      <c r="AH383" s="524"/>
    </row>
    <row r="384" spans="1:34" ht="13.5">
      <c r="A384" s="524"/>
      <c r="B384" s="524"/>
      <c r="C384" s="524"/>
      <c r="D384" s="524"/>
      <c r="E384" s="524"/>
      <c r="F384" s="524"/>
      <c r="G384" s="524"/>
      <c r="H384" s="524"/>
      <c r="I384" s="524"/>
      <c r="J384" s="524"/>
      <c r="K384" s="524"/>
      <c r="L384" s="524"/>
      <c r="M384" s="524"/>
      <c r="N384" s="524"/>
      <c r="O384" s="524"/>
      <c r="P384" s="524"/>
      <c r="Q384" s="524"/>
      <c r="R384" s="524"/>
      <c r="S384" s="524"/>
      <c r="T384" s="524"/>
      <c r="U384" s="524"/>
      <c r="V384" s="524"/>
      <c r="W384" s="524"/>
      <c r="X384" s="524"/>
      <c r="Y384" s="524"/>
      <c r="Z384" s="524"/>
      <c r="AA384" s="524"/>
      <c r="AB384" s="524"/>
      <c r="AC384" s="524"/>
      <c r="AD384" s="524"/>
      <c r="AE384" s="524"/>
      <c r="AF384" s="524"/>
      <c r="AG384" s="524"/>
      <c r="AH384" s="524"/>
    </row>
    <row r="385" spans="1:34" ht="13.5">
      <c r="A385" s="524"/>
      <c r="B385" s="524"/>
      <c r="C385" s="524"/>
      <c r="D385" s="524"/>
      <c r="E385" s="524"/>
      <c r="F385" s="524"/>
      <c r="G385" s="524"/>
      <c r="H385" s="524"/>
      <c r="I385" s="524"/>
      <c r="J385" s="524"/>
      <c r="K385" s="524"/>
      <c r="L385" s="524"/>
      <c r="M385" s="524"/>
      <c r="N385" s="524"/>
      <c r="O385" s="524"/>
      <c r="P385" s="524"/>
      <c r="Q385" s="524"/>
      <c r="R385" s="524"/>
      <c r="S385" s="524"/>
      <c r="T385" s="524"/>
      <c r="U385" s="524"/>
      <c r="V385" s="524"/>
      <c r="W385" s="524"/>
      <c r="X385" s="524"/>
      <c r="Y385" s="524"/>
      <c r="Z385" s="524"/>
      <c r="AA385" s="524"/>
      <c r="AB385" s="524"/>
      <c r="AC385" s="524"/>
      <c r="AD385" s="524"/>
      <c r="AE385" s="524"/>
      <c r="AF385" s="524"/>
      <c r="AG385" s="524"/>
      <c r="AH385" s="524"/>
    </row>
    <row r="386" spans="1:34" ht="13.5">
      <c r="A386" s="524"/>
      <c r="B386" s="524"/>
      <c r="C386" s="524"/>
      <c r="D386" s="524"/>
      <c r="E386" s="524"/>
      <c r="F386" s="524"/>
      <c r="G386" s="524"/>
      <c r="H386" s="524"/>
      <c r="I386" s="524"/>
      <c r="J386" s="524"/>
      <c r="K386" s="524"/>
      <c r="L386" s="524"/>
      <c r="M386" s="524"/>
      <c r="N386" s="524"/>
      <c r="O386" s="524"/>
      <c r="P386" s="524"/>
      <c r="Q386" s="524"/>
      <c r="R386" s="524"/>
      <c r="S386" s="524"/>
      <c r="T386" s="524"/>
      <c r="U386" s="524"/>
      <c r="V386" s="524"/>
      <c r="W386" s="524"/>
      <c r="X386" s="524"/>
      <c r="Y386" s="524"/>
      <c r="Z386" s="524"/>
      <c r="AA386" s="524"/>
      <c r="AB386" s="524"/>
      <c r="AC386" s="524"/>
      <c r="AD386" s="524"/>
      <c r="AE386" s="524"/>
      <c r="AF386" s="524"/>
      <c r="AG386" s="524"/>
      <c r="AH386" s="524"/>
    </row>
    <row r="387" spans="1:34" ht="13.5">
      <c r="A387" s="524"/>
      <c r="B387" s="524"/>
      <c r="C387" s="524"/>
      <c r="D387" s="524"/>
      <c r="E387" s="524"/>
      <c r="F387" s="524"/>
      <c r="G387" s="524"/>
      <c r="H387" s="524"/>
      <c r="I387" s="524"/>
      <c r="J387" s="524"/>
      <c r="K387" s="524"/>
      <c r="L387" s="524"/>
      <c r="M387" s="524"/>
      <c r="N387" s="524"/>
      <c r="O387" s="524"/>
      <c r="P387" s="524"/>
      <c r="Q387" s="524"/>
      <c r="R387" s="524"/>
      <c r="S387" s="524"/>
      <c r="T387" s="524"/>
      <c r="U387" s="524"/>
      <c r="V387" s="524"/>
      <c r="W387" s="524"/>
      <c r="X387" s="524"/>
      <c r="Y387" s="524"/>
      <c r="Z387" s="524"/>
      <c r="AA387" s="524"/>
      <c r="AB387" s="524"/>
      <c r="AC387" s="524"/>
      <c r="AD387" s="524"/>
      <c r="AE387" s="524"/>
      <c r="AF387" s="524"/>
      <c r="AG387" s="524"/>
      <c r="AH387" s="524"/>
    </row>
    <row r="388" spans="1:34" ht="13.5">
      <c r="A388" s="524"/>
      <c r="B388" s="524"/>
      <c r="C388" s="524"/>
      <c r="D388" s="524"/>
      <c r="E388" s="524"/>
      <c r="F388" s="524"/>
      <c r="G388" s="524"/>
      <c r="H388" s="524"/>
      <c r="I388" s="524"/>
      <c r="J388" s="524"/>
      <c r="K388" s="524"/>
      <c r="L388" s="524"/>
      <c r="M388" s="524"/>
      <c r="N388" s="524"/>
      <c r="O388" s="524"/>
      <c r="P388" s="524"/>
      <c r="Q388" s="524"/>
      <c r="R388" s="524"/>
      <c r="S388" s="524"/>
      <c r="T388" s="524"/>
      <c r="U388" s="524"/>
      <c r="V388" s="524"/>
      <c r="W388" s="524"/>
      <c r="X388" s="524"/>
      <c r="Y388" s="524"/>
      <c r="Z388" s="524"/>
      <c r="AA388" s="524"/>
      <c r="AB388" s="524"/>
      <c r="AC388" s="524"/>
      <c r="AD388" s="524"/>
      <c r="AE388" s="524"/>
      <c r="AF388" s="524"/>
      <c r="AG388" s="524"/>
      <c r="AH388" s="524"/>
    </row>
    <row r="389" spans="1:34" ht="13.5">
      <c r="A389" s="524"/>
      <c r="B389" s="524"/>
      <c r="C389" s="524"/>
      <c r="D389" s="524"/>
      <c r="E389" s="524"/>
      <c r="F389" s="524"/>
      <c r="G389" s="524"/>
      <c r="H389" s="524"/>
      <c r="I389" s="524"/>
      <c r="J389" s="524"/>
      <c r="K389" s="524"/>
      <c r="L389" s="524"/>
      <c r="M389" s="524"/>
      <c r="N389" s="524"/>
      <c r="O389" s="524"/>
      <c r="P389" s="524"/>
      <c r="Q389" s="524"/>
      <c r="R389" s="524"/>
      <c r="S389" s="524"/>
      <c r="T389" s="524"/>
      <c r="U389" s="524"/>
      <c r="V389" s="524"/>
      <c r="W389" s="524"/>
      <c r="X389" s="524"/>
      <c r="Y389" s="524"/>
      <c r="Z389" s="524"/>
      <c r="AA389" s="524"/>
      <c r="AB389" s="524"/>
      <c r="AC389" s="524"/>
      <c r="AD389" s="524"/>
      <c r="AE389" s="524"/>
      <c r="AF389" s="524"/>
      <c r="AG389" s="524"/>
      <c r="AH389" s="524"/>
    </row>
    <row r="390" spans="1:34" ht="13.5">
      <c r="A390" s="524"/>
      <c r="B390" s="524"/>
      <c r="C390" s="524"/>
      <c r="D390" s="524"/>
      <c r="E390" s="524"/>
      <c r="F390" s="524"/>
      <c r="G390" s="524"/>
      <c r="H390" s="524"/>
      <c r="I390" s="524"/>
      <c r="J390" s="524"/>
      <c r="K390" s="524"/>
      <c r="L390" s="524"/>
      <c r="M390" s="524"/>
      <c r="N390" s="524"/>
      <c r="O390" s="524"/>
      <c r="P390" s="524"/>
      <c r="Q390" s="524"/>
      <c r="R390" s="524"/>
      <c r="S390" s="524"/>
      <c r="T390" s="524"/>
      <c r="U390" s="524"/>
      <c r="V390" s="524"/>
      <c r="W390" s="524"/>
      <c r="X390" s="524"/>
      <c r="Y390" s="524"/>
      <c r="Z390" s="524"/>
      <c r="AA390" s="524"/>
      <c r="AB390" s="524"/>
      <c r="AC390" s="524"/>
      <c r="AD390" s="524"/>
      <c r="AE390" s="524"/>
      <c r="AF390" s="524"/>
      <c r="AG390" s="524"/>
      <c r="AH390" s="524"/>
    </row>
    <row r="391" spans="1:34" ht="13.5">
      <c r="A391" s="524"/>
      <c r="B391" s="524"/>
      <c r="C391" s="524"/>
      <c r="D391" s="524"/>
      <c r="E391" s="524"/>
      <c r="F391" s="524"/>
      <c r="G391" s="524"/>
      <c r="H391" s="524"/>
      <c r="I391" s="524"/>
      <c r="J391" s="524"/>
      <c r="K391" s="524"/>
      <c r="L391" s="524"/>
      <c r="M391" s="524"/>
      <c r="N391" s="524"/>
      <c r="O391" s="524"/>
      <c r="P391" s="524"/>
      <c r="Q391" s="524"/>
      <c r="R391" s="524"/>
      <c r="S391" s="524"/>
      <c r="T391" s="524"/>
      <c r="U391" s="524"/>
      <c r="V391" s="524"/>
      <c r="W391" s="524"/>
      <c r="X391" s="524"/>
      <c r="Y391" s="524"/>
      <c r="Z391" s="524"/>
      <c r="AA391" s="524"/>
      <c r="AB391" s="524"/>
      <c r="AC391" s="524"/>
      <c r="AD391" s="524"/>
      <c r="AE391" s="524"/>
      <c r="AF391" s="524"/>
      <c r="AG391" s="524"/>
      <c r="AH391" s="524"/>
    </row>
    <row r="392" spans="1:34" ht="13.5">
      <c r="A392" s="524"/>
      <c r="B392" s="524"/>
      <c r="C392" s="524"/>
      <c r="D392" s="524"/>
      <c r="E392" s="524"/>
      <c r="F392" s="524"/>
      <c r="G392" s="524"/>
      <c r="H392" s="524"/>
      <c r="I392" s="524"/>
      <c r="J392" s="524"/>
      <c r="K392" s="524"/>
      <c r="L392" s="524"/>
      <c r="M392" s="524"/>
      <c r="N392" s="524"/>
      <c r="O392" s="524"/>
      <c r="P392" s="524"/>
      <c r="Q392" s="524"/>
      <c r="R392" s="524"/>
      <c r="S392" s="524"/>
      <c r="T392" s="524"/>
      <c r="U392" s="524"/>
      <c r="V392" s="524"/>
      <c r="W392" s="524"/>
      <c r="X392" s="524"/>
      <c r="Y392" s="524"/>
      <c r="Z392" s="524"/>
      <c r="AA392" s="524"/>
      <c r="AB392" s="524"/>
      <c r="AC392" s="524"/>
      <c r="AD392" s="524"/>
      <c r="AE392" s="524"/>
      <c r="AF392" s="524"/>
      <c r="AG392" s="524"/>
      <c r="AH392" s="524"/>
    </row>
    <row r="393" spans="1:34" ht="13.5">
      <c r="A393" s="524"/>
      <c r="B393" s="524"/>
      <c r="C393" s="524"/>
      <c r="D393" s="524"/>
      <c r="E393" s="524"/>
      <c r="F393" s="524"/>
      <c r="G393" s="524"/>
      <c r="H393" s="524"/>
      <c r="I393" s="524"/>
      <c r="J393" s="524"/>
      <c r="K393" s="524"/>
      <c r="L393" s="524"/>
      <c r="M393" s="524"/>
      <c r="N393" s="524"/>
      <c r="O393" s="524"/>
      <c r="P393" s="524"/>
      <c r="Q393" s="524"/>
      <c r="R393" s="524"/>
      <c r="S393" s="524"/>
      <c r="T393" s="524"/>
      <c r="U393" s="524"/>
      <c r="V393" s="524"/>
      <c r="W393" s="524"/>
      <c r="X393" s="524"/>
      <c r="Y393" s="524"/>
      <c r="Z393" s="524"/>
      <c r="AA393" s="524"/>
      <c r="AB393" s="524"/>
      <c r="AC393" s="524"/>
      <c r="AD393" s="524"/>
      <c r="AE393" s="524"/>
      <c r="AF393" s="524"/>
      <c r="AG393" s="524"/>
      <c r="AH393" s="524"/>
    </row>
    <row r="394" spans="1:34" ht="13.5">
      <c r="A394" s="524"/>
      <c r="B394" s="524"/>
      <c r="C394" s="524"/>
      <c r="D394" s="524"/>
      <c r="E394" s="524"/>
      <c r="F394" s="524"/>
      <c r="G394" s="524"/>
      <c r="H394" s="524"/>
      <c r="I394" s="524"/>
      <c r="J394" s="524"/>
      <c r="K394" s="524"/>
      <c r="L394" s="524"/>
      <c r="M394" s="524"/>
      <c r="N394" s="524"/>
      <c r="O394" s="524"/>
      <c r="P394" s="524"/>
      <c r="Q394" s="524"/>
      <c r="R394" s="524"/>
      <c r="S394" s="524"/>
      <c r="T394" s="524"/>
      <c r="U394" s="524"/>
      <c r="V394" s="524"/>
      <c r="W394" s="524"/>
      <c r="X394" s="524"/>
      <c r="Y394" s="524"/>
      <c r="Z394" s="524"/>
      <c r="AA394" s="524"/>
      <c r="AB394" s="524"/>
      <c r="AC394" s="524"/>
      <c r="AD394" s="524"/>
      <c r="AE394" s="524"/>
      <c r="AF394" s="524"/>
      <c r="AG394" s="524"/>
      <c r="AH394" s="524"/>
    </row>
    <row r="395" spans="1:34" ht="13.5">
      <c r="A395" s="524"/>
      <c r="B395" s="524"/>
      <c r="C395" s="524"/>
      <c r="D395" s="524"/>
      <c r="E395" s="524"/>
      <c r="F395" s="524"/>
      <c r="G395" s="524"/>
      <c r="H395" s="524"/>
      <c r="I395" s="524"/>
      <c r="J395" s="524"/>
      <c r="K395" s="524"/>
      <c r="L395" s="524"/>
      <c r="M395" s="524"/>
      <c r="N395" s="524"/>
      <c r="O395" s="524"/>
      <c r="P395" s="524"/>
      <c r="Q395" s="524"/>
      <c r="R395" s="524"/>
      <c r="S395" s="524"/>
      <c r="T395" s="524"/>
      <c r="U395" s="524"/>
      <c r="V395" s="524"/>
      <c r="W395" s="524"/>
      <c r="X395" s="524"/>
      <c r="Y395" s="524"/>
      <c r="Z395" s="524"/>
      <c r="AA395" s="524"/>
      <c r="AB395" s="524"/>
      <c r="AC395" s="524"/>
      <c r="AD395" s="524"/>
      <c r="AE395" s="524"/>
      <c r="AF395" s="524"/>
      <c r="AG395" s="524"/>
      <c r="AH395" s="524"/>
    </row>
    <row r="396" spans="1:34" ht="13.5">
      <c r="A396" s="524"/>
      <c r="B396" s="524"/>
      <c r="C396" s="524"/>
      <c r="D396" s="524"/>
      <c r="E396" s="524"/>
      <c r="F396" s="524"/>
      <c r="G396" s="524"/>
      <c r="H396" s="524"/>
      <c r="I396" s="524"/>
      <c r="J396" s="524"/>
      <c r="K396" s="524"/>
      <c r="L396" s="524"/>
      <c r="M396" s="524"/>
      <c r="N396" s="524"/>
      <c r="O396" s="524"/>
      <c r="P396" s="524"/>
      <c r="Q396" s="524"/>
      <c r="R396" s="524"/>
      <c r="S396" s="524"/>
      <c r="T396" s="524"/>
      <c r="U396" s="524"/>
      <c r="V396" s="524"/>
      <c r="W396" s="524"/>
      <c r="X396" s="524"/>
      <c r="Y396" s="524"/>
      <c r="Z396" s="524"/>
      <c r="AA396" s="524"/>
      <c r="AB396" s="524"/>
      <c r="AC396" s="524"/>
      <c r="AD396" s="524"/>
      <c r="AE396" s="524"/>
      <c r="AF396" s="524"/>
      <c r="AG396" s="524"/>
      <c r="AH396" s="524"/>
    </row>
    <row r="397" spans="1:34" ht="13.5">
      <c r="A397" s="524"/>
      <c r="B397" s="524"/>
      <c r="C397" s="524"/>
      <c r="D397" s="524"/>
      <c r="E397" s="524"/>
      <c r="F397" s="524"/>
      <c r="G397" s="524"/>
      <c r="H397" s="524"/>
      <c r="I397" s="524"/>
      <c r="J397" s="524"/>
      <c r="K397" s="524"/>
      <c r="L397" s="524"/>
      <c r="M397" s="524"/>
      <c r="N397" s="524"/>
      <c r="O397" s="524"/>
      <c r="P397" s="524"/>
      <c r="Q397" s="524"/>
      <c r="R397" s="524"/>
      <c r="S397" s="524"/>
      <c r="T397" s="524"/>
      <c r="U397" s="524"/>
      <c r="V397" s="524"/>
      <c r="W397" s="524"/>
      <c r="X397" s="524"/>
      <c r="Y397" s="524"/>
      <c r="Z397" s="524"/>
      <c r="AA397" s="524"/>
      <c r="AB397" s="524"/>
      <c r="AC397" s="524"/>
      <c r="AD397" s="524"/>
      <c r="AE397" s="524"/>
      <c r="AF397" s="524"/>
      <c r="AG397" s="524"/>
      <c r="AH397" s="524"/>
    </row>
    <row r="398" spans="1:34" ht="13.5">
      <c r="A398" s="524"/>
      <c r="B398" s="524"/>
      <c r="C398" s="524"/>
      <c r="D398" s="524"/>
      <c r="E398" s="524"/>
      <c r="F398" s="524"/>
      <c r="G398" s="524"/>
      <c r="H398" s="524"/>
      <c r="I398" s="524"/>
      <c r="J398" s="524"/>
      <c r="K398" s="524"/>
      <c r="L398" s="524"/>
      <c r="M398" s="524"/>
      <c r="N398" s="524"/>
      <c r="O398" s="524"/>
      <c r="P398" s="524"/>
      <c r="Q398" s="524"/>
      <c r="R398" s="524"/>
      <c r="S398" s="524"/>
      <c r="T398" s="524"/>
      <c r="U398" s="524"/>
      <c r="V398" s="524"/>
      <c r="W398" s="524"/>
      <c r="X398" s="524"/>
      <c r="Y398" s="524"/>
      <c r="Z398" s="524"/>
      <c r="AA398" s="524"/>
      <c r="AB398" s="524"/>
      <c r="AC398" s="524"/>
      <c r="AD398" s="524"/>
      <c r="AE398" s="524"/>
      <c r="AF398" s="524"/>
      <c r="AG398" s="524"/>
      <c r="AH398" s="524"/>
    </row>
    <row r="399" spans="1:34" ht="13.5">
      <c r="A399" s="524"/>
      <c r="B399" s="524"/>
      <c r="C399" s="524"/>
      <c r="D399" s="524"/>
      <c r="E399" s="524"/>
      <c r="F399" s="524"/>
      <c r="G399" s="524"/>
      <c r="H399" s="524"/>
      <c r="I399" s="524"/>
      <c r="J399" s="524"/>
      <c r="K399" s="524"/>
      <c r="L399" s="524"/>
      <c r="M399" s="524"/>
      <c r="N399" s="524"/>
      <c r="O399" s="524"/>
      <c r="P399" s="524"/>
      <c r="Q399" s="524"/>
      <c r="R399" s="524"/>
      <c r="S399" s="524"/>
      <c r="T399" s="524"/>
      <c r="U399" s="524"/>
      <c r="V399" s="524"/>
      <c r="W399" s="524"/>
      <c r="X399" s="524"/>
      <c r="Y399" s="524"/>
      <c r="Z399" s="524"/>
      <c r="AA399" s="524"/>
      <c r="AB399" s="524"/>
      <c r="AC399" s="524"/>
      <c r="AD399" s="524"/>
      <c r="AE399" s="524"/>
      <c r="AF399" s="524"/>
      <c r="AG399" s="524"/>
      <c r="AH399" s="524"/>
    </row>
    <row r="400" spans="1:34" ht="13.5">
      <c r="A400" s="524"/>
      <c r="B400" s="524"/>
      <c r="C400" s="524"/>
      <c r="D400" s="524"/>
      <c r="E400" s="524"/>
      <c r="F400" s="524"/>
      <c r="G400" s="524"/>
      <c r="H400" s="524"/>
      <c r="I400" s="524"/>
      <c r="J400" s="524"/>
      <c r="K400" s="524"/>
      <c r="L400" s="524"/>
      <c r="M400" s="524"/>
      <c r="N400" s="524"/>
      <c r="O400" s="524"/>
      <c r="P400" s="524"/>
      <c r="Q400" s="524"/>
      <c r="R400" s="524"/>
      <c r="S400" s="524"/>
      <c r="T400" s="524"/>
      <c r="U400" s="524"/>
      <c r="V400" s="524"/>
      <c r="W400" s="524"/>
      <c r="X400" s="524"/>
      <c r="Y400" s="524"/>
      <c r="Z400" s="524"/>
      <c r="AA400" s="524"/>
      <c r="AB400" s="524"/>
      <c r="AC400" s="524"/>
      <c r="AD400" s="524"/>
      <c r="AE400" s="524"/>
      <c r="AF400" s="524"/>
      <c r="AG400" s="524"/>
      <c r="AH400" s="524"/>
    </row>
    <row r="401" spans="1:34" ht="13.5">
      <c r="A401" s="524"/>
      <c r="B401" s="524"/>
      <c r="C401" s="524"/>
      <c r="D401" s="524"/>
      <c r="E401" s="524"/>
      <c r="F401" s="524"/>
      <c r="G401" s="524"/>
      <c r="H401" s="524"/>
      <c r="I401" s="524"/>
      <c r="J401" s="524"/>
      <c r="K401" s="524"/>
      <c r="L401" s="524"/>
      <c r="M401" s="524"/>
      <c r="N401" s="524"/>
      <c r="O401" s="524"/>
      <c r="P401" s="524"/>
      <c r="Q401" s="524"/>
      <c r="R401" s="524"/>
      <c r="S401" s="524"/>
      <c r="T401" s="524"/>
      <c r="U401" s="524"/>
      <c r="V401" s="524"/>
      <c r="W401" s="524"/>
      <c r="X401" s="524"/>
      <c r="Y401" s="524"/>
      <c r="Z401" s="524"/>
      <c r="AA401" s="524"/>
      <c r="AB401" s="524"/>
      <c r="AC401" s="524"/>
      <c r="AD401" s="524"/>
      <c r="AE401" s="524"/>
      <c r="AF401" s="524"/>
      <c r="AG401" s="524"/>
      <c r="AH401" s="524"/>
    </row>
    <row r="402" spans="1:34" ht="13.5">
      <c r="A402" s="524"/>
      <c r="B402" s="524"/>
      <c r="C402" s="524"/>
      <c r="D402" s="524"/>
      <c r="E402" s="524"/>
      <c r="F402" s="524"/>
      <c r="G402" s="524"/>
      <c r="H402" s="524"/>
      <c r="I402" s="524"/>
      <c r="J402" s="524"/>
      <c r="K402" s="524"/>
      <c r="L402" s="524"/>
      <c r="M402" s="524"/>
      <c r="N402" s="524"/>
      <c r="O402" s="524"/>
      <c r="P402" s="524"/>
      <c r="Q402" s="524"/>
      <c r="R402" s="524"/>
      <c r="S402" s="524"/>
      <c r="T402" s="524"/>
      <c r="U402" s="524"/>
      <c r="V402" s="524"/>
      <c r="W402" s="524"/>
      <c r="X402" s="524"/>
      <c r="Y402" s="524"/>
      <c r="Z402" s="524"/>
      <c r="AA402" s="524"/>
      <c r="AB402" s="524"/>
      <c r="AC402" s="524"/>
      <c r="AD402" s="524"/>
      <c r="AE402" s="524"/>
      <c r="AF402" s="524"/>
      <c r="AG402" s="524"/>
      <c r="AH402" s="524"/>
    </row>
    <row r="403" spans="1:34" ht="13.5">
      <c r="A403" s="524"/>
      <c r="B403" s="524"/>
      <c r="C403" s="524"/>
      <c r="D403" s="524"/>
      <c r="E403" s="524"/>
      <c r="F403" s="524"/>
      <c r="G403" s="524"/>
      <c r="H403" s="524"/>
      <c r="I403" s="524"/>
      <c r="J403" s="524"/>
      <c r="K403" s="524"/>
      <c r="L403" s="524"/>
      <c r="M403" s="524"/>
      <c r="N403" s="524"/>
      <c r="O403" s="524"/>
      <c r="P403" s="524"/>
      <c r="Q403" s="524"/>
      <c r="R403" s="524"/>
      <c r="S403" s="524"/>
      <c r="T403" s="524"/>
      <c r="U403" s="524"/>
      <c r="V403" s="524"/>
      <c r="W403" s="524"/>
      <c r="X403" s="524"/>
      <c r="Y403" s="524"/>
      <c r="Z403" s="524"/>
      <c r="AA403" s="524"/>
      <c r="AB403" s="524"/>
      <c r="AC403" s="524"/>
      <c r="AD403" s="524"/>
      <c r="AE403" s="524"/>
      <c r="AF403" s="524"/>
      <c r="AG403" s="524"/>
      <c r="AH403" s="524"/>
    </row>
    <row r="404" spans="1:34" ht="13.5">
      <c r="A404" s="524"/>
      <c r="B404" s="524"/>
      <c r="C404" s="524"/>
      <c r="D404" s="524"/>
      <c r="E404" s="524"/>
      <c r="F404" s="524"/>
      <c r="G404" s="524"/>
      <c r="H404" s="524"/>
      <c r="I404" s="524"/>
      <c r="J404" s="524"/>
      <c r="K404" s="524"/>
      <c r="L404" s="524"/>
      <c r="M404" s="524"/>
      <c r="N404" s="524"/>
      <c r="O404" s="524"/>
      <c r="P404" s="524"/>
      <c r="Q404" s="524"/>
      <c r="R404" s="524"/>
      <c r="S404" s="524"/>
      <c r="T404" s="524"/>
      <c r="U404" s="524"/>
      <c r="V404" s="524"/>
      <c r="W404" s="524"/>
      <c r="X404" s="524"/>
      <c r="Y404" s="524"/>
      <c r="Z404" s="524"/>
      <c r="AA404" s="524"/>
      <c r="AB404" s="524"/>
      <c r="AC404" s="524"/>
      <c r="AD404" s="524"/>
      <c r="AE404" s="524"/>
      <c r="AF404" s="524"/>
      <c r="AG404" s="524"/>
      <c r="AH404" s="524"/>
    </row>
    <row r="405" spans="1:34" ht="13.5">
      <c r="A405" s="524"/>
      <c r="B405" s="524"/>
      <c r="C405" s="524"/>
      <c r="D405" s="524"/>
      <c r="E405" s="524"/>
      <c r="F405" s="524"/>
      <c r="G405" s="524"/>
      <c r="H405" s="524"/>
      <c r="I405" s="524"/>
      <c r="J405" s="524"/>
      <c r="K405" s="524"/>
      <c r="L405" s="524"/>
      <c r="M405" s="524"/>
      <c r="N405" s="524"/>
      <c r="O405" s="524"/>
      <c r="P405" s="524"/>
      <c r="Q405" s="524"/>
      <c r="R405" s="524"/>
      <c r="S405" s="524"/>
      <c r="T405" s="524"/>
      <c r="U405" s="524"/>
      <c r="V405" s="524"/>
      <c r="W405" s="524"/>
      <c r="X405" s="524"/>
      <c r="Y405" s="524"/>
      <c r="Z405" s="524"/>
      <c r="AA405" s="524"/>
      <c r="AB405" s="524"/>
      <c r="AC405" s="524"/>
      <c r="AD405" s="524"/>
      <c r="AE405" s="524"/>
      <c r="AF405" s="524"/>
      <c r="AG405" s="524"/>
      <c r="AH405" s="524"/>
    </row>
    <row r="406" spans="1:34" ht="13.5">
      <c r="A406" s="524"/>
      <c r="B406" s="524"/>
      <c r="C406" s="524"/>
      <c r="D406" s="524"/>
      <c r="E406" s="524"/>
      <c r="F406" s="524"/>
      <c r="G406" s="524"/>
      <c r="H406" s="524"/>
      <c r="I406" s="524"/>
      <c r="J406" s="524"/>
      <c r="K406" s="524"/>
      <c r="L406" s="524"/>
      <c r="M406" s="524"/>
      <c r="N406" s="524"/>
      <c r="O406" s="524"/>
      <c r="P406" s="524"/>
      <c r="Q406" s="524"/>
      <c r="R406" s="524"/>
      <c r="S406" s="524"/>
      <c r="T406" s="524"/>
      <c r="U406" s="524"/>
      <c r="V406" s="524"/>
      <c r="W406" s="524"/>
      <c r="X406" s="524"/>
      <c r="Y406" s="524"/>
      <c r="Z406" s="524"/>
      <c r="AA406" s="524"/>
      <c r="AB406" s="524"/>
      <c r="AC406" s="524"/>
      <c r="AD406" s="524"/>
      <c r="AE406" s="524"/>
      <c r="AF406" s="524"/>
      <c r="AG406" s="524"/>
      <c r="AH406" s="524"/>
    </row>
    <row r="407" spans="1:34" ht="13.5">
      <c r="A407" s="524"/>
      <c r="B407" s="524"/>
      <c r="C407" s="524"/>
      <c r="D407" s="524"/>
      <c r="E407" s="524"/>
      <c r="F407" s="524"/>
      <c r="G407" s="524"/>
      <c r="H407" s="524"/>
      <c r="I407" s="524"/>
      <c r="J407" s="524"/>
      <c r="K407" s="524"/>
      <c r="L407" s="524"/>
      <c r="M407" s="524"/>
      <c r="N407" s="524"/>
      <c r="O407" s="524"/>
      <c r="P407" s="524"/>
      <c r="Q407" s="524"/>
      <c r="R407" s="524"/>
      <c r="S407" s="524"/>
      <c r="T407" s="524"/>
      <c r="U407" s="524"/>
      <c r="V407" s="524"/>
      <c r="W407" s="524"/>
      <c r="X407" s="524"/>
      <c r="Y407" s="524"/>
      <c r="Z407" s="524"/>
      <c r="AA407" s="524"/>
      <c r="AB407" s="524"/>
      <c r="AC407" s="524"/>
      <c r="AD407" s="524"/>
      <c r="AE407" s="524"/>
      <c r="AF407" s="524"/>
      <c r="AG407" s="524"/>
      <c r="AH407" s="524"/>
    </row>
    <row r="408" spans="1:34" ht="13.5">
      <c r="A408" s="524"/>
      <c r="B408" s="524"/>
      <c r="C408" s="524"/>
      <c r="D408" s="524"/>
      <c r="E408" s="524"/>
      <c r="F408" s="524"/>
      <c r="G408" s="524"/>
      <c r="H408" s="524"/>
      <c r="I408" s="524"/>
      <c r="J408" s="524"/>
      <c r="K408" s="524"/>
      <c r="L408" s="524"/>
      <c r="M408" s="524"/>
      <c r="N408" s="524"/>
      <c r="O408" s="524"/>
      <c r="P408" s="524"/>
      <c r="Q408" s="524"/>
      <c r="R408" s="524"/>
      <c r="S408" s="524"/>
      <c r="T408" s="524"/>
      <c r="U408" s="524"/>
      <c r="V408" s="524"/>
      <c r="W408" s="524"/>
      <c r="X408" s="524"/>
      <c r="Y408" s="524"/>
      <c r="Z408" s="524"/>
      <c r="AA408" s="524"/>
      <c r="AB408" s="524"/>
      <c r="AC408" s="524"/>
      <c r="AD408" s="524"/>
      <c r="AE408" s="524"/>
      <c r="AF408" s="524"/>
      <c r="AG408" s="524"/>
      <c r="AH408" s="524"/>
    </row>
    <row r="409" spans="1:34" ht="13.5">
      <c r="A409" s="524"/>
      <c r="B409" s="524"/>
      <c r="C409" s="524"/>
      <c r="D409" s="524"/>
      <c r="E409" s="524"/>
      <c r="F409" s="524"/>
      <c r="G409" s="524"/>
      <c r="H409" s="524"/>
      <c r="I409" s="524"/>
      <c r="J409" s="524"/>
      <c r="K409" s="524"/>
      <c r="L409" s="524"/>
      <c r="M409" s="524"/>
      <c r="N409" s="524"/>
      <c r="O409" s="524"/>
      <c r="P409" s="524"/>
      <c r="Q409" s="524"/>
      <c r="R409" s="524"/>
      <c r="S409" s="524"/>
      <c r="T409" s="524"/>
      <c r="U409" s="524"/>
      <c r="V409" s="524"/>
      <c r="W409" s="524"/>
      <c r="X409" s="524"/>
      <c r="Y409" s="524"/>
      <c r="Z409" s="524"/>
      <c r="AA409" s="524"/>
      <c r="AB409" s="524"/>
      <c r="AC409" s="524"/>
      <c r="AD409" s="524"/>
      <c r="AE409" s="524"/>
      <c r="AF409" s="524"/>
      <c r="AG409" s="524"/>
      <c r="AH409" s="524"/>
    </row>
    <row r="410" spans="1:34" ht="13.5">
      <c r="A410" s="524"/>
      <c r="B410" s="524"/>
      <c r="C410" s="524"/>
      <c r="D410" s="524"/>
      <c r="E410" s="524"/>
      <c r="F410" s="524"/>
      <c r="G410" s="524"/>
      <c r="H410" s="524"/>
      <c r="I410" s="524"/>
      <c r="J410" s="524"/>
      <c r="K410" s="524"/>
      <c r="L410" s="524"/>
      <c r="M410" s="524"/>
      <c r="N410" s="524"/>
      <c r="O410" s="524"/>
      <c r="P410" s="524"/>
      <c r="Q410" s="524"/>
      <c r="R410" s="524"/>
      <c r="S410" s="524"/>
      <c r="T410" s="524"/>
      <c r="U410" s="524"/>
      <c r="V410" s="524"/>
      <c r="W410" s="524"/>
      <c r="X410" s="524"/>
      <c r="Y410" s="524"/>
      <c r="Z410" s="524"/>
      <c r="AA410" s="524"/>
      <c r="AB410" s="524"/>
      <c r="AC410" s="524"/>
      <c r="AD410" s="524"/>
      <c r="AE410" s="524"/>
      <c r="AF410" s="524"/>
      <c r="AG410" s="524"/>
      <c r="AH410" s="524"/>
    </row>
    <row r="411" spans="1:34" ht="13.5">
      <c r="A411" s="524"/>
      <c r="B411" s="524"/>
      <c r="C411" s="524"/>
      <c r="D411" s="524"/>
      <c r="E411" s="524"/>
      <c r="F411" s="524"/>
      <c r="G411" s="524"/>
      <c r="H411" s="524"/>
      <c r="I411" s="524"/>
      <c r="J411" s="524"/>
      <c r="K411" s="524"/>
      <c r="L411" s="524"/>
      <c r="M411" s="524"/>
      <c r="N411" s="524"/>
      <c r="O411" s="524"/>
      <c r="P411" s="524"/>
      <c r="Q411" s="524"/>
      <c r="R411" s="524"/>
      <c r="S411" s="524"/>
      <c r="T411" s="524"/>
      <c r="U411" s="524"/>
      <c r="V411" s="524"/>
      <c r="W411" s="524"/>
      <c r="X411" s="524"/>
      <c r="Y411" s="524"/>
      <c r="Z411" s="524"/>
      <c r="AA411" s="524"/>
      <c r="AB411" s="524"/>
      <c r="AC411" s="524"/>
      <c r="AD411" s="524"/>
      <c r="AE411" s="524"/>
      <c r="AF411" s="524"/>
      <c r="AG411" s="524"/>
      <c r="AH411" s="524"/>
    </row>
    <row r="412" spans="1:34" ht="13.5">
      <c r="A412" s="524"/>
      <c r="B412" s="524"/>
      <c r="C412" s="524"/>
      <c r="D412" s="524"/>
      <c r="E412" s="524"/>
      <c r="F412" s="524"/>
      <c r="G412" s="524"/>
      <c r="H412" s="524"/>
      <c r="I412" s="524"/>
      <c r="J412" s="524"/>
      <c r="K412" s="524"/>
      <c r="L412" s="524"/>
      <c r="M412" s="524"/>
      <c r="N412" s="524"/>
      <c r="O412" s="524"/>
      <c r="P412" s="524"/>
      <c r="Q412" s="524"/>
      <c r="R412" s="524"/>
      <c r="S412" s="524"/>
      <c r="T412" s="524"/>
      <c r="U412" s="524"/>
      <c r="V412" s="524"/>
      <c r="W412" s="524"/>
      <c r="X412" s="524"/>
      <c r="Y412" s="524"/>
      <c r="Z412" s="524"/>
      <c r="AA412" s="524"/>
      <c r="AB412" s="524"/>
      <c r="AC412" s="524"/>
      <c r="AD412" s="524"/>
      <c r="AE412" s="524"/>
      <c r="AF412" s="524"/>
      <c r="AG412" s="524"/>
      <c r="AH412" s="524"/>
    </row>
    <row r="413" spans="1:34" ht="13.5">
      <c r="A413" s="524"/>
      <c r="B413" s="524"/>
      <c r="C413" s="524"/>
      <c r="D413" s="524"/>
      <c r="E413" s="524"/>
      <c r="F413" s="524"/>
      <c r="G413" s="524"/>
      <c r="H413" s="524"/>
      <c r="I413" s="524"/>
      <c r="J413" s="524"/>
      <c r="K413" s="524"/>
      <c r="L413" s="524"/>
      <c r="M413" s="524"/>
      <c r="N413" s="524"/>
      <c r="O413" s="524"/>
      <c r="P413" s="524"/>
      <c r="Q413" s="524"/>
      <c r="R413" s="524"/>
      <c r="S413" s="524"/>
      <c r="T413" s="524"/>
      <c r="U413" s="524"/>
      <c r="V413" s="524"/>
      <c r="W413" s="524"/>
      <c r="X413" s="524"/>
      <c r="Y413" s="524"/>
      <c r="Z413" s="524"/>
      <c r="AA413" s="524"/>
      <c r="AB413" s="524"/>
      <c r="AC413" s="524"/>
      <c r="AD413" s="524"/>
      <c r="AE413" s="524"/>
      <c r="AF413" s="524"/>
      <c r="AG413" s="524"/>
      <c r="AH413" s="524"/>
    </row>
    <row r="414" spans="1:34" ht="13.5">
      <c r="A414" s="524"/>
      <c r="B414" s="524"/>
      <c r="C414" s="524"/>
      <c r="D414" s="524"/>
      <c r="E414" s="524"/>
      <c r="F414" s="524"/>
      <c r="G414" s="524"/>
      <c r="H414" s="524"/>
      <c r="I414" s="524"/>
      <c r="J414" s="524"/>
      <c r="K414" s="524"/>
      <c r="L414" s="524"/>
      <c r="M414" s="524"/>
      <c r="N414" s="524"/>
      <c r="O414" s="524"/>
      <c r="P414" s="524"/>
      <c r="Q414" s="524"/>
      <c r="R414" s="524"/>
      <c r="S414" s="524"/>
      <c r="T414" s="524"/>
      <c r="U414" s="524"/>
      <c r="V414" s="524"/>
      <c r="W414" s="524"/>
      <c r="X414" s="524"/>
      <c r="Y414" s="524"/>
      <c r="Z414" s="524"/>
      <c r="AA414" s="524"/>
      <c r="AB414" s="524"/>
      <c r="AC414" s="524"/>
      <c r="AD414" s="524"/>
      <c r="AE414" s="524"/>
      <c r="AF414" s="524"/>
      <c r="AG414" s="524"/>
      <c r="AH414" s="524"/>
    </row>
    <row r="415" spans="1:34" ht="13.5">
      <c r="A415" s="524"/>
      <c r="B415" s="524"/>
      <c r="C415" s="524"/>
      <c r="D415" s="524"/>
      <c r="E415" s="524"/>
      <c r="F415" s="524"/>
      <c r="G415" s="524"/>
      <c r="H415" s="524"/>
      <c r="I415" s="524"/>
      <c r="J415" s="524"/>
      <c r="K415" s="524"/>
      <c r="L415" s="524"/>
      <c r="M415" s="524"/>
      <c r="N415" s="524"/>
      <c r="O415" s="524"/>
      <c r="P415" s="524"/>
      <c r="Q415" s="524"/>
      <c r="R415" s="524"/>
      <c r="S415" s="524"/>
      <c r="T415" s="524"/>
      <c r="U415" s="524"/>
      <c r="V415" s="524"/>
      <c r="W415" s="524"/>
      <c r="X415" s="524"/>
      <c r="Y415" s="524"/>
      <c r="Z415" s="524"/>
      <c r="AA415" s="524"/>
      <c r="AB415" s="524"/>
      <c r="AC415" s="524"/>
      <c r="AD415" s="524"/>
      <c r="AE415" s="524"/>
      <c r="AF415" s="524"/>
      <c r="AG415" s="524"/>
      <c r="AH415" s="524"/>
    </row>
    <row r="416" spans="1:34" ht="13.5">
      <c r="A416" s="524"/>
      <c r="B416" s="524"/>
      <c r="C416" s="524"/>
      <c r="D416" s="524"/>
      <c r="E416" s="524"/>
      <c r="F416" s="524"/>
      <c r="G416" s="524"/>
      <c r="H416" s="524"/>
      <c r="I416" s="524"/>
      <c r="J416" s="524"/>
      <c r="K416" s="524"/>
      <c r="L416" s="524"/>
      <c r="M416" s="524"/>
      <c r="N416" s="524"/>
      <c r="O416" s="524"/>
      <c r="P416" s="524"/>
      <c r="Q416" s="524"/>
      <c r="R416" s="524"/>
      <c r="S416" s="524"/>
      <c r="T416" s="524"/>
      <c r="U416" s="524"/>
      <c r="V416" s="524"/>
      <c r="W416" s="524"/>
      <c r="X416" s="524"/>
      <c r="Y416" s="524"/>
      <c r="Z416" s="524"/>
      <c r="AA416" s="524"/>
      <c r="AB416" s="524"/>
      <c r="AC416" s="524"/>
      <c r="AD416" s="524"/>
      <c r="AE416" s="524"/>
      <c r="AF416" s="524"/>
      <c r="AG416" s="524"/>
      <c r="AH416" s="524"/>
    </row>
    <row r="417" spans="1:34" ht="13.5">
      <c r="A417" s="524"/>
      <c r="B417" s="524"/>
      <c r="C417" s="524"/>
      <c r="D417" s="524"/>
      <c r="E417" s="524"/>
      <c r="F417" s="524"/>
      <c r="G417" s="524"/>
      <c r="H417" s="524"/>
      <c r="I417" s="524"/>
      <c r="J417" s="524"/>
      <c r="K417" s="524"/>
      <c r="L417" s="524"/>
      <c r="M417" s="524"/>
      <c r="N417" s="524"/>
      <c r="O417" s="524"/>
      <c r="P417" s="524"/>
      <c r="Q417" s="524"/>
      <c r="R417" s="524"/>
      <c r="S417" s="524"/>
      <c r="T417" s="524"/>
      <c r="U417" s="524"/>
      <c r="V417" s="524"/>
      <c r="W417" s="524"/>
      <c r="X417" s="524"/>
      <c r="Y417" s="524"/>
      <c r="Z417" s="524"/>
      <c r="AA417" s="524"/>
      <c r="AB417" s="524"/>
      <c r="AC417" s="524"/>
      <c r="AD417" s="524"/>
      <c r="AE417" s="524"/>
      <c r="AF417" s="524"/>
      <c r="AG417" s="524"/>
      <c r="AH417" s="524"/>
    </row>
    <row r="418" spans="1:34" ht="13.5">
      <c r="A418" s="524"/>
      <c r="B418" s="524"/>
      <c r="C418" s="524"/>
      <c r="D418" s="524"/>
      <c r="E418" s="524"/>
      <c r="F418" s="524"/>
      <c r="G418" s="524"/>
      <c r="H418" s="524"/>
      <c r="I418" s="524"/>
      <c r="J418" s="524"/>
      <c r="K418" s="524"/>
      <c r="L418" s="524"/>
      <c r="M418" s="524"/>
      <c r="N418" s="524"/>
      <c r="O418" s="524"/>
      <c r="P418" s="524"/>
      <c r="Q418" s="524"/>
      <c r="R418" s="524"/>
      <c r="S418" s="524"/>
      <c r="T418" s="524"/>
      <c r="U418" s="524"/>
      <c r="V418" s="524"/>
      <c r="W418" s="524"/>
      <c r="X418" s="524"/>
      <c r="Y418" s="524"/>
      <c r="Z418" s="524"/>
      <c r="AA418" s="524"/>
      <c r="AB418" s="524"/>
      <c r="AC418" s="524"/>
      <c r="AD418" s="524"/>
      <c r="AE418" s="524"/>
      <c r="AF418" s="524"/>
      <c r="AG418" s="524"/>
      <c r="AH418" s="524"/>
    </row>
    <row r="419" spans="1:34" ht="13.5">
      <c r="A419" s="524"/>
      <c r="B419" s="524"/>
      <c r="C419" s="524"/>
      <c r="D419" s="524"/>
      <c r="E419" s="524"/>
      <c r="F419" s="524"/>
      <c r="G419" s="524"/>
      <c r="H419" s="524"/>
      <c r="I419" s="524"/>
      <c r="J419" s="524"/>
      <c r="K419" s="524"/>
      <c r="L419" s="524"/>
      <c r="M419" s="524"/>
      <c r="N419" s="524"/>
      <c r="O419" s="524"/>
      <c r="P419" s="524"/>
      <c r="Q419" s="524"/>
      <c r="R419" s="524"/>
      <c r="S419" s="524"/>
      <c r="T419" s="524"/>
      <c r="U419" s="524"/>
      <c r="V419" s="524"/>
      <c r="W419" s="524"/>
      <c r="X419" s="524"/>
      <c r="Y419" s="524"/>
      <c r="Z419" s="524"/>
      <c r="AA419" s="524"/>
      <c r="AB419" s="524"/>
      <c r="AC419" s="524"/>
      <c r="AD419" s="524"/>
      <c r="AE419" s="524"/>
      <c r="AF419" s="524"/>
      <c r="AG419" s="524"/>
      <c r="AH419" s="524"/>
    </row>
    <row r="420" spans="1:34" ht="13.5">
      <c r="A420" s="524"/>
      <c r="B420" s="524"/>
      <c r="C420" s="524"/>
      <c r="D420" s="524"/>
      <c r="E420" s="524"/>
      <c r="F420" s="524"/>
      <c r="G420" s="524"/>
      <c r="H420" s="524"/>
      <c r="I420" s="524"/>
      <c r="J420" s="524"/>
      <c r="K420" s="524"/>
      <c r="L420" s="524"/>
      <c r="M420" s="524"/>
      <c r="N420" s="524"/>
      <c r="O420" s="524"/>
      <c r="P420" s="524"/>
      <c r="Q420" s="524"/>
      <c r="R420" s="524"/>
      <c r="S420" s="524"/>
      <c r="T420" s="524"/>
      <c r="U420" s="524"/>
      <c r="V420" s="524"/>
      <c r="W420" s="524"/>
      <c r="X420" s="524"/>
      <c r="Y420" s="524"/>
      <c r="Z420" s="524"/>
      <c r="AA420" s="524"/>
      <c r="AB420" s="524"/>
      <c r="AC420" s="524"/>
      <c r="AD420" s="524"/>
      <c r="AE420" s="524"/>
      <c r="AF420" s="524"/>
      <c r="AG420" s="524"/>
      <c r="AH420" s="524"/>
    </row>
    <row r="421" spans="1:34" ht="13.5">
      <c r="A421" s="524"/>
      <c r="B421" s="524"/>
      <c r="C421" s="524"/>
      <c r="D421" s="524"/>
      <c r="E421" s="524"/>
      <c r="F421" s="524"/>
      <c r="G421" s="524"/>
      <c r="H421" s="524"/>
      <c r="I421" s="524"/>
      <c r="J421" s="524"/>
      <c r="K421" s="524"/>
      <c r="L421" s="524"/>
      <c r="M421" s="524"/>
      <c r="N421" s="524"/>
      <c r="O421" s="524"/>
      <c r="P421" s="524"/>
      <c r="Q421" s="524"/>
      <c r="R421" s="524"/>
      <c r="S421" s="524"/>
      <c r="T421" s="524"/>
      <c r="U421" s="524"/>
      <c r="V421" s="524"/>
      <c r="W421" s="524"/>
      <c r="X421" s="524"/>
      <c r="Y421" s="524"/>
      <c r="Z421" s="524"/>
      <c r="AA421" s="524"/>
      <c r="AB421" s="524"/>
      <c r="AC421" s="524"/>
      <c r="AD421" s="524"/>
      <c r="AE421" s="524"/>
      <c r="AF421" s="524"/>
      <c r="AG421" s="524"/>
      <c r="AH421" s="524"/>
    </row>
    <row r="422" spans="1:34" ht="13.5">
      <c r="A422" s="524"/>
      <c r="B422" s="524"/>
      <c r="C422" s="524"/>
      <c r="D422" s="524"/>
      <c r="E422" s="524"/>
      <c r="F422" s="524"/>
      <c r="G422" s="524"/>
      <c r="H422" s="524"/>
      <c r="I422" s="524"/>
      <c r="J422" s="524"/>
      <c r="K422" s="524"/>
      <c r="L422" s="524"/>
      <c r="M422" s="524"/>
      <c r="N422" s="524"/>
      <c r="O422" s="524"/>
      <c r="P422" s="524"/>
      <c r="Q422" s="524"/>
      <c r="R422" s="524"/>
      <c r="S422" s="524"/>
      <c r="T422" s="524"/>
      <c r="U422" s="524"/>
      <c r="V422" s="524"/>
      <c r="W422" s="524"/>
      <c r="X422" s="524"/>
      <c r="Y422" s="524"/>
      <c r="Z422" s="524"/>
      <c r="AA422" s="524"/>
      <c r="AB422" s="524"/>
      <c r="AC422" s="524"/>
      <c r="AD422" s="524"/>
      <c r="AE422" s="524"/>
      <c r="AF422" s="524"/>
      <c r="AG422" s="524"/>
      <c r="AH422" s="524"/>
    </row>
    <row r="423" spans="1:34" ht="13.5">
      <c r="A423" s="524"/>
      <c r="B423" s="524"/>
      <c r="C423" s="524"/>
      <c r="D423" s="524"/>
      <c r="E423" s="524"/>
      <c r="F423" s="524"/>
      <c r="G423" s="524"/>
      <c r="H423" s="524"/>
      <c r="I423" s="524"/>
      <c r="J423" s="524"/>
      <c r="K423" s="524"/>
      <c r="L423" s="524"/>
      <c r="M423" s="524"/>
      <c r="N423" s="524"/>
      <c r="O423" s="524"/>
      <c r="P423" s="524"/>
      <c r="Q423" s="524"/>
      <c r="R423" s="524"/>
      <c r="S423" s="524"/>
      <c r="T423" s="524"/>
      <c r="U423" s="524"/>
      <c r="V423" s="524"/>
      <c r="W423" s="524"/>
      <c r="X423" s="524"/>
      <c r="Y423" s="524"/>
      <c r="Z423" s="524"/>
      <c r="AA423" s="524"/>
      <c r="AB423" s="524"/>
      <c r="AC423" s="524"/>
      <c r="AD423" s="524"/>
      <c r="AE423" s="524"/>
      <c r="AF423" s="524"/>
      <c r="AG423" s="524"/>
      <c r="AH423" s="524"/>
    </row>
    <row r="424" spans="1:34" ht="13.5">
      <c r="A424" s="524"/>
      <c r="B424" s="524"/>
      <c r="C424" s="524"/>
      <c r="D424" s="524"/>
      <c r="E424" s="524"/>
      <c r="F424" s="524"/>
      <c r="G424" s="524"/>
      <c r="H424" s="524"/>
      <c r="I424" s="524"/>
      <c r="J424" s="524"/>
      <c r="K424" s="524"/>
      <c r="L424" s="524"/>
      <c r="M424" s="524"/>
      <c r="N424" s="524"/>
      <c r="O424" s="524"/>
      <c r="P424" s="524"/>
      <c r="Q424" s="524"/>
      <c r="R424" s="524"/>
      <c r="S424" s="524"/>
      <c r="T424" s="524"/>
      <c r="U424" s="524"/>
      <c r="V424" s="524"/>
      <c r="W424" s="524"/>
      <c r="X424" s="524"/>
      <c r="Y424" s="524"/>
      <c r="Z424" s="524"/>
      <c r="AA424" s="524"/>
      <c r="AB424" s="524"/>
      <c r="AC424" s="524"/>
      <c r="AD424" s="524"/>
      <c r="AE424" s="524"/>
      <c r="AF424" s="524"/>
      <c r="AG424" s="524"/>
      <c r="AH424" s="524"/>
    </row>
    <row r="425" spans="1:34" ht="13.5">
      <c r="A425" s="524"/>
      <c r="B425" s="524"/>
      <c r="C425" s="524"/>
      <c r="D425" s="524"/>
      <c r="E425" s="524"/>
      <c r="F425" s="524"/>
      <c r="G425" s="524"/>
      <c r="H425" s="524"/>
      <c r="I425" s="524"/>
      <c r="J425" s="524"/>
      <c r="K425" s="524"/>
      <c r="L425" s="524"/>
      <c r="M425" s="524"/>
      <c r="N425" s="524"/>
      <c r="O425" s="524"/>
      <c r="P425" s="524"/>
      <c r="Q425" s="524"/>
      <c r="R425" s="524"/>
      <c r="S425" s="524"/>
      <c r="T425" s="524"/>
      <c r="U425" s="524"/>
      <c r="V425" s="524"/>
      <c r="W425" s="524"/>
      <c r="X425" s="524"/>
      <c r="Y425" s="524"/>
      <c r="Z425" s="524"/>
      <c r="AA425" s="524"/>
      <c r="AB425" s="524"/>
      <c r="AC425" s="524"/>
      <c r="AD425" s="524"/>
      <c r="AE425" s="524"/>
      <c r="AF425" s="524"/>
      <c r="AG425" s="524"/>
      <c r="AH425" s="524"/>
    </row>
    <row r="426" spans="1:34" ht="13.5">
      <c r="A426" s="524"/>
      <c r="B426" s="524"/>
      <c r="C426" s="524"/>
      <c r="D426" s="524"/>
      <c r="E426" s="524"/>
      <c r="F426" s="524"/>
      <c r="G426" s="524"/>
      <c r="H426" s="524"/>
      <c r="I426" s="524"/>
      <c r="J426" s="524"/>
      <c r="K426" s="524"/>
      <c r="L426" s="524"/>
      <c r="M426" s="524"/>
      <c r="N426" s="524"/>
      <c r="O426" s="524"/>
      <c r="P426" s="524"/>
      <c r="Q426" s="524"/>
      <c r="R426" s="524"/>
      <c r="S426" s="524"/>
      <c r="T426" s="524"/>
      <c r="U426" s="524"/>
      <c r="V426" s="524"/>
      <c r="W426" s="524"/>
      <c r="X426" s="524"/>
      <c r="Y426" s="524"/>
      <c r="Z426" s="524"/>
      <c r="AA426" s="524"/>
      <c r="AB426" s="524"/>
      <c r="AC426" s="524"/>
      <c r="AD426" s="524"/>
      <c r="AE426" s="524"/>
      <c r="AF426" s="524"/>
      <c r="AG426" s="524"/>
      <c r="AH426" s="524"/>
    </row>
    <row r="427" spans="1:34" ht="13.5">
      <c r="A427" s="524"/>
      <c r="B427" s="524"/>
      <c r="C427" s="524"/>
      <c r="D427" s="524"/>
      <c r="E427" s="524"/>
      <c r="F427" s="524"/>
      <c r="G427" s="524"/>
      <c r="H427" s="524"/>
      <c r="I427" s="524"/>
      <c r="J427" s="524"/>
      <c r="K427" s="524"/>
      <c r="L427" s="524"/>
      <c r="M427" s="524"/>
      <c r="N427" s="524"/>
      <c r="O427" s="524"/>
      <c r="P427" s="524"/>
      <c r="Q427" s="524"/>
      <c r="R427" s="524"/>
      <c r="S427" s="524"/>
      <c r="T427" s="524"/>
      <c r="U427" s="524"/>
      <c r="V427" s="524"/>
      <c r="W427" s="524"/>
      <c r="X427" s="524"/>
      <c r="Y427" s="524"/>
      <c r="Z427" s="524"/>
      <c r="AA427" s="524"/>
      <c r="AB427" s="524"/>
      <c r="AC427" s="524"/>
      <c r="AD427" s="524"/>
      <c r="AE427" s="524"/>
      <c r="AF427" s="524"/>
      <c r="AG427" s="524"/>
      <c r="AH427" s="524"/>
    </row>
    <row r="428" spans="1:34" ht="13.5">
      <c r="A428" s="524"/>
      <c r="B428" s="524"/>
      <c r="C428" s="524"/>
      <c r="D428" s="524"/>
      <c r="E428" s="524"/>
      <c r="F428" s="524"/>
      <c r="G428" s="524"/>
      <c r="H428" s="524"/>
      <c r="I428" s="524"/>
      <c r="J428" s="524"/>
      <c r="K428" s="524"/>
      <c r="L428" s="524"/>
      <c r="M428" s="524"/>
      <c r="N428" s="524"/>
      <c r="O428" s="524"/>
      <c r="P428" s="524"/>
      <c r="Q428" s="524"/>
      <c r="R428" s="524"/>
      <c r="S428" s="524"/>
      <c r="T428" s="524"/>
      <c r="U428" s="524"/>
      <c r="V428" s="524"/>
      <c r="W428" s="524"/>
      <c r="X428" s="524"/>
      <c r="Y428" s="524"/>
      <c r="Z428" s="524"/>
      <c r="AA428" s="524"/>
      <c r="AB428" s="524"/>
      <c r="AC428" s="524"/>
      <c r="AD428" s="524"/>
      <c r="AE428" s="524"/>
      <c r="AF428" s="524"/>
      <c r="AG428" s="524"/>
      <c r="AH428" s="524"/>
    </row>
    <row r="429" spans="1:34" ht="13.5">
      <c r="A429" s="524"/>
      <c r="B429" s="524"/>
      <c r="C429" s="524"/>
      <c r="D429" s="524"/>
      <c r="E429" s="524"/>
      <c r="F429" s="524"/>
      <c r="G429" s="524"/>
      <c r="H429" s="524"/>
      <c r="I429" s="524"/>
      <c r="J429" s="524"/>
      <c r="K429" s="524"/>
      <c r="L429" s="524"/>
      <c r="M429" s="524"/>
      <c r="N429" s="524"/>
      <c r="O429" s="524"/>
      <c r="P429" s="524"/>
      <c r="Q429" s="524"/>
      <c r="R429" s="524"/>
      <c r="S429" s="524"/>
      <c r="T429" s="524"/>
      <c r="U429" s="524"/>
      <c r="V429" s="524"/>
      <c r="W429" s="524"/>
      <c r="X429" s="524"/>
      <c r="Y429" s="524"/>
      <c r="Z429" s="524"/>
      <c r="AA429" s="524"/>
      <c r="AB429" s="524"/>
      <c r="AC429" s="524"/>
      <c r="AD429" s="524"/>
      <c r="AE429" s="524"/>
      <c r="AF429" s="524"/>
      <c r="AG429" s="524"/>
      <c r="AH429" s="524"/>
    </row>
    <row r="430" spans="1:34" ht="13.5">
      <c r="A430" s="524"/>
      <c r="B430" s="524"/>
      <c r="C430" s="524"/>
      <c r="D430" s="524"/>
      <c r="E430" s="524"/>
      <c r="F430" s="524"/>
      <c r="G430" s="524"/>
      <c r="H430" s="524"/>
      <c r="I430" s="524"/>
      <c r="J430" s="524"/>
      <c r="K430" s="524"/>
      <c r="L430" s="524"/>
      <c r="M430" s="524"/>
      <c r="N430" s="524"/>
      <c r="O430" s="524"/>
      <c r="P430" s="524"/>
      <c r="Q430" s="524"/>
      <c r="R430" s="524"/>
      <c r="S430" s="524"/>
      <c r="T430" s="524"/>
      <c r="U430" s="524"/>
      <c r="V430" s="524"/>
      <c r="W430" s="524"/>
      <c r="X430" s="524"/>
      <c r="Y430" s="524"/>
      <c r="Z430" s="524"/>
      <c r="AA430" s="524"/>
      <c r="AB430" s="524"/>
      <c r="AC430" s="524"/>
      <c r="AD430" s="524"/>
      <c r="AE430" s="524"/>
      <c r="AF430" s="524"/>
      <c r="AG430" s="524"/>
      <c r="AH430" s="524"/>
    </row>
    <row r="431" spans="1:34" ht="13.5">
      <c r="A431" s="524"/>
      <c r="B431" s="524"/>
      <c r="C431" s="524"/>
      <c r="D431" s="524"/>
      <c r="E431" s="524"/>
      <c r="F431" s="524"/>
      <c r="G431" s="524"/>
      <c r="H431" s="524"/>
      <c r="I431" s="524"/>
      <c r="J431" s="524"/>
      <c r="K431" s="524"/>
      <c r="L431" s="524"/>
      <c r="M431" s="524"/>
      <c r="N431" s="524"/>
      <c r="O431" s="524"/>
      <c r="P431" s="524"/>
      <c r="Q431" s="524"/>
      <c r="R431" s="524"/>
      <c r="S431" s="524"/>
      <c r="T431" s="524"/>
      <c r="U431" s="524"/>
      <c r="V431" s="524"/>
      <c r="W431" s="524"/>
      <c r="X431" s="524"/>
      <c r="Y431" s="524"/>
      <c r="Z431" s="524"/>
      <c r="AA431" s="524"/>
      <c r="AB431" s="524"/>
      <c r="AC431" s="524"/>
      <c r="AD431" s="524"/>
      <c r="AE431" s="524"/>
      <c r="AF431" s="524"/>
      <c r="AG431" s="524"/>
      <c r="AH431" s="524"/>
    </row>
    <row r="432" spans="1:34" ht="13.5">
      <c r="A432" s="524"/>
      <c r="B432" s="524"/>
      <c r="C432" s="524"/>
      <c r="D432" s="524"/>
      <c r="E432" s="524"/>
      <c r="F432" s="524"/>
      <c r="G432" s="524"/>
      <c r="H432" s="524"/>
      <c r="I432" s="524"/>
      <c r="J432" s="524"/>
      <c r="K432" s="524"/>
      <c r="L432" s="524"/>
      <c r="M432" s="524"/>
      <c r="N432" s="524"/>
      <c r="O432" s="524"/>
      <c r="P432" s="524"/>
      <c r="Q432" s="524"/>
      <c r="R432" s="524"/>
      <c r="S432" s="524"/>
      <c r="T432" s="524"/>
      <c r="U432" s="524"/>
      <c r="V432" s="524"/>
      <c r="W432" s="524"/>
      <c r="X432" s="524"/>
      <c r="Y432" s="524"/>
      <c r="Z432" s="524"/>
      <c r="AA432" s="524"/>
      <c r="AB432" s="524"/>
      <c r="AC432" s="524"/>
      <c r="AD432" s="524"/>
      <c r="AE432" s="524"/>
      <c r="AF432" s="524"/>
      <c r="AG432" s="524"/>
      <c r="AH432" s="524"/>
    </row>
    <row r="433" spans="1:34" ht="13.5">
      <c r="A433" s="524"/>
      <c r="B433" s="524"/>
      <c r="C433" s="524"/>
      <c r="D433" s="524"/>
      <c r="E433" s="524"/>
      <c r="F433" s="524"/>
      <c r="G433" s="524"/>
      <c r="H433" s="524"/>
      <c r="I433" s="524"/>
      <c r="J433" s="524"/>
      <c r="K433" s="524"/>
      <c r="L433" s="524"/>
      <c r="M433" s="524"/>
      <c r="N433" s="524"/>
      <c r="O433" s="524"/>
      <c r="P433" s="524"/>
      <c r="Q433" s="524"/>
      <c r="R433" s="524"/>
      <c r="S433" s="524"/>
      <c r="T433" s="524"/>
      <c r="U433" s="524"/>
      <c r="V433" s="524"/>
      <c r="W433" s="524"/>
      <c r="X433" s="524"/>
      <c r="Y433" s="524"/>
      <c r="Z433" s="524"/>
      <c r="AA433" s="524"/>
      <c r="AB433" s="524"/>
      <c r="AC433" s="524"/>
      <c r="AD433" s="524"/>
      <c r="AE433" s="524"/>
      <c r="AF433" s="524"/>
      <c r="AG433" s="524"/>
      <c r="AH433" s="524"/>
    </row>
    <row r="434" spans="1:34" ht="13.5">
      <c r="A434" s="524"/>
      <c r="B434" s="524"/>
      <c r="C434" s="524"/>
      <c r="D434" s="524"/>
      <c r="E434" s="524"/>
      <c r="F434" s="524"/>
      <c r="G434" s="524"/>
      <c r="H434" s="524"/>
      <c r="I434" s="524"/>
      <c r="J434" s="524"/>
      <c r="K434" s="524"/>
      <c r="L434" s="524"/>
      <c r="M434" s="524"/>
      <c r="N434" s="524"/>
      <c r="O434" s="524"/>
      <c r="P434" s="524"/>
      <c r="Q434" s="524"/>
      <c r="R434" s="524"/>
      <c r="S434" s="524"/>
      <c r="T434" s="524"/>
      <c r="U434" s="524"/>
      <c r="V434" s="524"/>
      <c r="W434" s="524"/>
      <c r="X434" s="524"/>
      <c r="Y434" s="524"/>
      <c r="Z434" s="524"/>
      <c r="AA434" s="524"/>
      <c r="AB434" s="524"/>
      <c r="AC434" s="524"/>
      <c r="AD434" s="524"/>
      <c r="AE434" s="524"/>
      <c r="AF434" s="524"/>
      <c r="AG434" s="524"/>
      <c r="AH434" s="524"/>
    </row>
    <row r="435" spans="1:34" ht="13.5">
      <c r="A435" s="524"/>
      <c r="B435" s="524"/>
      <c r="C435" s="524"/>
      <c r="D435" s="524"/>
      <c r="E435" s="524"/>
      <c r="F435" s="524"/>
      <c r="G435" s="524"/>
      <c r="H435" s="524"/>
      <c r="I435" s="524"/>
      <c r="J435" s="524"/>
      <c r="K435" s="524"/>
      <c r="L435" s="524"/>
      <c r="M435" s="524"/>
      <c r="N435" s="524"/>
      <c r="O435" s="524"/>
      <c r="P435" s="524"/>
      <c r="Q435" s="524"/>
      <c r="R435" s="524"/>
      <c r="S435" s="524"/>
      <c r="T435" s="524"/>
      <c r="U435" s="524"/>
      <c r="V435" s="524"/>
      <c r="W435" s="524"/>
      <c r="X435" s="524"/>
      <c r="Y435" s="524"/>
      <c r="Z435" s="524"/>
      <c r="AA435" s="524"/>
      <c r="AB435" s="524"/>
      <c r="AC435" s="524"/>
      <c r="AD435" s="524"/>
      <c r="AE435" s="524"/>
      <c r="AF435" s="524"/>
      <c r="AG435" s="524"/>
      <c r="AH435" s="524"/>
    </row>
    <row r="436" spans="1:34" ht="13.5">
      <c r="A436" s="524"/>
      <c r="B436" s="524"/>
      <c r="C436" s="524"/>
      <c r="D436" s="524"/>
      <c r="E436" s="524"/>
      <c r="F436" s="524"/>
      <c r="G436" s="524"/>
      <c r="H436" s="524"/>
      <c r="I436" s="524"/>
      <c r="J436" s="524"/>
      <c r="K436" s="524"/>
      <c r="L436" s="524"/>
      <c r="M436" s="524"/>
      <c r="N436" s="524"/>
      <c r="O436" s="524"/>
      <c r="P436" s="524"/>
      <c r="Q436" s="524"/>
      <c r="R436" s="524"/>
      <c r="S436" s="524"/>
      <c r="T436" s="524"/>
      <c r="U436" s="524"/>
      <c r="V436" s="524"/>
      <c r="W436" s="524"/>
      <c r="X436" s="524"/>
      <c r="Y436" s="524"/>
      <c r="Z436" s="524"/>
      <c r="AA436" s="524"/>
      <c r="AB436" s="524"/>
      <c r="AC436" s="524"/>
      <c r="AD436" s="524"/>
      <c r="AE436" s="524"/>
      <c r="AF436" s="524"/>
      <c r="AG436" s="524"/>
      <c r="AH436" s="524"/>
    </row>
    <row r="437" spans="1:34" ht="13.5">
      <c r="A437" s="524"/>
      <c r="B437" s="524"/>
      <c r="C437" s="524"/>
      <c r="D437" s="524"/>
      <c r="E437" s="524"/>
      <c r="F437" s="524"/>
      <c r="G437" s="524"/>
      <c r="H437" s="524"/>
      <c r="I437" s="524"/>
      <c r="J437" s="524"/>
      <c r="K437" s="524"/>
      <c r="L437" s="524"/>
      <c r="M437" s="524"/>
      <c r="N437" s="524"/>
      <c r="O437" s="524"/>
      <c r="P437" s="524"/>
      <c r="Q437" s="524"/>
      <c r="R437" s="524"/>
      <c r="S437" s="524"/>
      <c r="T437" s="524"/>
      <c r="U437" s="524"/>
      <c r="V437" s="524"/>
      <c r="W437" s="524"/>
      <c r="X437" s="524"/>
      <c r="Y437" s="524"/>
      <c r="Z437" s="524"/>
      <c r="AA437" s="524"/>
      <c r="AB437" s="524"/>
      <c r="AC437" s="524"/>
      <c r="AD437" s="524"/>
      <c r="AE437" s="524"/>
      <c r="AF437" s="524"/>
      <c r="AG437" s="524"/>
      <c r="AH437" s="524"/>
    </row>
    <row r="438" spans="1:34" ht="13.5">
      <c r="A438" s="524"/>
      <c r="B438" s="524"/>
      <c r="C438" s="524"/>
      <c r="D438" s="524"/>
      <c r="E438" s="524"/>
      <c r="F438" s="524"/>
      <c r="G438" s="524"/>
      <c r="H438" s="524"/>
      <c r="I438" s="524"/>
      <c r="J438" s="524"/>
      <c r="K438" s="524"/>
      <c r="L438" s="524"/>
      <c r="M438" s="524"/>
      <c r="N438" s="524"/>
      <c r="O438" s="524"/>
      <c r="P438" s="524"/>
      <c r="Q438" s="524"/>
      <c r="R438" s="524"/>
      <c r="S438" s="524"/>
      <c r="T438" s="524"/>
      <c r="U438" s="524"/>
      <c r="V438" s="524"/>
      <c r="W438" s="524"/>
      <c r="X438" s="524"/>
      <c r="Y438" s="524"/>
      <c r="Z438" s="524"/>
      <c r="AA438" s="524"/>
      <c r="AB438" s="524"/>
      <c r="AC438" s="524"/>
      <c r="AD438" s="524"/>
      <c r="AE438" s="524"/>
      <c r="AF438" s="524"/>
      <c r="AG438" s="524"/>
      <c r="AH438" s="524"/>
    </row>
    <row r="439" spans="1:34" ht="13.5">
      <c r="A439" s="524"/>
      <c r="B439" s="524"/>
      <c r="C439" s="524"/>
      <c r="D439" s="524"/>
      <c r="E439" s="524"/>
      <c r="F439" s="524"/>
      <c r="G439" s="524"/>
      <c r="H439" s="524"/>
      <c r="I439" s="524"/>
      <c r="J439" s="524"/>
      <c r="K439" s="524"/>
      <c r="L439" s="524"/>
      <c r="M439" s="524"/>
      <c r="N439" s="524"/>
      <c r="O439" s="524"/>
      <c r="P439" s="524"/>
      <c r="Q439" s="524"/>
      <c r="R439" s="524"/>
      <c r="S439" s="524"/>
      <c r="T439" s="524"/>
      <c r="U439" s="524"/>
      <c r="V439" s="524"/>
      <c r="W439" s="524"/>
      <c r="X439" s="524"/>
      <c r="Y439" s="524"/>
      <c r="Z439" s="524"/>
      <c r="AA439" s="524"/>
      <c r="AB439" s="524"/>
      <c r="AC439" s="524"/>
      <c r="AD439" s="524"/>
      <c r="AE439" s="524"/>
      <c r="AF439" s="524"/>
      <c r="AG439" s="524"/>
      <c r="AH439" s="524"/>
    </row>
    <row r="440" spans="1:34" ht="13.5">
      <c r="A440" s="524"/>
      <c r="B440" s="524"/>
      <c r="C440" s="524"/>
      <c r="D440" s="524"/>
      <c r="E440" s="524"/>
      <c r="F440" s="524"/>
      <c r="G440" s="524"/>
      <c r="H440" s="524"/>
      <c r="I440" s="524"/>
      <c r="J440" s="524"/>
      <c r="K440" s="524"/>
      <c r="L440" s="524"/>
      <c r="M440" s="524"/>
      <c r="N440" s="524"/>
      <c r="O440" s="524"/>
      <c r="P440" s="524"/>
      <c r="Q440" s="524"/>
      <c r="R440" s="524"/>
      <c r="S440" s="524"/>
      <c r="T440" s="524"/>
      <c r="U440" s="524"/>
      <c r="V440" s="524"/>
      <c r="W440" s="524"/>
      <c r="X440" s="524"/>
      <c r="Y440" s="524"/>
      <c r="Z440" s="524"/>
      <c r="AA440" s="524"/>
      <c r="AB440" s="524"/>
      <c r="AC440" s="524"/>
      <c r="AD440" s="524"/>
      <c r="AE440" s="524"/>
      <c r="AF440" s="524"/>
      <c r="AG440" s="524"/>
      <c r="AH440" s="524"/>
    </row>
    <row r="441" spans="1:34" ht="13.5">
      <c r="A441" s="524"/>
      <c r="B441" s="524"/>
      <c r="C441" s="524"/>
      <c r="D441" s="524"/>
      <c r="E441" s="524"/>
      <c r="F441" s="524"/>
      <c r="G441" s="524"/>
      <c r="H441" s="524"/>
      <c r="I441" s="524"/>
      <c r="J441" s="524"/>
      <c r="K441" s="524"/>
      <c r="L441" s="524"/>
      <c r="M441" s="524"/>
      <c r="N441" s="524"/>
      <c r="O441" s="524"/>
      <c r="P441" s="524"/>
      <c r="Q441" s="524"/>
      <c r="R441" s="524"/>
      <c r="S441" s="524"/>
      <c r="T441" s="524"/>
      <c r="U441" s="524"/>
      <c r="V441" s="524"/>
      <c r="W441" s="524"/>
      <c r="X441" s="524"/>
      <c r="Y441" s="524"/>
      <c r="Z441" s="524"/>
      <c r="AA441" s="524"/>
      <c r="AB441" s="524"/>
      <c r="AC441" s="524"/>
      <c r="AD441" s="524"/>
      <c r="AE441" s="524"/>
      <c r="AF441" s="524"/>
      <c r="AG441" s="524"/>
      <c r="AH441" s="524"/>
    </row>
    <row r="442" spans="1:34" ht="13.5">
      <c r="A442" s="524"/>
      <c r="B442" s="524"/>
      <c r="C442" s="524"/>
      <c r="D442" s="524"/>
      <c r="E442" s="524"/>
      <c r="F442" s="524"/>
      <c r="G442" s="524"/>
      <c r="H442" s="524"/>
      <c r="I442" s="524"/>
      <c r="J442" s="524"/>
      <c r="K442" s="524"/>
      <c r="L442" s="524"/>
      <c r="M442" s="524"/>
      <c r="N442" s="524"/>
      <c r="O442" s="524"/>
      <c r="P442" s="524"/>
      <c r="Q442" s="524"/>
      <c r="R442" s="524"/>
      <c r="S442" s="524"/>
      <c r="T442" s="524"/>
      <c r="U442" s="524"/>
      <c r="V442" s="524"/>
      <c r="W442" s="524"/>
      <c r="X442" s="524"/>
      <c r="Y442" s="524"/>
      <c r="Z442" s="524"/>
      <c r="AA442" s="524"/>
      <c r="AB442" s="524"/>
      <c r="AC442" s="524"/>
      <c r="AD442" s="524"/>
      <c r="AE442" s="524"/>
      <c r="AF442" s="524"/>
      <c r="AG442" s="524"/>
      <c r="AH442" s="524"/>
    </row>
    <row r="443" spans="1:34" ht="13.5">
      <c r="A443" s="524"/>
      <c r="B443" s="524"/>
      <c r="C443" s="524"/>
      <c r="D443" s="524"/>
      <c r="E443" s="524"/>
      <c r="F443" s="524"/>
      <c r="G443" s="524"/>
      <c r="H443" s="524"/>
      <c r="I443" s="524"/>
      <c r="J443" s="524"/>
      <c r="K443" s="524"/>
      <c r="L443" s="524"/>
      <c r="M443" s="524"/>
      <c r="N443" s="524"/>
      <c r="O443" s="524"/>
      <c r="P443" s="524"/>
      <c r="Q443" s="524"/>
      <c r="R443" s="524"/>
      <c r="S443" s="524"/>
      <c r="T443" s="524"/>
      <c r="U443" s="524"/>
      <c r="V443" s="524"/>
      <c r="W443" s="524"/>
      <c r="X443" s="524"/>
      <c r="Y443" s="524"/>
      <c r="Z443" s="524"/>
      <c r="AA443" s="524"/>
      <c r="AB443" s="524"/>
      <c r="AC443" s="524"/>
      <c r="AD443" s="524"/>
      <c r="AE443" s="524"/>
      <c r="AF443" s="524"/>
      <c r="AG443" s="524"/>
      <c r="AH443" s="524"/>
    </row>
    <row r="444" spans="1:34" ht="13.5">
      <c r="A444" s="524"/>
      <c r="B444" s="524"/>
      <c r="C444" s="524"/>
      <c r="D444" s="524"/>
      <c r="E444" s="524"/>
      <c r="F444" s="524"/>
      <c r="G444" s="524"/>
      <c r="H444" s="524"/>
      <c r="I444" s="524"/>
      <c r="J444" s="524"/>
      <c r="K444" s="524"/>
      <c r="L444" s="524"/>
      <c r="M444" s="524"/>
      <c r="N444" s="524"/>
      <c r="O444" s="524"/>
      <c r="P444" s="524"/>
      <c r="Q444" s="524"/>
      <c r="R444" s="524"/>
      <c r="S444" s="524"/>
      <c r="T444" s="524"/>
      <c r="U444" s="524"/>
      <c r="V444" s="524"/>
      <c r="W444" s="524"/>
      <c r="X444" s="524"/>
      <c r="Y444" s="524"/>
      <c r="Z444" s="524"/>
      <c r="AA444" s="524"/>
      <c r="AB444" s="524"/>
      <c r="AC444" s="524"/>
      <c r="AD444" s="524"/>
      <c r="AE444" s="524"/>
      <c r="AF444" s="524"/>
      <c r="AG444" s="524"/>
      <c r="AH444" s="524"/>
    </row>
    <row r="445" spans="1:34" ht="13.5">
      <c r="A445" s="524"/>
      <c r="B445" s="524"/>
      <c r="C445" s="524"/>
      <c r="D445" s="524"/>
      <c r="E445" s="524"/>
      <c r="F445" s="524"/>
      <c r="G445" s="524"/>
      <c r="H445" s="524"/>
      <c r="I445" s="524"/>
      <c r="J445" s="524"/>
      <c r="K445" s="524"/>
      <c r="L445" s="524"/>
      <c r="M445" s="524"/>
      <c r="N445" s="524"/>
      <c r="O445" s="524"/>
      <c r="P445" s="524"/>
      <c r="Q445" s="524"/>
      <c r="R445" s="524"/>
      <c r="S445" s="524"/>
      <c r="T445" s="524"/>
      <c r="U445" s="524"/>
      <c r="V445" s="524"/>
      <c r="W445" s="524"/>
      <c r="X445" s="524"/>
      <c r="Y445" s="524"/>
      <c r="Z445" s="524"/>
      <c r="AA445" s="524"/>
      <c r="AB445" s="524"/>
      <c r="AC445" s="524"/>
      <c r="AD445" s="524"/>
      <c r="AE445" s="524"/>
      <c r="AF445" s="524"/>
      <c r="AG445" s="524"/>
      <c r="AH445" s="524"/>
    </row>
    <row r="446" spans="1:34" ht="13.5">
      <c r="A446" s="524"/>
      <c r="B446" s="524"/>
      <c r="C446" s="524"/>
      <c r="D446" s="524"/>
      <c r="E446" s="524"/>
      <c r="F446" s="524"/>
      <c r="G446" s="524"/>
      <c r="H446" s="524"/>
      <c r="I446" s="524"/>
      <c r="J446" s="524"/>
      <c r="K446" s="524"/>
      <c r="L446" s="524"/>
      <c r="M446" s="524"/>
      <c r="N446" s="524"/>
      <c r="O446" s="524"/>
      <c r="P446" s="524"/>
      <c r="Q446" s="524"/>
      <c r="R446" s="524"/>
      <c r="S446" s="524"/>
      <c r="T446" s="524"/>
      <c r="U446" s="524"/>
      <c r="V446" s="524"/>
      <c r="W446" s="524"/>
      <c r="X446" s="524"/>
      <c r="Y446" s="524"/>
      <c r="Z446" s="524"/>
      <c r="AA446" s="524"/>
      <c r="AB446" s="524"/>
      <c r="AC446" s="524"/>
      <c r="AD446" s="524"/>
      <c r="AE446" s="524"/>
      <c r="AF446" s="524"/>
      <c r="AG446" s="524"/>
      <c r="AH446" s="524"/>
    </row>
    <row r="447" spans="1:34" ht="13.5">
      <c r="A447" s="524"/>
      <c r="B447" s="524"/>
      <c r="C447" s="524"/>
      <c r="D447" s="524"/>
      <c r="E447" s="524"/>
      <c r="F447" s="524"/>
      <c r="G447" s="524"/>
      <c r="H447" s="524"/>
      <c r="I447" s="524"/>
      <c r="J447" s="524"/>
      <c r="K447" s="524"/>
      <c r="L447" s="524"/>
      <c r="M447" s="524"/>
      <c r="N447" s="524"/>
      <c r="O447" s="524"/>
      <c r="P447" s="524"/>
      <c r="Q447" s="524"/>
      <c r="R447" s="524"/>
      <c r="S447" s="524"/>
      <c r="T447" s="524"/>
      <c r="U447" s="524"/>
      <c r="V447" s="524"/>
      <c r="W447" s="524"/>
      <c r="X447" s="524"/>
      <c r="Y447" s="524"/>
      <c r="Z447" s="524"/>
      <c r="AA447" s="524"/>
      <c r="AB447" s="524"/>
      <c r="AC447" s="524"/>
      <c r="AD447" s="524"/>
      <c r="AE447" s="524"/>
      <c r="AF447" s="524"/>
      <c r="AG447" s="524"/>
      <c r="AH447" s="524"/>
    </row>
    <row r="448" spans="1:34" ht="13.5">
      <c r="A448" s="524"/>
      <c r="B448" s="524"/>
      <c r="C448" s="524"/>
      <c r="D448" s="524"/>
      <c r="E448" s="524"/>
      <c r="F448" s="524"/>
      <c r="G448" s="524"/>
      <c r="H448" s="524"/>
      <c r="I448" s="524"/>
      <c r="J448" s="524"/>
      <c r="K448" s="524"/>
      <c r="L448" s="524"/>
      <c r="M448" s="524"/>
      <c r="N448" s="524"/>
      <c r="O448" s="524"/>
      <c r="P448" s="524"/>
      <c r="Q448" s="524"/>
      <c r="R448" s="524"/>
      <c r="S448" s="524"/>
      <c r="T448" s="524"/>
      <c r="U448" s="524"/>
      <c r="V448" s="524"/>
      <c r="W448" s="524"/>
      <c r="X448" s="524"/>
      <c r="Y448" s="524"/>
      <c r="Z448" s="524"/>
      <c r="AA448" s="524"/>
      <c r="AB448" s="524"/>
      <c r="AC448" s="524"/>
      <c r="AD448" s="524"/>
      <c r="AE448" s="524"/>
      <c r="AF448" s="524"/>
      <c r="AG448" s="524"/>
      <c r="AH448" s="524"/>
    </row>
    <row r="449" spans="1:34" ht="13.5">
      <c r="A449" s="524"/>
      <c r="B449" s="524"/>
      <c r="C449" s="524"/>
      <c r="D449" s="524"/>
      <c r="E449" s="524"/>
      <c r="F449" s="524"/>
      <c r="G449" s="524"/>
      <c r="H449" s="524"/>
      <c r="I449" s="524"/>
      <c r="J449" s="524"/>
      <c r="K449" s="524"/>
      <c r="L449" s="524"/>
      <c r="M449" s="524"/>
      <c r="N449" s="524"/>
      <c r="O449" s="524"/>
      <c r="P449" s="524"/>
      <c r="Q449" s="524"/>
      <c r="R449" s="524"/>
      <c r="S449" s="524"/>
      <c r="T449" s="524"/>
      <c r="U449" s="524"/>
      <c r="V449" s="524"/>
      <c r="W449" s="524"/>
      <c r="X449" s="524"/>
      <c r="Y449" s="524"/>
      <c r="Z449" s="524"/>
      <c r="AA449" s="524"/>
      <c r="AB449" s="524"/>
      <c r="AC449" s="524"/>
      <c r="AD449" s="524"/>
      <c r="AE449" s="524"/>
      <c r="AF449" s="524"/>
      <c r="AG449" s="524"/>
      <c r="AH449" s="524"/>
    </row>
    <row r="450" spans="1:34" ht="13.5">
      <c r="A450" s="524"/>
      <c r="B450" s="524"/>
      <c r="C450" s="524"/>
      <c r="D450" s="524"/>
      <c r="E450" s="524"/>
      <c r="F450" s="524"/>
      <c r="G450" s="524"/>
      <c r="H450" s="524"/>
      <c r="I450" s="524"/>
      <c r="J450" s="524"/>
      <c r="K450" s="524"/>
      <c r="L450" s="524"/>
      <c r="M450" s="524"/>
      <c r="N450" s="524"/>
      <c r="O450" s="524"/>
      <c r="P450" s="524"/>
      <c r="Q450" s="524"/>
      <c r="R450" s="524"/>
      <c r="S450" s="524"/>
      <c r="T450" s="524"/>
      <c r="U450" s="524"/>
      <c r="V450" s="524"/>
      <c r="W450" s="524"/>
      <c r="X450" s="524"/>
      <c r="Y450" s="524"/>
      <c r="Z450" s="524"/>
      <c r="AA450" s="524"/>
      <c r="AB450" s="524"/>
      <c r="AC450" s="524"/>
      <c r="AD450" s="524"/>
      <c r="AE450" s="524"/>
      <c r="AF450" s="524"/>
      <c r="AG450" s="524"/>
      <c r="AH450" s="524"/>
    </row>
    <row r="451" spans="1:34" ht="13.5">
      <c r="A451" s="524"/>
      <c r="B451" s="524"/>
      <c r="C451" s="524"/>
      <c r="D451" s="524"/>
      <c r="E451" s="524"/>
      <c r="F451" s="524"/>
      <c r="G451" s="524"/>
      <c r="H451" s="524"/>
      <c r="I451" s="524"/>
      <c r="J451" s="524"/>
      <c r="K451" s="524"/>
      <c r="L451" s="524"/>
      <c r="M451" s="524"/>
      <c r="N451" s="524"/>
      <c r="O451" s="524"/>
      <c r="P451" s="524"/>
      <c r="Q451" s="524"/>
      <c r="R451" s="524"/>
      <c r="S451" s="524"/>
      <c r="T451" s="524"/>
      <c r="U451" s="524"/>
      <c r="V451" s="524"/>
      <c r="W451" s="524"/>
      <c r="X451" s="524"/>
      <c r="Y451" s="524"/>
      <c r="Z451" s="524"/>
      <c r="AA451" s="524"/>
      <c r="AB451" s="524"/>
      <c r="AC451" s="524"/>
      <c r="AD451" s="524"/>
      <c r="AE451" s="524"/>
      <c r="AF451" s="524"/>
      <c r="AG451" s="524"/>
      <c r="AH451" s="524"/>
    </row>
    <row r="452" spans="1:34" ht="13.5">
      <c r="A452" s="524"/>
      <c r="B452" s="524"/>
      <c r="C452" s="524"/>
      <c r="D452" s="524"/>
      <c r="E452" s="524"/>
      <c r="F452" s="524"/>
      <c r="G452" s="524"/>
      <c r="H452" s="524"/>
      <c r="I452" s="524"/>
      <c r="J452" s="524"/>
      <c r="K452" s="524"/>
      <c r="L452" s="524"/>
      <c r="M452" s="524"/>
      <c r="N452" s="524"/>
      <c r="O452" s="524"/>
      <c r="P452" s="524"/>
      <c r="Q452" s="524"/>
      <c r="R452" s="524"/>
      <c r="S452" s="524"/>
      <c r="T452" s="524"/>
      <c r="U452" s="524"/>
      <c r="V452" s="524"/>
      <c r="W452" s="524"/>
      <c r="X452" s="524"/>
      <c r="Y452" s="524"/>
      <c r="Z452" s="524"/>
      <c r="AA452" s="524"/>
      <c r="AB452" s="524"/>
      <c r="AC452" s="524"/>
      <c r="AD452" s="524"/>
      <c r="AE452" s="524"/>
      <c r="AF452" s="524"/>
      <c r="AG452" s="524"/>
      <c r="AH452" s="524"/>
    </row>
    <row r="453" spans="1:34" ht="13.5">
      <c r="A453" s="524"/>
      <c r="B453" s="524"/>
      <c r="C453" s="524"/>
      <c r="D453" s="524"/>
      <c r="E453" s="524"/>
      <c r="F453" s="524"/>
      <c r="G453" s="524"/>
      <c r="H453" s="524"/>
      <c r="I453" s="524"/>
      <c r="J453" s="524"/>
      <c r="K453" s="524"/>
      <c r="L453" s="524"/>
      <c r="M453" s="524"/>
      <c r="N453" s="524"/>
      <c r="O453" s="524"/>
      <c r="P453" s="524"/>
      <c r="Q453" s="524"/>
      <c r="R453" s="524"/>
      <c r="S453" s="524"/>
      <c r="T453" s="524"/>
      <c r="U453" s="524"/>
      <c r="V453" s="524"/>
      <c r="W453" s="524"/>
      <c r="X453" s="524"/>
      <c r="Y453" s="524"/>
      <c r="Z453" s="524"/>
      <c r="AA453" s="524"/>
      <c r="AB453" s="524"/>
      <c r="AC453" s="524"/>
      <c r="AD453" s="524"/>
      <c r="AE453" s="524"/>
      <c r="AF453" s="524"/>
      <c r="AG453" s="524"/>
      <c r="AH453" s="524"/>
    </row>
    <row r="454" spans="1:34" ht="13.5">
      <c r="A454" s="524"/>
      <c r="B454" s="524"/>
      <c r="C454" s="524"/>
      <c r="D454" s="524"/>
      <c r="E454" s="524"/>
      <c r="F454" s="524"/>
      <c r="G454" s="524"/>
      <c r="H454" s="524"/>
      <c r="I454" s="524"/>
      <c r="J454" s="524"/>
      <c r="K454" s="524"/>
      <c r="L454" s="524"/>
      <c r="M454" s="524"/>
      <c r="N454" s="524"/>
      <c r="O454" s="524"/>
      <c r="P454" s="524"/>
      <c r="Q454" s="524"/>
      <c r="R454" s="524"/>
      <c r="S454" s="524"/>
      <c r="T454" s="524"/>
      <c r="U454" s="524"/>
      <c r="V454" s="524"/>
      <c r="W454" s="524"/>
      <c r="X454" s="524"/>
      <c r="Y454" s="524"/>
      <c r="Z454" s="524"/>
      <c r="AA454" s="524"/>
      <c r="AB454" s="524"/>
      <c r="AC454" s="524"/>
      <c r="AD454" s="524"/>
      <c r="AE454" s="524"/>
      <c r="AF454" s="524"/>
      <c r="AG454" s="524"/>
      <c r="AH454" s="524"/>
    </row>
    <row r="455" spans="1:34" ht="13.5">
      <c r="A455" s="524"/>
      <c r="B455" s="524"/>
      <c r="C455" s="524"/>
      <c r="D455" s="524"/>
      <c r="E455" s="524"/>
      <c r="F455" s="524"/>
      <c r="G455" s="524"/>
      <c r="H455" s="524"/>
      <c r="I455" s="524"/>
      <c r="J455" s="524"/>
      <c r="K455" s="524"/>
      <c r="L455" s="524"/>
      <c r="M455" s="524"/>
      <c r="N455" s="524"/>
      <c r="O455" s="524"/>
      <c r="P455" s="524"/>
      <c r="Q455" s="524"/>
      <c r="R455" s="524"/>
      <c r="S455" s="524"/>
      <c r="T455" s="524"/>
      <c r="U455" s="524"/>
      <c r="V455" s="524"/>
      <c r="W455" s="524"/>
      <c r="X455" s="524"/>
      <c r="Y455" s="524"/>
      <c r="Z455" s="524"/>
      <c r="AA455" s="524"/>
      <c r="AB455" s="524"/>
      <c r="AC455" s="524"/>
      <c r="AD455" s="524"/>
      <c r="AE455" s="524"/>
      <c r="AF455" s="524"/>
      <c r="AG455" s="524"/>
      <c r="AH455" s="524"/>
    </row>
    <row r="456" spans="1:34" ht="13.5">
      <c r="A456" s="524"/>
      <c r="B456" s="524"/>
      <c r="C456" s="524"/>
      <c r="D456" s="524"/>
      <c r="E456" s="524"/>
      <c r="F456" s="524"/>
      <c r="G456" s="524"/>
      <c r="H456" s="524"/>
      <c r="I456" s="524"/>
      <c r="J456" s="524"/>
      <c r="K456" s="524"/>
      <c r="L456" s="524"/>
      <c r="M456" s="524"/>
      <c r="N456" s="524"/>
      <c r="O456" s="524"/>
      <c r="P456" s="524"/>
      <c r="Q456" s="524"/>
      <c r="R456" s="524"/>
      <c r="S456" s="524"/>
      <c r="T456" s="524"/>
      <c r="U456" s="524"/>
      <c r="V456" s="524"/>
      <c r="W456" s="524"/>
      <c r="X456" s="524"/>
      <c r="Y456" s="524"/>
      <c r="Z456" s="524"/>
      <c r="AA456" s="524"/>
      <c r="AB456" s="524"/>
      <c r="AC456" s="524"/>
      <c r="AD456" s="524"/>
      <c r="AE456" s="524"/>
      <c r="AF456" s="524"/>
      <c r="AG456" s="524"/>
      <c r="AH456" s="524"/>
    </row>
    <row r="457" spans="1:34" ht="13.5">
      <c r="A457" s="524"/>
      <c r="B457" s="524"/>
      <c r="C457" s="524"/>
      <c r="D457" s="524"/>
      <c r="E457" s="524"/>
      <c r="F457" s="524"/>
      <c r="G457" s="524"/>
      <c r="H457" s="524"/>
      <c r="I457" s="524"/>
      <c r="J457" s="524"/>
      <c r="K457" s="524"/>
      <c r="L457" s="524"/>
      <c r="M457" s="524"/>
      <c r="N457" s="524"/>
      <c r="O457" s="524"/>
      <c r="P457" s="524"/>
      <c r="Q457" s="524"/>
      <c r="R457" s="524"/>
      <c r="S457" s="524"/>
      <c r="T457" s="524"/>
      <c r="U457" s="524"/>
      <c r="V457" s="524"/>
      <c r="W457" s="524"/>
      <c r="X457" s="524"/>
      <c r="Y457" s="524"/>
      <c r="Z457" s="524"/>
      <c r="AA457" s="524"/>
      <c r="AB457" s="524"/>
      <c r="AC457" s="524"/>
      <c r="AD457" s="524"/>
      <c r="AE457" s="524"/>
      <c r="AF457" s="524"/>
      <c r="AG457" s="524"/>
      <c r="AH457" s="524"/>
    </row>
    <row r="458" spans="1:34" ht="13.5">
      <c r="A458" s="524"/>
      <c r="B458" s="524"/>
      <c r="C458" s="524"/>
      <c r="D458" s="524"/>
      <c r="E458" s="524"/>
      <c r="F458" s="524"/>
      <c r="G458" s="524"/>
      <c r="H458" s="524"/>
      <c r="I458" s="524"/>
      <c r="J458" s="524"/>
      <c r="K458" s="524"/>
      <c r="L458" s="524"/>
      <c r="M458" s="524"/>
      <c r="N458" s="524"/>
      <c r="O458" s="524"/>
      <c r="P458" s="524"/>
      <c r="Q458" s="524"/>
      <c r="R458" s="524"/>
      <c r="S458" s="524"/>
      <c r="T458" s="524"/>
      <c r="U458" s="524"/>
      <c r="V458" s="524"/>
      <c r="W458" s="524"/>
      <c r="X458" s="524"/>
      <c r="Y458" s="524"/>
      <c r="Z458" s="524"/>
      <c r="AA458" s="524"/>
      <c r="AB458" s="524"/>
      <c r="AC458" s="524"/>
      <c r="AD458" s="524"/>
      <c r="AE458" s="524"/>
      <c r="AF458" s="524"/>
      <c r="AG458" s="524"/>
      <c r="AH458" s="524"/>
    </row>
    <row r="459" spans="1:34" ht="13.5">
      <c r="A459" s="524"/>
      <c r="B459" s="524"/>
      <c r="C459" s="524"/>
      <c r="D459" s="524"/>
      <c r="E459" s="524"/>
      <c r="F459" s="524"/>
      <c r="G459" s="524"/>
      <c r="H459" s="524"/>
      <c r="I459" s="524"/>
      <c r="J459" s="524"/>
      <c r="K459" s="524"/>
      <c r="L459" s="524"/>
      <c r="M459" s="524"/>
      <c r="N459" s="524"/>
      <c r="O459" s="524"/>
      <c r="P459" s="524"/>
      <c r="Q459" s="524"/>
      <c r="R459" s="524"/>
      <c r="S459" s="524"/>
      <c r="T459" s="524"/>
      <c r="U459" s="524"/>
      <c r="V459" s="524"/>
      <c r="W459" s="524"/>
      <c r="X459" s="524"/>
      <c r="Y459" s="524"/>
      <c r="Z459" s="524"/>
      <c r="AA459" s="524"/>
      <c r="AB459" s="524"/>
      <c r="AC459" s="524"/>
      <c r="AD459" s="524"/>
      <c r="AE459" s="524"/>
      <c r="AF459" s="524"/>
      <c r="AG459" s="524"/>
      <c r="AH459" s="524"/>
    </row>
    <row r="460" spans="1:34" ht="13.5">
      <c r="A460" s="524"/>
      <c r="B460" s="524"/>
      <c r="C460" s="524"/>
      <c r="D460" s="524"/>
      <c r="E460" s="524"/>
      <c r="F460" s="524"/>
      <c r="G460" s="524"/>
      <c r="H460" s="524"/>
      <c r="I460" s="524"/>
      <c r="J460" s="524"/>
      <c r="K460" s="524"/>
      <c r="L460" s="524"/>
      <c r="M460" s="524"/>
      <c r="N460" s="524"/>
      <c r="O460" s="524"/>
      <c r="P460" s="524"/>
      <c r="Q460" s="524"/>
      <c r="R460" s="524"/>
      <c r="S460" s="524"/>
      <c r="T460" s="524"/>
      <c r="U460" s="524"/>
      <c r="V460" s="524"/>
      <c r="W460" s="524"/>
      <c r="X460" s="524"/>
      <c r="Y460" s="524"/>
      <c r="Z460" s="524"/>
      <c r="AA460" s="524"/>
      <c r="AB460" s="524"/>
      <c r="AC460" s="524"/>
      <c r="AD460" s="524"/>
      <c r="AE460" s="524"/>
      <c r="AF460" s="524"/>
      <c r="AG460" s="524"/>
      <c r="AH460" s="524"/>
    </row>
    <row r="461" spans="1:34" ht="13.5">
      <c r="A461" s="524"/>
      <c r="B461" s="524"/>
      <c r="C461" s="524"/>
      <c r="D461" s="524"/>
      <c r="E461" s="524"/>
      <c r="F461" s="524"/>
      <c r="G461" s="524"/>
      <c r="H461" s="524"/>
      <c r="I461" s="524"/>
      <c r="J461" s="524"/>
      <c r="K461" s="524"/>
      <c r="L461" s="524"/>
      <c r="M461" s="524"/>
      <c r="N461" s="524"/>
      <c r="O461" s="524"/>
      <c r="P461" s="524"/>
      <c r="Q461" s="524"/>
      <c r="R461" s="524"/>
      <c r="S461" s="524"/>
      <c r="T461" s="524"/>
      <c r="U461" s="524"/>
      <c r="V461" s="524"/>
      <c r="W461" s="524"/>
      <c r="X461" s="524"/>
      <c r="Y461" s="524"/>
      <c r="Z461" s="524"/>
      <c r="AA461" s="524"/>
      <c r="AB461" s="524"/>
      <c r="AC461" s="524"/>
      <c r="AD461" s="524"/>
      <c r="AE461" s="524"/>
      <c r="AF461" s="524"/>
      <c r="AG461" s="524"/>
      <c r="AH461" s="524"/>
    </row>
    <row r="462" spans="1:34" ht="13.5">
      <c r="A462" s="524"/>
      <c r="B462" s="524"/>
      <c r="C462" s="524"/>
      <c r="D462" s="524"/>
      <c r="E462" s="524"/>
      <c r="F462" s="524"/>
      <c r="G462" s="524"/>
      <c r="H462" s="524"/>
      <c r="I462" s="524"/>
      <c r="J462" s="524"/>
      <c r="K462" s="524"/>
      <c r="L462" s="524"/>
      <c r="M462" s="524"/>
      <c r="N462" s="524"/>
      <c r="O462" s="524"/>
      <c r="P462" s="524"/>
      <c r="Q462" s="524"/>
      <c r="R462" s="524"/>
      <c r="S462" s="524"/>
      <c r="T462" s="524"/>
      <c r="U462" s="524"/>
      <c r="V462" s="524"/>
      <c r="W462" s="524"/>
      <c r="X462" s="524"/>
      <c r="Y462" s="524"/>
      <c r="Z462" s="524"/>
      <c r="AA462" s="524"/>
      <c r="AB462" s="524"/>
      <c r="AC462" s="524"/>
      <c r="AD462" s="524"/>
      <c r="AE462" s="524"/>
      <c r="AF462" s="524"/>
      <c r="AG462" s="524"/>
      <c r="AH462" s="524"/>
    </row>
    <row r="463" spans="1:34" ht="13.5">
      <c r="A463" s="524"/>
      <c r="B463" s="524"/>
      <c r="C463" s="524"/>
      <c r="D463" s="524"/>
      <c r="E463" s="524"/>
      <c r="F463" s="524"/>
      <c r="G463" s="524"/>
      <c r="H463" s="524"/>
      <c r="I463" s="524"/>
      <c r="J463" s="524"/>
      <c r="K463" s="524"/>
      <c r="L463" s="524"/>
      <c r="M463" s="524"/>
      <c r="N463" s="524"/>
      <c r="O463" s="524"/>
      <c r="P463" s="524"/>
      <c r="Q463" s="524"/>
      <c r="R463" s="524"/>
      <c r="S463" s="524"/>
      <c r="T463" s="524"/>
      <c r="U463" s="524"/>
      <c r="V463" s="524"/>
      <c r="W463" s="524"/>
      <c r="X463" s="524"/>
      <c r="Y463" s="524"/>
      <c r="Z463" s="524"/>
      <c r="AA463" s="524"/>
      <c r="AB463" s="524"/>
      <c r="AC463" s="524"/>
      <c r="AD463" s="524"/>
      <c r="AE463" s="524"/>
      <c r="AF463" s="524"/>
      <c r="AG463" s="524"/>
      <c r="AH463" s="524"/>
    </row>
    <row r="464" spans="1:34" ht="13.5">
      <c r="A464" s="524"/>
      <c r="B464" s="524"/>
      <c r="C464" s="524"/>
      <c r="D464" s="524"/>
      <c r="E464" s="524"/>
      <c r="F464" s="524"/>
      <c r="G464" s="524"/>
      <c r="H464" s="524"/>
      <c r="I464" s="524"/>
      <c r="J464" s="524"/>
      <c r="K464" s="524"/>
      <c r="L464" s="524"/>
      <c r="M464" s="524"/>
      <c r="N464" s="524"/>
      <c r="O464" s="524"/>
      <c r="P464" s="524"/>
      <c r="Q464" s="524"/>
      <c r="R464" s="524"/>
      <c r="S464" s="524"/>
      <c r="T464" s="524"/>
      <c r="U464" s="524"/>
      <c r="V464" s="524"/>
      <c r="W464" s="524"/>
      <c r="X464" s="524"/>
      <c r="Y464" s="524"/>
      <c r="Z464" s="524"/>
      <c r="AA464" s="524"/>
      <c r="AB464" s="524"/>
      <c r="AC464" s="524"/>
      <c r="AD464" s="524"/>
      <c r="AE464" s="524"/>
      <c r="AF464" s="524"/>
      <c r="AG464" s="524"/>
      <c r="AH464" s="524"/>
    </row>
    <row r="465" spans="1:34" ht="13.5">
      <c r="A465" s="524"/>
      <c r="B465" s="524"/>
      <c r="C465" s="524"/>
      <c r="D465" s="524"/>
      <c r="E465" s="524"/>
      <c r="F465" s="524"/>
      <c r="G465" s="524"/>
      <c r="H465" s="524"/>
      <c r="I465" s="524"/>
      <c r="J465" s="524"/>
      <c r="K465" s="524"/>
      <c r="L465" s="524"/>
      <c r="M465" s="524"/>
      <c r="N465" s="524"/>
      <c r="O465" s="524"/>
      <c r="P465" s="524"/>
      <c r="Q465" s="524"/>
      <c r="R465" s="524"/>
      <c r="S465" s="524"/>
      <c r="T465" s="524"/>
      <c r="U465" s="524"/>
      <c r="V465" s="524"/>
      <c r="W465" s="524"/>
      <c r="X465" s="524"/>
      <c r="Y465" s="524"/>
      <c r="Z465" s="524"/>
      <c r="AA465" s="524"/>
      <c r="AB465" s="524"/>
      <c r="AC465" s="524"/>
      <c r="AD465" s="524"/>
      <c r="AE465" s="524"/>
      <c r="AF465" s="524"/>
      <c r="AG465" s="524"/>
      <c r="AH465" s="524"/>
    </row>
    <row r="466" spans="1:34" ht="13.5">
      <c r="A466" s="524"/>
      <c r="B466" s="524"/>
      <c r="C466" s="524"/>
      <c r="D466" s="524"/>
      <c r="E466" s="524"/>
      <c r="F466" s="524"/>
      <c r="G466" s="524"/>
      <c r="H466" s="524"/>
      <c r="I466" s="524"/>
      <c r="J466" s="524"/>
      <c r="K466" s="524"/>
      <c r="L466" s="524"/>
      <c r="M466" s="524"/>
      <c r="N466" s="524"/>
      <c r="O466" s="524"/>
      <c r="P466" s="524"/>
      <c r="Q466" s="524"/>
      <c r="R466" s="524"/>
      <c r="S466" s="524"/>
      <c r="T466" s="524"/>
      <c r="U466" s="524"/>
      <c r="V466" s="524"/>
      <c r="W466" s="524"/>
      <c r="X466" s="524"/>
      <c r="Y466" s="524"/>
      <c r="Z466" s="524"/>
      <c r="AA466" s="524"/>
      <c r="AB466" s="524"/>
      <c r="AC466" s="524"/>
      <c r="AD466" s="524"/>
      <c r="AE466" s="524"/>
      <c r="AF466" s="524"/>
      <c r="AG466" s="524"/>
      <c r="AH466" s="524"/>
    </row>
    <row r="467" spans="1:34" ht="13.5">
      <c r="A467" s="524"/>
      <c r="B467" s="524"/>
      <c r="C467" s="524"/>
      <c r="D467" s="524"/>
      <c r="E467" s="524"/>
      <c r="F467" s="524"/>
      <c r="G467" s="524"/>
      <c r="H467" s="524"/>
      <c r="I467" s="524"/>
      <c r="J467" s="524"/>
      <c r="K467" s="524"/>
      <c r="L467" s="524"/>
      <c r="M467" s="524"/>
      <c r="N467" s="524"/>
      <c r="O467" s="524"/>
      <c r="P467" s="524"/>
      <c r="Q467" s="524"/>
      <c r="R467" s="524"/>
      <c r="S467" s="524"/>
      <c r="T467" s="524"/>
      <c r="U467" s="524"/>
      <c r="V467" s="524"/>
      <c r="W467" s="524"/>
      <c r="X467" s="524"/>
      <c r="Y467" s="524"/>
      <c r="Z467" s="524"/>
      <c r="AA467" s="524"/>
      <c r="AB467" s="524"/>
      <c r="AC467" s="524"/>
      <c r="AD467" s="524"/>
      <c r="AE467" s="524"/>
      <c r="AF467" s="524"/>
      <c r="AG467" s="524"/>
      <c r="AH467" s="524"/>
    </row>
    <row r="468" spans="1:34" ht="13.5">
      <c r="A468" s="524"/>
      <c r="B468" s="524"/>
      <c r="C468" s="524"/>
      <c r="D468" s="524"/>
      <c r="E468" s="524"/>
      <c r="F468" s="524"/>
      <c r="G468" s="524"/>
      <c r="H468" s="524"/>
      <c r="I468" s="524"/>
      <c r="J468" s="524"/>
      <c r="K468" s="524"/>
      <c r="L468" s="524"/>
      <c r="M468" s="524"/>
      <c r="N468" s="524"/>
      <c r="O468" s="524"/>
      <c r="P468" s="524"/>
      <c r="Q468" s="524"/>
      <c r="R468" s="524"/>
      <c r="S468" s="524"/>
      <c r="T468" s="524"/>
      <c r="U468" s="524"/>
      <c r="V468" s="524"/>
      <c r="W468" s="524"/>
      <c r="X468" s="524"/>
      <c r="Y468" s="524"/>
      <c r="Z468" s="524"/>
      <c r="AA468" s="524"/>
      <c r="AB468" s="524"/>
      <c r="AC468" s="524"/>
      <c r="AD468" s="524"/>
      <c r="AE468" s="524"/>
      <c r="AF468" s="524"/>
      <c r="AG468" s="524"/>
      <c r="AH468" s="524"/>
    </row>
    <row r="469" spans="1:34" ht="13.5">
      <c r="A469" s="524"/>
      <c r="B469" s="524"/>
      <c r="C469" s="524"/>
      <c r="D469" s="524"/>
      <c r="E469" s="524"/>
      <c r="F469" s="524"/>
      <c r="G469" s="524"/>
      <c r="H469" s="524"/>
      <c r="I469" s="524"/>
      <c r="J469" s="524"/>
      <c r="K469" s="524"/>
      <c r="L469" s="524"/>
      <c r="M469" s="524"/>
      <c r="N469" s="524"/>
      <c r="O469" s="524"/>
      <c r="P469" s="524"/>
      <c r="Q469" s="524"/>
      <c r="R469" s="524"/>
      <c r="S469" s="524"/>
      <c r="T469" s="524"/>
      <c r="U469" s="524"/>
      <c r="V469" s="524"/>
      <c r="W469" s="524"/>
      <c r="X469" s="524"/>
      <c r="Y469" s="524"/>
      <c r="Z469" s="524"/>
      <c r="AA469" s="524"/>
      <c r="AB469" s="524"/>
      <c r="AC469" s="524"/>
      <c r="AD469" s="524"/>
      <c r="AE469" s="524"/>
      <c r="AF469" s="524"/>
      <c r="AG469" s="524"/>
      <c r="AH469" s="524"/>
    </row>
    <row r="470" spans="1:34" ht="13.5">
      <c r="A470" s="524"/>
      <c r="B470" s="524"/>
      <c r="C470" s="524"/>
      <c r="D470" s="524"/>
      <c r="E470" s="524"/>
      <c r="F470" s="524"/>
      <c r="G470" s="524"/>
      <c r="H470" s="524"/>
      <c r="I470" s="524"/>
      <c r="J470" s="524"/>
      <c r="K470" s="524"/>
      <c r="L470" s="524"/>
      <c r="M470" s="524"/>
      <c r="N470" s="524"/>
      <c r="O470" s="524"/>
      <c r="P470" s="524"/>
      <c r="Q470" s="524"/>
      <c r="R470" s="524"/>
      <c r="S470" s="524"/>
      <c r="T470" s="524"/>
      <c r="U470" s="524"/>
      <c r="V470" s="524"/>
      <c r="W470" s="524"/>
      <c r="X470" s="524"/>
      <c r="Y470" s="524"/>
      <c r="Z470" s="524"/>
      <c r="AA470" s="524"/>
      <c r="AB470" s="524"/>
      <c r="AC470" s="524"/>
      <c r="AD470" s="524"/>
      <c r="AE470" s="524"/>
      <c r="AF470" s="524"/>
      <c r="AG470" s="524"/>
      <c r="AH470" s="524"/>
    </row>
    <row r="471" spans="1:34" ht="13.5">
      <c r="A471" s="524"/>
      <c r="B471" s="524"/>
      <c r="C471" s="524"/>
      <c r="D471" s="524"/>
      <c r="E471" s="524"/>
      <c r="F471" s="524"/>
      <c r="G471" s="524"/>
      <c r="H471" s="524"/>
      <c r="I471" s="524"/>
      <c r="J471" s="524"/>
      <c r="K471" s="524"/>
      <c r="L471" s="524"/>
      <c r="M471" s="524"/>
      <c r="N471" s="524"/>
      <c r="O471" s="524"/>
      <c r="P471" s="524"/>
      <c r="Q471" s="524"/>
      <c r="R471" s="524"/>
      <c r="S471" s="524"/>
      <c r="T471" s="524"/>
      <c r="U471" s="524"/>
      <c r="V471" s="524"/>
      <c r="W471" s="524"/>
      <c r="X471" s="524"/>
      <c r="Y471" s="524"/>
      <c r="Z471" s="524"/>
      <c r="AA471" s="524"/>
      <c r="AB471" s="524"/>
      <c r="AC471" s="524"/>
      <c r="AD471" s="524"/>
      <c r="AE471" s="524"/>
      <c r="AF471" s="524"/>
      <c r="AG471" s="524"/>
      <c r="AH471" s="524"/>
    </row>
    <row r="472" spans="1:34" ht="13.5">
      <c r="A472" s="524"/>
      <c r="B472" s="524"/>
      <c r="C472" s="524"/>
      <c r="D472" s="524"/>
      <c r="E472" s="524"/>
      <c r="F472" s="524"/>
      <c r="G472" s="524"/>
      <c r="H472" s="524"/>
      <c r="I472" s="524"/>
      <c r="J472" s="524"/>
      <c r="K472" s="524"/>
      <c r="L472" s="524"/>
      <c r="M472" s="524"/>
      <c r="N472" s="524"/>
      <c r="O472" s="524"/>
      <c r="P472" s="524"/>
      <c r="Q472" s="524"/>
      <c r="R472" s="524"/>
      <c r="S472" s="524"/>
      <c r="T472" s="524"/>
      <c r="U472" s="524"/>
      <c r="V472" s="524"/>
      <c r="W472" s="524"/>
      <c r="X472" s="524"/>
      <c r="Y472" s="524"/>
      <c r="Z472" s="524"/>
      <c r="AA472" s="524"/>
      <c r="AB472" s="524"/>
      <c r="AC472" s="524"/>
      <c r="AD472" s="524"/>
      <c r="AE472" s="524"/>
      <c r="AF472" s="524"/>
      <c r="AG472" s="524"/>
      <c r="AH472" s="524"/>
    </row>
    <row r="473" spans="1:34" ht="13.5">
      <c r="A473" s="524"/>
      <c r="B473" s="524"/>
      <c r="C473" s="524"/>
      <c r="D473" s="524"/>
      <c r="E473" s="524"/>
      <c r="F473" s="524"/>
      <c r="G473" s="524"/>
      <c r="H473" s="524"/>
      <c r="I473" s="524"/>
      <c r="J473" s="524"/>
      <c r="K473" s="524"/>
      <c r="L473" s="524"/>
      <c r="M473" s="524"/>
      <c r="N473" s="524"/>
      <c r="O473" s="524"/>
      <c r="P473" s="524"/>
      <c r="Q473" s="524"/>
      <c r="R473" s="524"/>
      <c r="S473" s="524"/>
      <c r="T473" s="524"/>
      <c r="U473" s="524"/>
      <c r="V473" s="524"/>
      <c r="W473" s="524"/>
      <c r="X473" s="524"/>
      <c r="Y473" s="524"/>
      <c r="Z473" s="524"/>
      <c r="AA473" s="524"/>
      <c r="AB473" s="524"/>
      <c r="AC473" s="524"/>
      <c r="AD473" s="524"/>
      <c r="AE473" s="524"/>
      <c r="AF473" s="524"/>
      <c r="AG473" s="524"/>
      <c r="AH473" s="524"/>
    </row>
    <row r="474" spans="1:34" ht="13.5">
      <c r="A474" s="524"/>
      <c r="B474" s="524"/>
      <c r="C474" s="524"/>
      <c r="D474" s="524"/>
      <c r="E474" s="524"/>
      <c r="F474" s="524"/>
      <c r="G474" s="524"/>
      <c r="H474" s="524"/>
      <c r="I474" s="524"/>
      <c r="J474" s="524"/>
      <c r="K474" s="524"/>
      <c r="L474" s="524"/>
      <c r="M474" s="524"/>
      <c r="N474" s="524"/>
      <c r="O474" s="524"/>
      <c r="P474" s="524"/>
      <c r="Q474" s="524"/>
      <c r="R474" s="524"/>
      <c r="S474" s="524"/>
      <c r="T474" s="524"/>
      <c r="U474" s="524"/>
      <c r="V474" s="524"/>
      <c r="W474" s="524"/>
      <c r="X474" s="524"/>
      <c r="Y474" s="524"/>
      <c r="Z474" s="524"/>
      <c r="AA474" s="524"/>
      <c r="AB474" s="524"/>
      <c r="AC474" s="524"/>
      <c r="AD474" s="524"/>
      <c r="AE474" s="524"/>
      <c r="AF474" s="524"/>
      <c r="AG474" s="524"/>
      <c r="AH474" s="524"/>
    </row>
    <row r="475" spans="1:34" ht="13.5">
      <c r="A475" s="524"/>
      <c r="B475" s="524"/>
      <c r="C475" s="524"/>
      <c r="D475" s="524"/>
      <c r="E475" s="524"/>
      <c r="F475" s="524"/>
      <c r="G475" s="524"/>
      <c r="H475" s="524"/>
      <c r="I475" s="524"/>
      <c r="J475" s="524"/>
      <c r="K475" s="524"/>
      <c r="L475" s="524"/>
      <c r="M475" s="524"/>
      <c r="N475" s="524"/>
      <c r="O475" s="524"/>
      <c r="P475" s="524"/>
      <c r="Q475" s="524"/>
      <c r="R475" s="524"/>
      <c r="S475" s="524"/>
      <c r="T475" s="524"/>
      <c r="U475" s="524"/>
      <c r="V475" s="524"/>
      <c r="W475" s="524"/>
      <c r="X475" s="524"/>
      <c r="Y475" s="524"/>
      <c r="Z475" s="524"/>
      <c r="AA475" s="524"/>
      <c r="AB475" s="524"/>
      <c r="AC475" s="524"/>
      <c r="AD475" s="524"/>
      <c r="AE475" s="524"/>
      <c r="AF475" s="524"/>
      <c r="AG475" s="524"/>
      <c r="AH475" s="524"/>
    </row>
    <row r="476" spans="1:34" ht="13.5">
      <c r="A476" s="524"/>
      <c r="B476" s="524"/>
      <c r="C476" s="524"/>
      <c r="D476" s="524"/>
      <c r="E476" s="524"/>
      <c r="F476" s="524"/>
      <c r="G476" s="524"/>
      <c r="H476" s="524"/>
      <c r="I476" s="524"/>
      <c r="J476" s="524"/>
      <c r="K476" s="524"/>
      <c r="L476" s="524"/>
      <c r="M476" s="524"/>
      <c r="N476" s="524"/>
      <c r="O476" s="524"/>
      <c r="P476" s="524"/>
      <c r="Q476" s="524"/>
      <c r="R476" s="524"/>
      <c r="S476" s="524"/>
      <c r="T476" s="524"/>
      <c r="U476" s="524"/>
      <c r="V476" s="524"/>
      <c r="W476" s="524"/>
      <c r="X476" s="524"/>
      <c r="Y476" s="524"/>
      <c r="Z476" s="524"/>
      <c r="AA476" s="524"/>
      <c r="AB476" s="524"/>
      <c r="AC476" s="524"/>
      <c r="AD476" s="524"/>
      <c r="AE476" s="524"/>
      <c r="AF476" s="524"/>
      <c r="AG476" s="524"/>
      <c r="AH476" s="524"/>
    </row>
    <row r="477" spans="1:34" ht="13.5">
      <c r="A477" s="524"/>
      <c r="B477" s="524"/>
      <c r="C477" s="524"/>
      <c r="D477" s="524"/>
      <c r="E477" s="524"/>
      <c r="F477" s="524"/>
      <c r="G477" s="524"/>
      <c r="H477" s="524"/>
      <c r="I477" s="524"/>
      <c r="J477" s="524"/>
      <c r="K477" s="524"/>
      <c r="L477" s="524"/>
      <c r="M477" s="524"/>
      <c r="N477" s="524"/>
      <c r="O477" s="524"/>
      <c r="P477" s="524"/>
      <c r="Q477" s="524"/>
      <c r="R477" s="524"/>
      <c r="S477" s="524"/>
      <c r="T477" s="524"/>
      <c r="U477" s="524"/>
      <c r="V477" s="524"/>
      <c r="W477" s="524"/>
      <c r="X477" s="524"/>
      <c r="Y477" s="524"/>
      <c r="Z477" s="524"/>
      <c r="AA477" s="524"/>
      <c r="AB477" s="524"/>
      <c r="AC477" s="524"/>
      <c r="AD477" s="524"/>
      <c r="AE477" s="524"/>
      <c r="AF477" s="524"/>
      <c r="AG477" s="524"/>
      <c r="AH477" s="524"/>
    </row>
    <row r="478" spans="1:34" ht="13.5">
      <c r="A478" s="524"/>
      <c r="B478" s="524"/>
      <c r="C478" s="524"/>
      <c r="D478" s="524"/>
      <c r="E478" s="524"/>
      <c r="F478" s="524"/>
      <c r="G478" s="524"/>
      <c r="H478" s="524"/>
      <c r="I478" s="524"/>
      <c r="J478" s="524"/>
      <c r="K478" s="524"/>
      <c r="L478" s="524"/>
      <c r="M478" s="524"/>
      <c r="N478" s="524"/>
      <c r="O478" s="524"/>
      <c r="P478" s="524"/>
      <c r="Q478" s="524"/>
      <c r="R478" s="524"/>
      <c r="S478" s="524"/>
      <c r="T478" s="524"/>
      <c r="U478" s="524"/>
      <c r="V478" s="524"/>
      <c r="W478" s="524"/>
      <c r="X478" s="524"/>
      <c r="Y478" s="524"/>
      <c r="Z478" s="524"/>
      <c r="AA478" s="524"/>
      <c r="AB478" s="524"/>
      <c r="AC478" s="524"/>
      <c r="AD478" s="524"/>
      <c r="AE478" s="524"/>
      <c r="AF478" s="524"/>
      <c r="AG478" s="524"/>
      <c r="AH478" s="524"/>
    </row>
    <row r="479" spans="1:34" ht="13.5">
      <c r="A479" s="524"/>
      <c r="B479" s="524"/>
      <c r="C479" s="524"/>
      <c r="D479" s="524"/>
      <c r="E479" s="524"/>
      <c r="F479" s="524"/>
      <c r="G479" s="524"/>
      <c r="H479" s="524"/>
      <c r="I479" s="524"/>
      <c r="J479" s="524"/>
      <c r="K479" s="524"/>
      <c r="L479" s="524"/>
      <c r="M479" s="524"/>
      <c r="N479" s="524"/>
      <c r="O479" s="524"/>
      <c r="P479" s="524"/>
      <c r="Q479" s="524"/>
      <c r="R479" s="524"/>
      <c r="S479" s="524"/>
      <c r="T479" s="524"/>
      <c r="U479" s="524"/>
      <c r="V479" s="524"/>
      <c r="W479" s="524"/>
      <c r="X479" s="524"/>
      <c r="Y479" s="524"/>
      <c r="Z479" s="524"/>
      <c r="AA479" s="524"/>
      <c r="AB479" s="524"/>
      <c r="AC479" s="524"/>
      <c r="AD479" s="524"/>
      <c r="AE479" s="524"/>
      <c r="AF479" s="524"/>
      <c r="AG479" s="524"/>
      <c r="AH479" s="524"/>
    </row>
    <row r="480" spans="1:34" ht="13.5">
      <c r="A480" s="524"/>
      <c r="B480" s="524"/>
      <c r="C480" s="524"/>
      <c r="D480" s="524"/>
      <c r="E480" s="524"/>
      <c r="F480" s="524"/>
      <c r="G480" s="524"/>
      <c r="H480" s="524"/>
      <c r="I480" s="524"/>
      <c r="J480" s="524"/>
      <c r="K480" s="524"/>
      <c r="L480" s="524"/>
      <c r="M480" s="524"/>
      <c r="N480" s="524"/>
      <c r="O480" s="524"/>
      <c r="P480" s="524"/>
      <c r="Q480" s="524"/>
      <c r="R480" s="524"/>
      <c r="S480" s="524"/>
      <c r="T480" s="524"/>
      <c r="U480" s="524"/>
      <c r="V480" s="524"/>
      <c r="W480" s="524"/>
      <c r="X480" s="524"/>
      <c r="Y480" s="524"/>
      <c r="Z480" s="524"/>
      <c r="AA480" s="524"/>
      <c r="AB480" s="524"/>
      <c r="AC480" s="524"/>
      <c r="AD480" s="524"/>
      <c r="AE480" s="524"/>
      <c r="AF480" s="524"/>
      <c r="AG480" s="524"/>
      <c r="AH480" s="524"/>
    </row>
    <row r="481" spans="1:34" ht="13.5">
      <c r="A481" s="524"/>
      <c r="B481" s="524"/>
      <c r="C481" s="524"/>
      <c r="D481" s="524"/>
      <c r="E481" s="524"/>
      <c r="F481" s="524"/>
      <c r="G481" s="524"/>
      <c r="H481" s="524"/>
      <c r="I481" s="524"/>
      <c r="J481" s="524"/>
      <c r="K481" s="524"/>
      <c r="L481" s="524"/>
      <c r="M481" s="524"/>
      <c r="N481" s="524"/>
      <c r="O481" s="524"/>
      <c r="P481" s="524"/>
      <c r="Q481" s="524"/>
      <c r="R481" s="524"/>
      <c r="S481" s="524"/>
      <c r="T481" s="524"/>
      <c r="U481" s="524"/>
      <c r="V481" s="524"/>
      <c r="W481" s="524"/>
      <c r="X481" s="524"/>
      <c r="Y481" s="524"/>
      <c r="Z481" s="524"/>
      <c r="AA481" s="524"/>
      <c r="AB481" s="524"/>
      <c r="AC481" s="524"/>
      <c r="AD481" s="524"/>
      <c r="AE481" s="524"/>
      <c r="AF481" s="524"/>
      <c r="AG481" s="524"/>
      <c r="AH481" s="524"/>
    </row>
    <row r="482" spans="1:34" ht="13.5">
      <c r="A482" s="524"/>
      <c r="B482" s="524"/>
      <c r="C482" s="524"/>
      <c r="D482" s="524"/>
      <c r="E482" s="524"/>
      <c r="F482" s="524"/>
      <c r="G482" s="524"/>
      <c r="H482" s="524"/>
      <c r="I482" s="524"/>
      <c r="J482" s="524"/>
      <c r="K482" s="524"/>
      <c r="L482" s="524"/>
      <c r="M482" s="524"/>
      <c r="N482" s="524"/>
      <c r="O482" s="524"/>
      <c r="P482" s="524"/>
      <c r="Q482" s="524"/>
      <c r="R482" s="524"/>
      <c r="S482" s="524"/>
      <c r="T482" s="524"/>
      <c r="U482" s="524"/>
      <c r="V482" s="524"/>
      <c r="W482" s="524"/>
      <c r="X482" s="524"/>
      <c r="Y482" s="524"/>
      <c r="Z482" s="524"/>
      <c r="AA482" s="524"/>
      <c r="AB482" s="524"/>
      <c r="AC482" s="524"/>
      <c r="AD482" s="524"/>
      <c r="AE482" s="524"/>
      <c r="AF482" s="524"/>
      <c r="AG482" s="524"/>
      <c r="AH482" s="524"/>
    </row>
    <row r="483" spans="1:34" ht="13.5">
      <c r="A483" s="524"/>
      <c r="B483" s="524"/>
      <c r="C483" s="524"/>
      <c r="D483" s="524"/>
      <c r="E483" s="524"/>
      <c r="F483" s="524"/>
      <c r="G483" s="524"/>
      <c r="H483" s="524"/>
      <c r="I483" s="524"/>
      <c r="J483" s="524"/>
      <c r="K483" s="524"/>
      <c r="L483" s="524"/>
      <c r="M483" s="524"/>
      <c r="N483" s="524"/>
      <c r="O483" s="524"/>
      <c r="P483" s="524"/>
      <c r="Q483" s="524"/>
      <c r="R483" s="524"/>
      <c r="S483" s="524"/>
      <c r="T483" s="524"/>
      <c r="U483" s="524"/>
      <c r="V483" s="524"/>
      <c r="W483" s="524"/>
      <c r="X483" s="524"/>
      <c r="Y483" s="524"/>
      <c r="Z483" s="524"/>
      <c r="AA483" s="524"/>
      <c r="AB483" s="524"/>
      <c r="AC483" s="524"/>
      <c r="AD483" s="524"/>
      <c r="AE483" s="524"/>
      <c r="AF483" s="524"/>
      <c r="AG483" s="524"/>
      <c r="AH483" s="524"/>
    </row>
    <row r="484" spans="1:34" ht="13.5">
      <c r="A484" s="524"/>
      <c r="B484" s="524"/>
      <c r="C484" s="524"/>
      <c r="D484" s="524"/>
      <c r="E484" s="524"/>
      <c r="F484" s="524"/>
      <c r="G484" s="524"/>
      <c r="H484" s="524"/>
      <c r="I484" s="524"/>
      <c r="J484" s="524"/>
      <c r="K484" s="524"/>
      <c r="L484" s="524"/>
      <c r="M484" s="524"/>
      <c r="N484" s="524"/>
      <c r="O484" s="524"/>
      <c r="P484" s="524"/>
      <c r="Q484" s="524"/>
      <c r="R484" s="524"/>
      <c r="S484" s="524"/>
      <c r="T484" s="524"/>
      <c r="U484" s="524"/>
      <c r="V484" s="524"/>
      <c r="W484" s="524"/>
      <c r="X484" s="524"/>
      <c r="Y484" s="524"/>
      <c r="Z484" s="524"/>
      <c r="AA484" s="524"/>
      <c r="AB484" s="524"/>
      <c r="AC484" s="524"/>
      <c r="AD484" s="524"/>
      <c r="AE484" s="524"/>
      <c r="AF484" s="524"/>
      <c r="AG484" s="524"/>
      <c r="AH484" s="524"/>
    </row>
    <row r="485" spans="1:34" ht="13.5">
      <c r="A485" s="524"/>
      <c r="B485" s="524"/>
      <c r="C485" s="524"/>
      <c r="D485" s="524"/>
      <c r="E485" s="524"/>
      <c r="F485" s="524"/>
      <c r="G485" s="524"/>
      <c r="H485" s="524"/>
      <c r="I485" s="524"/>
      <c r="J485" s="524"/>
      <c r="K485" s="524"/>
      <c r="L485" s="524"/>
      <c r="M485" s="524"/>
      <c r="N485" s="524"/>
      <c r="O485" s="524"/>
      <c r="P485" s="524"/>
      <c r="Q485" s="524"/>
      <c r="R485" s="524"/>
      <c r="S485" s="524"/>
      <c r="T485" s="524"/>
      <c r="U485" s="524"/>
      <c r="V485" s="524"/>
      <c r="W485" s="524"/>
      <c r="X485" s="524"/>
      <c r="Y485" s="524"/>
      <c r="Z485" s="524"/>
      <c r="AA485" s="524"/>
      <c r="AB485" s="524"/>
      <c r="AC485" s="524"/>
      <c r="AD485" s="524"/>
      <c r="AE485" s="524"/>
      <c r="AF485" s="524"/>
      <c r="AG485" s="524"/>
      <c r="AH485" s="524"/>
    </row>
    <row r="486" spans="1:34" ht="13.5">
      <c r="A486" s="524"/>
      <c r="B486" s="524"/>
      <c r="C486" s="524"/>
      <c r="D486" s="524"/>
      <c r="E486" s="524"/>
      <c r="F486" s="524"/>
      <c r="G486" s="524"/>
      <c r="H486" s="524"/>
      <c r="I486" s="524"/>
      <c r="J486" s="524"/>
      <c r="K486" s="524"/>
      <c r="L486" s="524"/>
      <c r="M486" s="524"/>
      <c r="N486" s="524"/>
      <c r="O486" s="524"/>
      <c r="P486" s="524"/>
      <c r="Q486" s="524"/>
      <c r="R486" s="524"/>
      <c r="S486" s="524"/>
      <c r="T486" s="524"/>
      <c r="U486" s="524"/>
      <c r="V486" s="524"/>
      <c r="W486" s="524"/>
      <c r="X486" s="524"/>
      <c r="Y486" s="524"/>
      <c r="Z486" s="524"/>
      <c r="AA486" s="524"/>
      <c r="AB486" s="524"/>
      <c r="AC486" s="524"/>
      <c r="AD486" s="524"/>
      <c r="AE486" s="524"/>
      <c r="AF486" s="524"/>
      <c r="AG486" s="524"/>
      <c r="AH486" s="524"/>
    </row>
    <row r="487" spans="1:34" ht="13.5">
      <c r="A487" s="524"/>
      <c r="B487" s="524"/>
      <c r="C487" s="524"/>
      <c r="D487" s="524"/>
      <c r="E487" s="524"/>
      <c r="F487" s="524"/>
      <c r="G487" s="524"/>
      <c r="H487" s="524"/>
      <c r="I487" s="524"/>
      <c r="J487" s="524"/>
      <c r="K487" s="524"/>
      <c r="L487" s="524"/>
      <c r="M487" s="524"/>
      <c r="N487" s="524"/>
      <c r="O487" s="524"/>
      <c r="P487" s="524"/>
      <c r="Q487" s="524"/>
      <c r="R487" s="524"/>
      <c r="S487" s="524"/>
      <c r="T487" s="524"/>
      <c r="U487" s="524"/>
      <c r="V487" s="524"/>
      <c r="W487" s="524"/>
      <c r="X487" s="524"/>
      <c r="Y487" s="524"/>
      <c r="Z487" s="524"/>
      <c r="AA487" s="524"/>
      <c r="AB487" s="524"/>
      <c r="AC487" s="524"/>
      <c r="AD487" s="524"/>
      <c r="AE487" s="524"/>
      <c r="AF487" s="524"/>
      <c r="AG487" s="524"/>
      <c r="AH487" s="524"/>
    </row>
    <row r="488" spans="1:34" ht="13.5"/>
    <row r="489" spans="1:34" ht="13.5"/>
  </sheetData>
  <autoFilter ref="A1:AC487" xr:uid="{00000000-0009-0000-0000-000001000000}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81"/>
  <sheetViews>
    <sheetView topLeftCell="A19" zoomScale="85" zoomScaleNormal="85" workbookViewId="0">
      <selection activeCell="C40" sqref="C40"/>
    </sheetView>
  </sheetViews>
  <sheetFormatPr defaultColWidth="9.42578125" defaultRowHeight="12.75"/>
  <cols>
    <col min="1" max="2" width="3.5703125" style="1" customWidth="1"/>
    <col min="3" max="3" width="33.140625" style="2" customWidth="1"/>
    <col min="4" max="4" width="20.42578125" style="2" customWidth="1"/>
    <col min="5" max="5" width="14.5703125" style="5" customWidth="1"/>
    <col min="6" max="6" width="23.28515625" style="5" bestFit="1" customWidth="1"/>
    <col min="7" max="7" width="13.28515625" style="5" customWidth="1"/>
    <col min="8" max="8" width="16.7109375" style="5" bestFit="1" customWidth="1"/>
    <col min="9" max="9" width="15" style="2" bestFit="1" customWidth="1"/>
    <col min="10" max="10" width="55.42578125" style="2" customWidth="1"/>
    <col min="11" max="11" width="22" style="2" bestFit="1" customWidth="1"/>
    <col min="12" max="12" width="16.28515625" style="2" bestFit="1" customWidth="1"/>
    <col min="13" max="13" width="14.7109375" style="2" bestFit="1" customWidth="1"/>
    <col min="14" max="14" width="23.5703125" style="2" customWidth="1"/>
    <col min="15" max="15" width="19" style="2" bestFit="1" customWidth="1"/>
    <col min="16" max="16" width="18.42578125" style="2" customWidth="1"/>
    <col min="17" max="17" width="19.5703125" style="2" bestFit="1" customWidth="1"/>
    <col min="18" max="18" width="12" style="2" customWidth="1"/>
    <col min="19" max="19" width="9.42578125" style="2"/>
    <col min="20" max="20" width="25.42578125" style="2" customWidth="1"/>
    <col min="21" max="21" width="14.5703125" style="2" customWidth="1"/>
    <col min="22" max="22" width="13.42578125" style="2" customWidth="1"/>
    <col min="23" max="23" width="16" style="2" customWidth="1"/>
    <col min="24" max="24" width="14.42578125" style="2" bestFit="1" customWidth="1"/>
    <col min="25" max="25" width="16.5703125" style="2" bestFit="1" customWidth="1"/>
    <col min="26" max="26" width="12.42578125" style="2" bestFit="1" customWidth="1"/>
    <col min="27" max="27" width="16.5703125" style="2" customWidth="1"/>
    <col min="28" max="28" width="9.42578125" style="2"/>
    <col min="29" max="29" width="23" style="2" customWidth="1"/>
    <col min="30" max="30" width="18" style="2" customWidth="1"/>
    <col min="31" max="31" width="9.42578125" style="2"/>
    <col min="32" max="32" width="16.42578125" style="2" customWidth="1"/>
    <col min="33" max="16384" width="9.42578125" style="2"/>
  </cols>
  <sheetData>
    <row r="1" spans="1:37" ht="15" customHeight="1">
      <c r="A1" s="563" t="s">
        <v>102</v>
      </c>
      <c r="B1" s="563"/>
      <c r="C1" s="564" t="s">
        <v>263</v>
      </c>
      <c r="D1" s="565" t="s">
        <v>21</v>
      </c>
      <c r="E1" s="566" t="s">
        <v>264</v>
      </c>
      <c r="F1" s="804" t="s">
        <v>265</v>
      </c>
      <c r="G1" s="804"/>
      <c r="H1" s="804"/>
      <c r="I1" s="567"/>
      <c r="J1" s="567"/>
      <c r="K1" s="567"/>
      <c r="L1" s="567"/>
      <c r="M1" s="567"/>
      <c r="N1" s="563">
        <v>26</v>
      </c>
      <c r="O1" s="554" t="s">
        <v>21</v>
      </c>
      <c r="P1" s="568" t="s">
        <v>21</v>
      </c>
      <c r="Q1" s="568" t="s">
        <v>21</v>
      </c>
      <c r="R1" s="568" t="s">
        <v>21</v>
      </c>
      <c r="S1" s="568" t="s">
        <v>21</v>
      </c>
      <c r="T1" s="569">
        <v>108000000</v>
      </c>
      <c r="U1" s="513"/>
      <c r="V1" s="513"/>
      <c r="W1" s="513"/>
      <c r="X1" s="513"/>
      <c r="Y1" s="513"/>
      <c r="Z1" s="513"/>
      <c r="AA1" s="570" t="s">
        <v>21</v>
      </c>
      <c r="AB1" s="513"/>
      <c r="AC1" s="513"/>
      <c r="AD1" s="513"/>
      <c r="AE1" s="513"/>
      <c r="AF1" s="513"/>
      <c r="AG1" s="571" t="s">
        <v>21</v>
      </c>
      <c r="AH1" s="572" t="s">
        <v>21</v>
      </c>
      <c r="AI1" s="572" t="s">
        <v>21</v>
      </c>
      <c r="AJ1" s="572" t="s">
        <v>21</v>
      </c>
      <c r="AK1" s="572" t="s">
        <v>21</v>
      </c>
    </row>
    <row r="2" spans="1:37" ht="15.75" customHeight="1">
      <c r="A2" s="563"/>
      <c r="B2" s="563"/>
      <c r="C2" s="573" t="s">
        <v>266</v>
      </c>
      <c r="D2" s="574" t="s">
        <v>21</v>
      </c>
      <c r="E2" s="575">
        <v>45832</v>
      </c>
      <c r="F2" s="805" t="s">
        <v>267</v>
      </c>
      <c r="G2" s="805"/>
      <c r="H2" s="576" t="s">
        <v>268</v>
      </c>
      <c r="I2" s="567"/>
      <c r="J2" s="567" t="s">
        <v>269</v>
      </c>
      <c r="K2" s="567"/>
      <c r="L2" s="567" t="s">
        <v>270</v>
      </c>
      <c r="M2" s="567"/>
      <c r="N2" s="513" t="s">
        <v>271</v>
      </c>
      <c r="O2" s="577" t="s">
        <v>272</v>
      </c>
      <c r="P2" s="513"/>
      <c r="Q2" s="513"/>
      <c r="R2" s="513"/>
      <c r="S2" s="513"/>
      <c r="T2" s="578">
        <v>108000000</v>
      </c>
      <c r="U2" s="513"/>
      <c r="V2" s="513"/>
      <c r="W2" s="513"/>
      <c r="X2" s="513"/>
      <c r="Y2" s="513" t="s">
        <v>273</v>
      </c>
      <c r="Z2" s="513"/>
      <c r="AA2" s="570" t="s">
        <v>21</v>
      </c>
      <c r="AB2" s="513"/>
      <c r="AC2" s="513"/>
      <c r="AD2" s="513"/>
      <c r="AE2" s="513"/>
      <c r="AF2" s="524"/>
      <c r="AG2" s="524"/>
      <c r="AH2" s="524"/>
      <c r="AI2" s="579"/>
      <c r="AJ2" s="524"/>
      <c r="AK2" s="513"/>
    </row>
    <row r="3" spans="1:37" ht="15.75">
      <c r="A3" s="563"/>
      <c r="B3" s="563"/>
      <c r="C3" s="580" t="s">
        <v>274</v>
      </c>
      <c r="D3" s="581" t="s">
        <v>21</v>
      </c>
      <c r="E3" s="582" t="s">
        <v>21</v>
      </c>
      <c r="F3" s="567" t="s">
        <v>21</v>
      </c>
      <c r="G3" s="567" t="s">
        <v>21</v>
      </c>
      <c r="H3" s="567" t="s">
        <v>21</v>
      </c>
      <c r="I3" s="523"/>
      <c r="J3" s="583" t="s">
        <v>275</v>
      </c>
      <c r="K3" s="584" t="s">
        <v>21</v>
      </c>
      <c r="L3" s="585">
        <v>0</v>
      </c>
      <c r="M3" s="586" t="s">
        <v>2</v>
      </c>
      <c r="N3" s="587"/>
      <c r="O3" s="588" t="s">
        <v>276</v>
      </c>
      <c r="P3" s="589" t="s">
        <v>21</v>
      </c>
      <c r="Q3" s="590" t="s">
        <v>21</v>
      </c>
      <c r="R3" s="590" t="s">
        <v>21</v>
      </c>
      <c r="S3" s="513"/>
      <c r="T3" s="591">
        <v>0</v>
      </c>
      <c r="U3" s="513"/>
      <c r="V3" s="513"/>
      <c r="W3" s="513"/>
      <c r="X3" s="513"/>
      <c r="Y3" s="513"/>
      <c r="Z3" s="513"/>
      <c r="AA3" s="570" t="s">
        <v>21</v>
      </c>
      <c r="AB3" s="513"/>
      <c r="AC3" s="513"/>
      <c r="AD3" s="513"/>
      <c r="AE3" s="513"/>
      <c r="AF3" s="524"/>
      <c r="AG3" s="524"/>
      <c r="AH3" s="524"/>
      <c r="AI3" s="524"/>
      <c r="AJ3" s="524"/>
      <c r="AK3" s="513"/>
    </row>
    <row r="4" spans="1:37">
      <c r="A4" s="563"/>
      <c r="B4" s="563"/>
      <c r="C4" s="592" t="s">
        <v>277</v>
      </c>
      <c r="D4" s="593" t="s">
        <v>21</v>
      </c>
      <c r="E4" s="595">
        <v>27645054</v>
      </c>
      <c r="F4" s="806">
        <v>-4961509</v>
      </c>
      <c r="G4" s="807"/>
      <c r="H4" s="541">
        <v>32606563</v>
      </c>
      <c r="I4" s="524"/>
      <c r="J4" s="597" t="s">
        <v>278</v>
      </c>
      <c r="K4" s="524"/>
      <c r="L4" s="524">
        <v>0</v>
      </c>
      <c r="M4" s="598" t="s">
        <v>2</v>
      </c>
      <c r="N4" s="587" t="s">
        <v>279</v>
      </c>
      <c r="O4" s="597" t="s">
        <v>280</v>
      </c>
      <c r="P4" s="513"/>
      <c r="Q4" s="524" t="s">
        <v>281</v>
      </c>
      <c r="R4" s="524"/>
      <c r="S4" s="513"/>
      <c r="T4" s="599">
        <v>8000000</v>
      </c>
      <c r="U4" s="513"/>
      <c r="V4" s="513"/>
      <c r="W4" s="513"/>
      <c r="X4" s="513"/>
      <c r="Y4" s="513"/>
      <c r="Z4" s="513"/>
      <c r="AA4" s="570" t="s">
        <v>21</v>
      </c>
      <c r="AB4" s="513"/>
      <c r="AC4" s="513"/>
      <c r="AD4" s="513"/>
      <c r="AE4" s="513"/>
      <c r="AF4" s="808"/>
      <c r="AG4" s="808"/>
      <c r="AH4" s="808"/>
      <c r="AI4" s="808"/>
      <c r="AJ4" s="524"/>
      <c r="AK4" s="513"/>
    </row>
    <row r="5" spans="1:37">
      <c r="A5" s="563"/>
      <c r="B5" s="563"/>
      <c r="C5" s="592" t="s">
        <v>282</v>
      </c>
      <c r="D5" s="593" t="s">
        <v>21</v>
      </c>
      <c r="E5" s="595">
        <v>33271029</v>
      </c>
      <c r="F5" s="809">
        <v>2751931</v>
      </c>
      <c r="G5" s="808"/>
      <c r="H5" s="541">
        <v>30519098</v>
      </c>
      <c r="I5" s="524"/>
      <c r="J5" s="600" t="s">
        <v>283</v>
      </c>
      <c r="K5" s="601" t="s">
        <v>21</v>
      </c>
      <c r="L5" s="601">
        <v>0</v>
      </c>
      <c r="M5" s="602" t="s">
        <v>2</v>
      </c>
      <c r="N5" s="587" t="s">
        <v>279</v>
      </c>
      <c r="O5" s="570" t="s">
        <v>21</v>
      </c>
      <c r="P5" s="513"/>
      <c r="Q5" s="524" t="s">
        <v>284</v>
      </c>
      <c r="R5" s="524"/>
      <c r="S5" s="513"/>
      <c r="T5" s="598">
        <v>0</v>
      </c>
      <c r="U5" s="513"/>
      <c r="V5" s="513"/>
      <c r="W5" s="513"/>
      <c r="X5" s="513"/>
      <c r="Y5" s="513"/>
      <c r="Z5" s="513"/>
      <c r="AA5" s="570" t="s">
        <v>21</v>
      </c>
      <c r="AB5" s="513"/>
      <c r="AC5" s="513"/>
      <c r="AD5" s="513"/>
      <c r="AE5" s="513"/>
      <c r="AF5" s="513"/>
      <c r="AG5" s="808"/>
      <c r="AH5" s="808"/>
      <c r="AI5" s="808"/>
      <c r="AJ5" s="808"/>
      <c r="AK5" s="524"/>
    </row>
    <row r="6" spans="1:37">
      <c r="A6" s="563"/>
      <c r="B6" s="563"/>
      <c r="C6" s="592" t="s">
        <v>285</v>
      </c>
      <c r="D6" s="593" t="s">
        <v>21</v>
      </c>
      <c r="E6" s="595">
        <v>61281001</v>
      </c>
      <c r="F6" s="809">
        <v>25258041</v>
      </c>
      <c r="G6" s="808"/>
      <c r="H6" s="541">
        <v>36022960</v>
      </c>
      <c r="I6" s="524"/>
      <c r="J6" s="597" t="s">
        <v>21</v>
      </c>
      <c r="K6" s="524"/>
      <c r="L6" s="524"/>
      <c r="M6" s="598" t="s">
        <v>21</v>
      </c>
      <c r="N6" s="587"/>
      <c r="O6" s="570" t="s">
        <v>21</v>
      </c>
      <c r="P6" s="513"/>
      <c r="Q6" s="524" t="s">
        <v>286</v>
      </c>
      <c r="R6" s="513"/>
      <c r="S6" s="513"/>
      <c r="T6" s="603">
        <v>0</v>
      </c>
      <c r="U6" s="513"/>
      <c r="V6" s="513"/>
      <c r="W6" s="513"/>
      <c r="X6" s="513"/>
      <c r="Y6" s="513"/>
      <c r="Z6" s="513"/>
      <c r="AA6" s="570" t="s">
        <v>21</v>
      </c>
      <c r="AB6" s="513"/>
      <c r="AC6" s="513"/>
      <c r="AD6" s="513"/>
      <c r="AE6" s="513"/>
      <c r="AF6" s="513"/>
      <c r="AG6" s="808"/>
      <c r="AH6" s="808"/>
      <c r="AI6" s="808"/>
      <c r="AJ6" s="808"/>
      <c r="AK6" s="524"/>
    </row>
    <row r="7" spans="1:37" ht="15">
      <c r="A7" s="563"/>
      <c r="B7" s="563"/>
      <c r="C7" s="604" t="s">
        <v>287</v>
      </c>
      <c r="D7" s="605" t="s">
        <v>21</v>
      </c>
      <c r="E7" s="606">
        <v>61281001</v>
      </c>
      <c r="F7" s="810">
        <v>0</v>
      </c>
      <c r="G7" s="810"/>
      <c r="H7" s="607">
        <v>61281001</v>
      </c>
      <c r="I7" s="524"/>
      <c r="J7" s="554" t="s">
        <v>288</v>
      </c>
      <c r="K7" s="555" t="s">
        <v>21</v>
      </c>
      <c r="L7" s="608">
        <v>5873184</v>
      </c>
      <c r="M7" s="556" t="s">
        <v>289</v>
      </c>
      <c r="N7" s="515" t="s">
        <v>290</v>
      </c>
      <c r="O7" s="570" t="s">
        <v>21</v>
      </c>
      <c r="P7" s="513"/>
      <c r="Q7" s="524" t="s">
        <v>291</v>
      </c>
      <c r="R7" s="524"/>
      <c r="S7" s="513"/>
      <c r="T7" s="599">
        <v>8000000</v>
      </c>
      <c r="U7" s="513"/>
      <c r="V7" s="513"/>
      <c r="W7" s="513"/>
      <c r="X7" s="513"/>
      <c r="Y7" s="513"/>
      <c r="Z7" s="513"/>
      <c r="AA7" s="570" t="s">
        <v>21</v>
      </c>
      <c r="AB7" s="513"/>
      <c r="AC7" s="513"/>
      <c r="AD7" s="513"/>
      <c r="AE7" s="513"/>
      <c r="AF7" s="513"/>
      <c r="AG7" s="808"/>
      <c r="AH7" s="808"/>
      <c r="AI7" s="524"/>
      <c r="AJ7" s="524"/>
      <c r="AK7" s="524"/>
    </row>
    <row r="8" spans="1:37" ht="15" customHeight="1">
      <c r="A8" s="563"/>
      <c r="B8" s="563"/>
      <c r="C8" s="592" t="s">
        <v>21</v>
      </c>
      <c r="D8" s="593" t="s">
        <v>21</v>
      </c>
      <c r="E8" s="594" t="s">
        <v>21</v>
      </c>
      <c r="F8" s="524"/>
      <c r="G8" s="524"/>
      <c r="H8" s="524"/>
      <c r="I8" s="592" t="s">
        <v>21</v>
      </c>
      <c r="J8" s="600" t="s">
        <v>21</v>
      </c>
      <c r="K8" s="524" t="s">
        <v>21</v>
      </c>
      <c r="L8" s="555" t="s">
        <v>21</v>
      </c>
      <c r="M8" s="602" t="s">
        <v>21</v>
      </c>
      <c r="N8" s="587"/>
      <c r="O8" s="570" t="s">
        <v>21</v>
      </c>
      <c r="P8" s="524"/>
      <c r="Q8" s="513"/>
      <c r="R8" s="513"/>
      <c r="S8" s="513"/>
      <c r="T8" s="609" t="s">
        <v>21</v>
      </c>
      <c r="U8" s="513"/>
      <c r="V8" s="513"/>
      <c r="W8" s="513"/>
      <c r="X8" s="513"/>
      <c r="Y8" s="513"/>
      <c r="Z8" s="513"/>
      <c r="AA8" s="610" t="s">
        <v>292</v>
      </c>
      <c r="AB8" s="593" t="s">
        <v>21</v>
      </c>
      <c r="AC8" s="611">
        <v>42804</v>
      </c>
      <c r="AD8" s="524"/>
      <c r="AE8" s="524"/>
      <c r="AF8" s="524"/>
      <c r="AG8" s="811"/>
      <c r="AH8" s="811"/>
      <c r="AI8" s="811"/>
      <c r="AJ8" s="811"/>
      <c r="AK8" s="523"/>
    </row>
    <row r="9" spans="1:37" s="3" customFormat="1" ht="15" customHeight="1">
      <c r="A9" s="563"/>
      <c r="B9" s="563"/>
      <c r="C9" s="812" t="s">
        <v>293</v>
      </c>
      <c r="D9" s="813"/>
      <c r="E9" s="513"/>
      <c r="F9" s="513"/>
      <c r="G9" s="513"/>
      <c r="H9" s="513"/>
      <c r="I9" s="524"/>
      <c r="J9" s="597" t="s">
        <v>21</v>
      </c>
      <c r="K9" s="555" t="s">
        <v>21</v>
      </c>
      <c r="L9" s="601" t="s">
        <v>21</v>
      </c>
      <c r="M9" s="602" t="s">
        <v>21</v>
      </c>
      <c r="N9" s="587"/>
      <c r="O9" s="597" t="s">
        <v>294</v>
      </c>
      <c r="P9" s="524"/>
      <c r="Q9" s="524" t="s">
        <v>281</v>
      </c>
      <c r="R9" s="524"/>
      <c r="S9" s="524"/>
      <c r="T9" s="599">
        <v>100000000</v>
      </c>
      <c r="U9" s="524"/>
      <c r="V9" s="524"/>
      <c r="W9" s="524"/>
      <c r="X9" s="524"/>
      <c r="Y9" s="524"/>
      <c r="Z9" s="524"/>
      <c r="AA9" s="612" t="s">
        <v>295</v>
      </c>
      <c r="AB9" s="593" t="s">
        <v>21</v>
      </c>
      <c r="AC9" s="594" t="s">
        <v>21</v>
      </c>
      <c r="AD9" s="524"/>
      <c r="AE9" s="524"/>
      <c r="AF9" s="524"/>
      <c r="AG9" s="808"/>
      <c r="AH9" s="808"/>
      <c r="AI9" s="808"/>
      <c r="AJ9" s="808"/>
      <c r="AK9" s="524"/>
    </row>
    <row r="10" spans="1:37" s="3" customFormat="1" ht="13.5">
      <c r="A10" s="563"/>
      <c r="B10" s="563"/>
      <c r="C10" s="613" t="s">
        <v>296</v>
      </c>
      <c r="D10" s="615">
        <v>11594462</v>
      </c>
      <c r="E10" s="513"/>
      <c r="F10" s="513"/>
      <c r="G10" s="513"/>
      <c r="H10" s="513"/>
      <c r="I10" s="524"/>
      <c r="J10" s="583" t="s">
        <v>297</v>
      </c>
      <c r="K10" s="524" t="s">
        <v>21</v>
      </c>
      <c r="L10" s="543">
        <v>0</v>
      </c>
      <c r="M10" s="598" t="s">
        <v>298</v>
      </c>
      <c r="N10" s="616" t="s">
        <v>299</v>
      </c>
      <c r="O10" s="570" t="s">
        <v>21</v>
      </c>
      <c r="P10" s="524"/>
      <c r="Q10" s="524" t="s">
        <v>284</v>
      </c>
      <c r="R10" s="524"/>
      <c r="S10" s="524"/>
      <c r="T10" s="617">
        <v>0</v>
      </c>
      <c r="U10" s="524"/>
      <c r="V10" s="524"/>
      <c r="W10" s="524"/>
      <c r="X10" s="524"/>
      <c r="Y10" s="524"/>
      <c r="Z10" s="524"/>
      <c r="AA10" s="618" t="s">
        <v>300</v>
      </c>
      <c r="AB10" s="619" t="s">
        <v>21</v>
      </c>
      <c r="AC10" s="620">
        <v>-4108285</v>
      </c>
      <c r="AD10" s="524"/>
      <c r="AE10" s="524"/>
      <c r="AF10" s="524"/>
      <c r="AG10" s="811"/>
      <c r="AH10" s="811"/>
      <c r="AI10" s="811"/>
      <c r="AJ10" s="811"/>
      <c r="AK10" s="523"/>
    </row>
    <row r="11" spans="1:37" s="3" customFormat="1" ht="13.5">
      <c r="A11" s="621"/>
      <c r="B11" s="621"/>
      <c r="C11" s="613" t="s">
        <v>301</v>
      </c>
      <c r="D11" s="615">
        <v>7225506</v>
      </c>
      <c r="E11" s="513"/>
      <c r="F11" s="513"/>
      <c r="G11" s="513"/>
      <c r="H11" s="513"/>
      <c r="I11" s="524"/>
      <c r="J11" s="597" t="s">
        <v>297</v>
      </c>
      <c r="K11" s="524"/>
      <c r="L11" s="585">
        <v>0</v>
      </c>
      <c r="M11" s="598" t="s">
        <v>5</v>
      </c>
      <c r="N11" s="616" t="s">
        <v>299</v>
      </c>
      <c r="O11" s="570" t="s">
        <v>21</v>
      </c>
      <c r="P11" s="524"/>
      <c r="Q11" s="524" t="s">
        <v>291</v>
      </c>
      <c r="R11" s="524"/>
      <c r="S11" s="524"/>
      <c r="T11" s="599">
        <v>100000000</v>
      </c>
      <c r="U11" s="524"/>
      <c r="V11" s="524"/>
      <c r="W11" s="524"/>
      <c r="X11" s="524"/>
      <c r="Y11" s="524"/>
      <c r="Z11" s="524"/>
      <c r="AA11" s="618" t="s">
        <v>302</v>
      </c>
      <c r="AB11" s="619" t="s">
        <v>21</v>
      </c>
      <c r="AC11" s="623">
        <v>5826919</v>
      </c>
      <c r="AD11" s="808"/>
      <c r="AE11" s="808"/>
      <c r="AF11" s="524"/>
      <c r="AG11" s="524"/>
      <c r="AH11" s="524"/>
      <c r="AI11" s="524"/>
      <c r="AJ11" s="524"/>
      <c r="AK11" s="524"/>
    </row>
    <row r="12" spans="1:37" s="3" customFormat="1" ht="13.5">
      <c r="A12" s="621"/>
      <c r="B12" s="621"/>
      <c r="C12" s="613" t="s">
        <v>303</v>
      </c>
      <c r="D12" s="615">
        <v>14192327</v>
      </c>
      <c r="E12" s="513"/>
      <c r="F12" s="513"/>
      <c r="G12" s="513"/>
      <c r="H12" s="513"/>
      <c r="I12" s="524"/>
      <c r="J12" s="597" t="s">
        <v>304</v>
      </c>
      <c r="K12" s="524"/>
      <c r="L12" s="608">
        <v>555477</v>
      </c>
      <c r="M12" s="598" t="s">
        <v>16</v>
      </c>
      <c r="N12" s="616" t="s">
        <v>299</v>
      </c>
      <c r="O12" s="570" t="s">
        <v>21</v>
      </c>
      <c r="P12" s="524"/>
      <c r="Q12" s="513"/>
      <c r="R12" s="513"/>
      <c r="S12" s="513"/>
      <c r="T12" s="609" t="s">
        <v>21</v>
      </c>
      <c r="U12" s="524"/>
      <c r="V12" s="524"/>
      <c r="W12" s="524"/>
      <c r="X12" s="524"/>
      <c r="Y12" s="524"/>
      <c r="Z12" s="524"/>
      <c r="AA12" s="592" t="s">
        <v>305</v>
      </c>
      <c r="AB12" s="524"/>
      <c r="AC12" s="620">
        <v>-1339904</v>
      </c>
      <c r="AD12" s="808"/>
      <c r="AE12" s="808"/>
      <c r="AF12" s="524"/>
      <c r="AG12" s="524"/>
      <c r="AH12" s="524"/>
      <c r="AI12" s="524"/>
      <c r="AJ12" s="524"/>
      <c r="AK12" s="524"/>
    </row>
    <row r="13" spans="1:37" s="3" customFormat="1" ht="13.5">
      <c r="A13" s="621"/>
      <c r="B13" s="621"/>
      <c r="C13" s="613" t="s">
        <v>306</v>
      </c>
      <c r="D13" s="615">
        <v>2899093</v>
      </c>
      <c r="E13" s="513"/>
      <c r="F13" s="513"/>
      <c r="G13" s="513"/>
      <c r="H13" s="513"/>
      <c r="I13" s="524"/>
      <c r="J13" s="597" t="s">
        <v>304</v>
      </c>
      <c r="K13" s="524"/>
      <c r="L13" s="608">
        <v>9125</v>
      </c>
      <c r="M13" s="598" t="s">
        <v>259</v>
      </c>
      <c r="N13" s="616" t="s">
        <v>299</v>
      </c>
      <c r="O13" s="597" t="s">
        <v>307</v>
      </c>
      <c r="P13" s="524"/>
      <c r="Q13" s="524" t="s">
        <v>308</v>
      </c>
      <c r="R13" s="524"/>
      <c r="S13" s="524"/>
      <c r="T13" s="598">
        <v>0</v>
      </c>
      <c r="U13" s="524"/>
      <c r="V13" s="524"/>
      <c r="W13" s="524"/>
      <c r="X13" s="524"/>
      <c r="Y13" s="524"/>
      <c r="Z13" s="524"/>
      <c r="AA13" s="592" t="s">
        <v>309</v>
      </c>
      <c r="AB13" s="524"/>
      <c r="AC13" s="622">
        <v>0</v>
      </c>
      <c r="AD13" s="808"/>
      <c r="AE13" s="808"/>
      <c r="AF13" s="524"/>
      <c r="AG13" s="524"/>
      <c r="AH13" s="524"/>
      <c r="AI13" s="524"/>
      <c r="AJ13" s="524"/>
      <c r="AK13" s="524"/>
    </row>
    <row r="14" spans="1:37" s="3" customFormat="1" ht="13.5">
      <c r="A14" s="621"/>
      <c r="B14" s="621"/>
      <c r="C14" s="613" t="s">
        <v>310</v>
      </c>
      <c r="D14" s="615">
        <v>4425722</v>
      </c>
      <c r="E14" s="513"/>
      <c r="F14" s="513"/>
      <c r="G14" s="513"/>
      <c r="H14" s="513"/>
      <c r="I14" s="524"/>
      <c r="J14" s="600" t="s">
        <v>311</v>
      </c>
      <c r="K14" s="601" t="s">
        <v>21</v>
      </c>
      <c r="L14" s="585">
        <v>910</v>
      </c>
      <c r="M14" s="602" t="s">
        <v>7</v>
      </c>
      <c r="N14" s="616" t="s">
        <v>299</v>
      </c>
      <c r="O14" s="570" t="s">
        <v>21</v>
      </c>
      <c r="P14" s="524"/>
      <c r="Q14" s="524" t="s">
        <v>284</v>
      </c>
      <c r="R14" s="524"/>
      <c r="S14" s="524"/>
      <c r="T14" s="598">
        <v>0</v>
      </c>
      <c r="U14" s="524"/>
      <c r="V14" s="524"/>
      <c r="W14" s="524"/>
      <c r="X14" s="524"/>
      <c r="Y14" s="524"/>
      <c r="Z14" s="524"/>
      <c r="AA14" s="592" t="s">
        <v>294</v>
      </c>
      <c r="AB14" s="524"/>
      <c r="AC14" s="622">
        <v>0</v>
      </c>
      <c r="AD14" s="524"/>
      <c r="AE14" s="524"/>
      <c r="AF14" s="524"/>
      <c r="AG14" s="524"/>
      <c r="AH14" s="524"/>
      <c r="AI14" s="524"/>
      <c r="AJ14" s="524"/>
      <c r="AK14" s="524"/>
    </row>
    <row r="15" spans="1:37" s="3" customFormat="1" ht="13.5">
      <c r="A15" s="621"/>
      <c r="B15" s="621"/>
      <c r="C15" s="624" t="s">
        <v>312</v>
      </c>
      <c r="D15" s="615">
        <v>1172041</v>
      </c>
      <c r="E15" s="513"/>
      <c r="F15" s="513"/>
      <c r="G15" s="513"/>
      <c r="H15" s="513"/>
      <c r="I15" s="524"/>
      <c r="J15" s="597" t="s">
        <v>313</v>
      </c>
      <c r="K15" s="601" t="s">
        <v>21</v>
      </c>
      <c r="L15" s="625" t="s">
        <v>21</v>
      </c>
      <c r="M15" s="598" t="s">
        <v>259</v>
      </c>
      <c r="N15" s="616" t="s">
        <v>314</v>
      </c>
      <c r="O15" s="626" t="s">
        <v>21</v>
      </c>
      <c r="P15" s="601" t="s">
        <v>21</v>
      </c>
      <c r="Q15" s="601" t="s">
        <v>291</v>
      </c>
      <c r="R15" s="601" t="s">
        <v>21</v>
      </c>
      <c r="S15" s="601" t="s">
        <v>21</v>
      </c>
      <c r="T15" s="627">
        <v>0</v>
      </c>
      <c r="U15" s="524"/>
      <c r="V15" s="524"/>
      <c r="W15" s="524"/>
      <c r="X15" s="524"/>
      <c r="Y15" s="524"/>
      <c r="Z15" s="524"/>
      <c r="AA15" s="592" t="s">
        <v>310</v>
      </c>
      <c r="AB15" s="619" t="s">
        <v>21</v>
      </c>
      <c r="AC15" s="623">
        <v>10726219</v>
      </c>
      <c r="AD15" s="523"/>
      <c r="AE15" s="523"/>
      <c r="AF15" s="523"/>
      <c r="AG15" s="524"/>
      <c r="AH15" s="524"/>
      <c r="AI15" s="524"/>
      <c r="AJ15" s="524"/>
      <c r="AK15" s="524"/>
    </row>
    <row r="16" spans="1:37" s="3" customFormat="1" ht="13.5">
      <c r="A16" s="621"/>
      <c r="B16" s="621"/>
      <c r="C16" s="628" t="s">
        <v>315</v>
      </c>
      <c r="D16" s="629" t="s">
        <v>35</v>
      </c>
      <c r="E16" s="513"/>
      <c r="F16" s="513"/>
      <c r="G16" s="513"/>
      <c r="H16" s="513"/>
      <c r="I16" s="524"/>
      <c r="J16" s="554" t="s">
        <v>316</v>
      </c>
      <c r="K16" s="601" t="s">
        <v>102</v>
      </c>
      <c r="L16" s="630">
        <v>24493298</v>
      </c>
      <c r="M16" s="556" t="s">
        <v>19</v>
      </c>
      <c r="N16" s="616" t="s">
        <v>299</v>
      </c>
      <c r="O16" s="513"/>
      <c r="P16" s="524"/>
      <c r="Q16" s="524"/>
      <c r="R16" s="524"/>
      <c r="S16" s="524"/>
      <c r="T16" s="524"/>
      <c r="U16" s="524"/>
      <c r="V16" s="524"/>
      <c r="W16" s="524"/>
      <c r="X16" s="524"/>
      <c r="Y16" s="524"/>
      <c r="Z16" s="524"/>
      <c r="AA16" s="618" t="s">
        <v>317</v>
      </c>
      <c r="AB16" s="619" t="s">
        <v>21</v>
      </c>
      <c r="AC16" s="623">
        <v>2770000</v>
      </c>
      <c r="AD16" s="524"/>
      <c r="AE16" s="524"/>
      <c r="AF16" s="524"/>
      <c r="AG16" s="524"/>
      <c r="AH16" s="524"/>
      <c r="AI16" s="524"/>
      <c r="AJ16" s="524"/>
      <c r="AK16" s="524"/>
    </row>
    <row r="17" spans="1:37" s="3" customFormat="1" ht="13.5">
      <c r="A17" s="621"/>
      <c r="B17" s="621"/>
      <c r="C17" s="631" t="s">
        <v>318</v>
      </c>
      <c r="D17" s="632">
        <v>10849</v>
      </c>
      <c r="E17" s="513"/>
      <c r="F17" s="513"/>
      <c r="G17" s="513"/>
      <c r="H17" s="513"/>
      <c r="I17" s="524"/>
      <c r="J17" s="600" t="s">
        <v>319</v>
      </c>
      <c r="K17" s="601" t="s">
        <v>21</v>
      </c>
      <c r="L17" s="608">
        <v>914806</v>
      </c>
      <c r="M17" s="602" t="s">
        <v>14</v>
      </c>
      <c r="N17" s="616"/>
      <c r="O17" s="513"/>
      <c r="P17" s="524"/>
      <c r="Q17" s="524"/>
      <c r="R17" s="524"/>
      <c r="S17" s="524"/>
      <c r="T17" s="524"/>
      <c r="U17" s="524"/>
      <c r="V17" s="524"/>
      <c r="W17" s="524"/>
      <c r="X17" s="524"/>
      <c r="Y17" s="524"/>
      <c r="Z17" s="524"/>
      <c r="AA17" s="618" t="s">
        <v>21</v>
      </c>
      <c r="AB17" s="619" t="s">
        <v>21</v>
      </c>
      <c r="AC17" s="622" t="s">
        <v>21</v>
      </c>
      <c r="AD17" s="524"/>
      <c r="AE17" s="524"/>
      <c r="AF17" s="524"/>
      <c r="AG17" s="524"/>
      <c r="AH17" s="524"/>
      <c r="AI17" s="524"/>
      <c r="AJ17" s="524"/>
      <c r="AK17" s="524"/>
    </row>
    <row r="18" spans="1:37" s="3" customFormat="1" ht="13.5">
      <c r="A18" s="621"/>
      <c r="B18" s="621"/>
      <c r="C18" s="633" t="s">
        <v>320</v>
      </c>
      <c r="D18" s="634">
        <v>41520001</v>
      </c>
      <c r="E18" s="513"/>
      <c r="F18" s="513"/>
      <c r="G18" s="513"/>
      <c r="H18" s="513"/>
      <c r="I18" s="524"/>
      <c r="J18" s="600" t="s">
        <v>321</v>
      </c>
      <c r="K18" s="601" t="s">
        <v>21</v>
      </c>
      <c r="L18" s="608">
        <v>3955384</v>
      </c>
      <c r="M18" s="602" t="s">
        <v>15</v>
      </c>
      <c r="N18" s="616"/>
      <c r="O18" s="513"/>
      <c r="P18" s="524"/>
      <c r="Q18" s="524"/>
      <c r="R18" s="524"/>
      <c r="S18" s="524"/>
      <c r="T18" s="524"/>
      <c r="U18" s="524"/>
      <c r="V18" s="524"/>
      <c r="W18" s="524"/>
      <c r="X18" s="524"/>
      <c r="Y18" s="524"/>
      <c r="Z18" s="524"/>
      <c r="AA18" s="618" t="s">
        <v>21</v>
      </c>
      <c r="AB18" s="619" t="s">
        <v>21</v>
      </c>
      <c r="AC18" s="622" t="s">
        <v>21</v>
      </c>
      <c r="AD18" s="524"/>
      <c r="AE18" s="524"/>
      <c r="AF18" s="524"/>
      <c r="AG18" s="524"/>
      <c r="AH18" s="524"/>
      <c r="AI18" s="524"/>
      <c r="AJ18" s="524"/>
      <c r="AK18" s="524"/>
    </row>
    <row r="19" spans="1:37" s="3" customFormat="1" ht="13.5">
      <c r="A19" s="621"/>
      <c r="B19" s="621"/>
      <c r="C19" s="613" t="s">
        <v>322</v>
      </c>
      <c r="D19" s="615">
        <v>41505759</v>
      </c>
      <c r="E19" s="513"/>
      <c r="F19" s="513"/>
      <c r="G19" s="513"/>
      <c r="H19" s="513"/>
      <c r="I19" s="524"/>
      <c r="J19" s="600" t="s">
        <v>21</v>
      </c>
      <c r="K19" s="601" t="s">
        <v>21</v>
      </c>
      <c r="L19" s="585" t="s">
        <v>21</v>
      </c>
      <c r="M19" s="602" t="s">
        <v>21</v>
      </c>
      <c r="N19" s="616"/>
      <c r="O19" s="513"/>
      <c r="P19" s="524"/>
      <c r="Q19" s="524"/>
      <c r="R19" s="524"/>
      <c r="S19" s="524"/>
      <c r="T19" s="524"/>
      <c r="U19" s="524"/>
      <c r="V19" s="524"/>
      <c r="W19" s="524"/>
      <c r="X19" s="524"/>
      <c r="Y19" s="524"/>
      <c r="Z19" s="524"/>
      <c r="AA19" s="618" t="s">
        <v>21</v>
      </c>
      <c r="AB19" s="619" t="s">
        <v>21</v>
      </c>
      <c r="AC19" s="622" t="s">
        <v>21</v>
      </c>
      <c r="AD19" s="524"/>
      <c r="AE19" s="524"/>
      <c r="AF19" s="524"/>
      <c r="AG19" s="524"/>
      <c r="AH19" s="524"/>
      <c r="AI19" s="524"/>
      <c r="AJ19" s="524"/>
      <c r="AK19" s="524"/>
    </row>
    <row r="20" spans="1:37" s="3" customFormat="1" ht="13.5">
      <c r="A20" s="621"/>
      <c r="B20" s="621"/>
      <c r="C20" s="613" t="s">
        <v>323</v>
      </c>
      <c r="D20" s="614">
        <v>337</v>
      </c>
      <c r="E20" s="513"/>
      <c r="F20" s="513"/>
      <c r="G20" s="513"/>
      <c r="H20" s="513"/>
      <c r="I20" s="524"/>
      <c r="J20" s="600" t="s">
        <v>21</v>
      </c>
      <c r="K20" s="601" t="s">
        <v>21</v>
      </c>
      <c r="L20" s="585" t="s">
        <v>21</v>
      </c>
      <c r="M20" s="602" t="s">
        <v>21</v>
      </c>
      <c r="N20" s="616"/>
      <c r="O20" s="513"/>
      <c r="P20" s="524"/>
      <c r="Q20" s="524"/>
      <c r="R20" s="524"/>
      <c r="S20" s="524"/>
      <c r="T20" s="524"/>
      <c r="U20" s="524"/>
      <c r="V20" s="524"/>
      <c r="W20" s="524"/>
      <c r="X20" s="524"/>
      <c r="Y20" s="524"/>
      <c r="Z20" s="524"/>
      <c r="AA20" s="618" t="s">
        <v>21</v>
      </c>
      <c r="AB20" s="619" t="s">
        <v>21</v>
      </c>
      <c r="AC20" s="622" t="s">
        <v>21</v>
      </c>
      <c r="AD20" s="524"/>
      <c r="AE20" s="524"/>
      <c r="AF20" s="524"/>
      <c r="AG20" s="524"/>
      <c r="AH20" s="524"/>
      <c r="AI20" s="524"/>
      <c r="AJ20" s="524"/>
      <c r="AK20" s="524"/>
    </row>
    <row r="21" spans="1:37" s="3" customFormat="1" ht="13.5">
      <c r="A21" s="621"/>
      <c r="B21" s="621"/>
      <c r="C21" s="613" t="s">
        <v>324</v>
      </c>
      <c r="D21" s="615">
        <v>13906</v>
      </c>
      <c r="E21" s="513"/>
      <c r="F21" s="513"/>
      <c r="G21" s="513"/>
      <c r="H21" s="513"/>
      <c r="I21" s="524"/>
      <c r="J21" s="600" t="s">
        <v>21</v>
      </c>
      <c r="K21" s="601" t="s">
        <v>21</v>
      </c>
      <c r="L21" s="585" t="s">
        <v>21</v>
      </c>
      <c r="M21" s="602" t="s">
        <v>21</v>
      </c>
      <c r="N21" s="616"/>
      <c r="O21" s="513"/>
      <c r="P21" s="524"/>
      <c r="Q21" s="524"/>
      <c r="R21" s="524"/>
      <c r="S21" s="524"/>
      <c r="T21" s="524"/>
      <c r="U21" s="524"/>
      <c r="V21" s="524"/>
      <c r="W21" s="524"/>
      <c r="X21" s="524"/>
      <c r="Y21" s="524"/>
      <c r="Z21" s="524"/>
      <c r="AA21" s="618" t="s">
        <v>21</v>
      </c>
      <c r="AB21" s="619" t="s">
        <v>21</v>
      </c>
      <c r="AC21" s="622" t="s">
        <v>21</v>
      </c>
      <c r="AD21" s="524"/>
      <c r="AE21" s="524"/>
      <c r="AF21" s="524"/>
      <c r="AG21" s="524"/>
      <c r="AH21" s="524"/>
      <c r="AI21" s="524"/>
      <c r="AJ21" s="524"/>
      <c r="AK21" s="524"/>
    </row>
    <row r="22" spans="1:37" s="3" customFormat="1" ht="13.5">
      <c r="A22" s="621"/>
      <c r="B22" s="621"/>
      <c r="C22" s="635" t="s">
        <v>325</v>
      </c>
      <c r="D22" s="636">
        <v>0</v>
      </c>
      <c r="E22" s="513"/>
      <c r="F22" s="513"/>
      <c r="G22" s="513"/>
      <c r="H22" s="513"/>
      <c r="I22" s="524"/>
      <c r="J22" s="600" t="s">
        <v>21</v>
      </c>
      <c r="K22" s="601" t="s">
        <v>21</v>
      </c>
      <c r="L22" s="555" t="s">
        <v>21</v>
      </c>
      <c r="M22" s="602" t="s">
        <v>21</v>
      </c>
      <c r="N22" s="616"/>
      <c r="O22" s="524"/>
      <c r="P22" s="524"/>
      <c r="Q22" s="524"/>
      <c r="R22" s="524"/>
      <c r="S22" s="524"/>
      <c r="T22" s="524"/>
      <c r="U22" s="524"/>
      <c r="V22" s="524"/>
      <c r="W22" s="524"/>
      <c r="X22" s="524"/>
      <c r="Y22" s="524"/>
      <c r="Z22" s="524"/>
      <c r="AA22" s="637" t="s">
        <v>326</v>
      </c>
      <c r="AB22" s="638" t="s">
        <v>21</v>
      </c>
      <c r="AC22" s="639">
        <v>13874948</v>
      </c>
      <c r="AD22" s="523"/>
      <c r="AE22" s="523"/>
      <c r="AF22" s="523"/>
      <c r="AG22" s="524"/>
      <c r="AH22" s="524"/>
      <c r="AI22" s="524"/>
      <c r="AJ22" s="524"/>
      <c r="AK22" s="524"/>
    </row>
    <row r="23" spans="1:37" s="3" customFormat="1" ht="13.5">
      <c r="A23" s="621"/>
      <c r="B23" s="621"/>
      <c r="C23" s="524"/>
      <c r="D23" s="524"/>
      <c r="E23" s="513"/>
      <c r="F23" s="513"/>
      <c r="G23" s="513"/>
      <c r="H23" s="513"/>
      <c r="I23" s="524"/>
      <c r="J23" s="600" t="s">
        <v>21</v>
      </c>
      <c r="K23" s="601" t="s">
        <v>21</v>
      </c>
      <c r="L23" s="601" t="s">
        <v>21</v>
      </c>
      <c r="M23" s="602" t="s">
        <v>21</v>
      </c>
      <c r="N23" s="616"/>
      <c r="O23" s="524"/>
      <c r="P23" s="524"/>
      <c r="Q23" s="524"/>
      <c r="R23" s="524"/>
      <c r="S23" s="524"/>
      <c r="T23" s="524"/>
      <c r="U23" s="524"/>
      <c r="V23" s="524"/>
      <c r="W23" s="524"/>
      <c r="X23" s="524"/>
      <c r="Y23" s="524"/>
      <c r="Z23" s="524"/>
      <c r="AA23" s="640" t="s">
        <v>21</v>
      </c>
      <c r="AB23" s="641" t="s">
        <v>21</v>
      </c>
      <c r="AC23" s="642" t="s">
        <v>21</v>
      </c>
      <c r="AD23" s="523"/>
      <c r="AE23" s="523"/>
      <c r="AF23" s="523"/>
      <c r="AG23" s="524"/>
      <c r="AH23" s="524"/>
      <c r="AI23" s="524"/>
      <c r="AJ23" s="524"/>
      <c r="AK23" s="524"/>
    </row>
    <row r="24" spans="1:37">
      <c r="A24" s="563"/>
      <c r="B24" s="563"/>
      <c r="C24" s="523"/>
      <c r="D24" s="523"/>
      <c r="E24" s="513"/>
      <c r="F24" s="513"/>
      <c r="G24" s="513"/>
      <c r="H24" s="513"/>
      <c r="I24" s="523"/>
      <c r="J24" s="600" t="s">
        <v>21</v>
      </c>
      <c r="K24" s="601" t="s">
        <v>21</v>
      </c>
      <c r="L24" s="601" t="s">
        <v>21</v>
      </c>
      <c r="M24" s="602" t="s">
        <v>21</v>
      </c>
      <c r="N24" s="587"/>
      <c r="O24" s="524"/>
      <c r="P24" s="524"/>
      <c r="Q24" s="524"/>
      <c r="R24" s="524"/>
      <c r="S24" s="524"/>
      <c r="T24" s="524"/>
      <c r="U24" s="524"/>
      <c r="V24" s="524"/>
      <c r="W24" s="524"/>
      <c r="X24" s="524"/>
      <c r="Y24" s="524"/>
      <c r="Z24" s="524"/>
      <c r="AA24" s="618" t="s">
        <v>327</v>
      </c>
      <c r="AB24" s="643" t="s">
        <v>21</v>
      </c>
      <c r="AC24" s="645">
        <v>64051810</v>
      </c>
      <c r="AD24" s="523"/>
      <c r="AE24" s="523"/>
      <c r="AF24" s="523"/>
      <c r="AG24" s="513"/>
      <c r="AH24" s="513"/>
      <c r="AI24" s="513"/>
      <c r="AJ24" s="513"/>
      <c r="AK24" s="513"/>
    </row>
    <row r="25" spans="1:37">
      <c r="A25" s="563"/>
      <c r="B25" s="563"/>
      <c r="C25" s="646" t="s">
        <v>328</v>
      </c>
      <c r="D25" s="647" t="s">
        <v>21</v>
      </c>
      <c r="E25" s="523"/>
      <c r="F25" s="513"/>
      <c r="G25" s="523"/>
      <c r="H25" s="523"/>
      <c r="I25" s="523"/>
      <c r="J25" s="600" t="s">
        <v>21</v>
      </c>
      <c r="K25" s="601" t="s">
        <v>21</v>
      </c>
      <c r="L25" s="601" t="s">
        <v>21</v>
      </c>
      <c r="M25" s="602" t="s">
        <v>21</v>
      </c>
      <c r="N25" s="587"/>
      <c r="O25" s="524"/>
      <c r="P25" s="524"/>
      <c r="Q25" s="524"/>
      <c r="R25" s="524"/>
      <c r="S25" s="524"/>
      <c r="T25" s="524"/>
      <c r="U25" s="524"/>
      <c r="V25" s="524"/>
      <c r="W25" s="524"/>
      <c r="X25" s="524"/>
      <c r="Y25" s="524"/>
      <c r="Z25" s="524"/>
      <c r="AA25" s="618" t="s">
        <v>21</v>
      </c>
      <c r="AB25" s="643" t="s">
        <v>21</v>
      </c>
      <c r="AC25" s="622" t="s">
        <v>21</v>
      </c>
      <c r="AD25" s="523"/>
      <c r="AE25" s="523"/>
      <c r="AF25" s="523"/>
      <c r="AG25" s="513"/>
      <c r="AH25" s="513"/>
      <c r="AI25" s="513"/>
      <c r="AJ25" s="513"/>
      <c r="AK25" s="513"/>
    </row>
    <row r="26" spans="1:37">
      <c r="A26" s="563"/>
      <c r="B26" s="563"/>
      <c r="C26" s="648" t="s">
        <v>21</v>
      </c>
      <c r="D26" s="649" t="s">
        <v>21</v>
      </c>
      <c r="E26" s="523"/>
      <c r="F26" s="513"/>
      <c r="G26" s="523"/>
      <c r="H26" s="523"/>
      <c r="I26" s="523"/>
      <c r="J26" s="600" t="s">
        <v>21</v>
      </c>
      <c r="K26" s="601" t="s">
        <v>21</v>
      </c>
      <c r="L26" s="601" t="s">
        <v>21</v>
      </c>
      <c r="M26" s="602" t="s">
        <v>21</v>
      </c>
      <c r="N26" s="587"/>
      <c r="O26" s="524"/>
      <c r="P26" s="524"/>
      <c r="Q26" s="524"/>
      <c r="R26" s="524"/>
      <c r="S26" s="524"/>
      <c r="T26" s="524"/>
      <c r="U26" s="524"/>
      <c r="V26" s="524"/>
      <c r="W26" s="524"/>
      <c r="X26" s="524"/>
      <c r="Y26" s="524"/>
      <c r="Z26" s="524"/>
      <c r="AA26" s="618" t="s">
        <v>21</v>
      </c>
      <c r="AB26" s="643" t="s">
        <v>21</v>
      </c>
      <c r="AC26" s="622" t="s">
        <v>21</v>
      </c>
      <c r="AD26" s="523"/>
      <c r="AE26" s="523"/>
      <c r="AF26" s="523"/>
      <c r="AG26" s="513"/>
      <c r="AH26" s="513"/>
      <c r="AI26" s="513"/>
      <c r="AJ26" s="513"/>
      <c r="AK26" s="513"/>
    </row>
    <row r="27" spans="1:37">
      <c r="A27" s="563"/>
      <c r="B27" s="563"/>
      <c r="C27" s="650" t="s">
        <v>326</v>
      </c>
      <c r="D27" s="651">
        <v>41520001</v>
      </c>
      <c r="E27" s="523"/>
      <c r="F27" s="513"/>
      <c r="G27" s="523"/>
      <c r="H27" s="523"/>
      <c r="I27" s="523"/>
      <c r="J27" s="600" t="s">
        <v>21</v>
      </c>
      <c r="K27" s="601" t="s">
        <v>21</v>
      </c>
      <c r="L27" s="601" t="s">
        <v>21</v>
      </c>
      <c r="M27" s="602" t="s">
        <v>21</v>
      </c>
      <c r="N27" s="587"/>
      <c r="O27" s="524"/>
      <c r="P27" s="524"/>
      <c r="Q27" s="524"/>
      <c r="R27" s="524"/>
      <c r="S27" s="524"/>
      <c r="T27" s="524"/>
      <c r="U27" s="524"/>
      <c r="V27" s="524"/>
      <c r="W27" s="524"/>
      <c r="X27" s="524"/>
      <c r="Y27" s="524"/>
      <c r="Z27" s="524"/>
      <c r="AA27" s="618" t="s">
        <v>21</v>
      </c>
      <c r="AB27" s="643" t="s">
        <v>21</v>
      </c>
      <c r="AC27" s="622" t="s">
        <v>21</v>
      </c>
      <c r="AD27" s="523"/>
      <c r="AE27" s="523"/>
      <c r="AF27" s="523"/>
      <c r="AG27" s="513"/>
      <c r="AH27" s="513"/>
      <c r="AI27" s="513"/>
      <c r="AJ27" s="513"/>
      <c r="AK27" s="513"/>
    </row>
    <row r="28" spans="1:37">
      <c r="A28" s="563"/>
      <c r="B28" s="563"/>
      <c r="C28" s="513"/>
      <c r="D28" s="513"/>
      <c r="E28" s="524"/>
      <c r="F28" s="513"/>
      <c r="G28" s="524"/>
      <c r="H28" s="524"/>
      <c r="I28" s="523"/>
      <c r="J28" s="513"/>
      <c r="K28" s="601" t="s">
        <v>21</v>
      </c>
      <c r="L28" s="601" t="s">
        <v>21</v>
      </c>
      <c r="M28" s="602" t="s">
        <v>21</v>
      </c>
      <c r="N28" s="587"/>
      <c r="O28" s="524"/>
      <c r="P28" s="524"/>
      <c r="Q28" s="524"/>
      <c r="R28" s="524"/>
      <c r="S28" s="524"/>
      <c r="T28" s="524"/>
      <c r="U28" s="524"/>
      <c r="V28" s="524"/>
      <c r="W28" s="524"/>
      <c r="X28" s="524"/>
      <c r="Y28" s="524"/>
      <c r="Z28" s="524"/>
      <c r="AA28" s="618" t="s">
        <v>21</v>
      </c>
      <c r="AB28" s="643" t="s">
        <v>21</v>
      </c>
      <c r="AC28" s="622" t="s">
        <v>21</v>
      </c>
      <c r="AD28" s="523"/>
      <c r="AE28" s="523"/>
      <c r="AF28" s="523"/>
      <c r="AG28" s="513"/>
      <c r="AH28" s="513"/>
      <c r="AI28" s="513"/>
      <c r="AJ28" s="513"/>
      <c r="AK28" s="513"/>
    </row>
    <row r="29" spans="1:37" s="4" customFormat="1" ht="15">
      <c r="A29" s="652"/>
      <c r="B29" s="652"/>
      <c r="C29" s="653" t="s">
        <v>329</v>
      </c>
      <c r="D29" s="654">
        <v>100000000</v>
      </c>
      <c r="E29" s="523"/>
      <c r="F29" s="655"/>
      <c r="G29" s="523"/>
      <c r="H29" s="655"/>
      <c r="I29" s="523"/>
      <c r="J29" s="554" t="s">
        <v>21</v>
      </c>
      <c r="K29" s="601" t="s">
        <v>21</v>
      </c>
      <c r="L29" s="601" t="s">
        <v>21</v>
      </c>
      <c r="M29" s="602" t="s">
        <v>21</v>
      </c>
      <c r="N29" s="587"/>
      <c r="O29" s="524"/>
      <c r="P29" s="524"/>
      <c r="Q29" s="524"/>
      <c r="R29" s="524"/>
      <c r="S29" s="524"/>
      <c r="T29" s="524"/>
      <c r="U29" s="513"/>
      <c r="V29" s="513"/>
      <c r="W29" s="513"/>
      <c r="X29" s="513"/>
      <c r="Y29" s="513"/>
      <c r="Z29" s="513"/>
      <c r="AA29" s="656" t="s">
        <v>330</v>
      </c>
      <c r="AB29" s="657" t="s">
        <v>21</v>
      </c>
      <c r="AC29" s="658">
        <v>94479895</v>
      </c>
      <c r="AD29" s="513"/>
      <c r="AE29" s="513"/>
      <c r="AF29" s="513"/>
      <c r="AG29" s="655"/>
      <c r="AH29" s="655"/>
      <c r="AI29" s="655"/>
      <c r="AJ29" s="655"/>
      <c r="AK29" s="655"/>
    </row>
    <row r="30" spans="1:37" s="4" customFormat="1" ht="40.9" customHeight="1">
      <c r="A30" s="652"/>
      <c r="B30" s="652"/>
      <c r="C30" s="624" t="s">
        <v>331</v>
      </c>
      <c r="D30" s="615">
        <v>8000000</v>
      </c>
      <c r="E30" s="655"/>
      <c r="F30" s="655"/>
      <c r="G30" s="655"/>
      <c r="H30" s="655"/>
      <c r="I30" s="523"/>
      <c r="J30" s="600" t="s">
        <v>21</v>
      </c>
      <c r="K30" s="601" t="s">
        <v>21</v>
      </c>
      <c r="L30" s="601" t="s">
        <v>21</v>
      </c>
      <c r="M30" s="602" t="s">
        <v>21</v>
      </c>
      <c r="N30" s="587"/>
      <c r="O30" s="524"/>
      <c r="P30" s="524"/>
      <c r="Q30" s="524"/>
      <c r="R30" s="524"/>
      <c r="S30" s="524"/>
      <c r="T30" s="524"/>
      <c r="U30" s="513"/>
      <c r="V30" s="513"/>
      <c r="W30" s="513"/>
      <c r="X30" s="513"/>
      <c r="Y30" s="513"/>
      <c r="Z30" s="513"/>
      <c r="AA30" s="523"/>
      <c r="AB30" s="523"/>
      <c r="AC30" s="659" t="s">
        <v>21</v>
      </c>
      <c r="AD30" s="513"/>
      <c r="AE30" s="513"/>
      <c r="AF30" s="513"/>
      <c r="AG30" s="655"/>
      <c r="AH30" s="655"/>
      <c r="AI30" s="655"/>
      <c r="AJ30" s="655"/>
      <c r="AK30" s="655"/>
    </row>
    <row r="31" spans="1:37" s="4" customFormat="1" ht="15">
      <c r="A31" s="652"/>
      <c r="B31" s="652"/>
      <c r="C31" s="660" t="s">
        <v>327</v>
      </c>
      <c r="D31" s="661">
        <v>108000000</v>
      </c>
      <c r="E31" s="655"/>
      <c r="F31" s="655"/>
      <c r="G31" s="655"/>
      <c r="H31" s="655"/>
      <c r="I31" s="523"/>
      <c r="J31" s="600" t="s">
        <v>332</v>
      </c>
      <c r="K31" s="601" t="s">
        <v>21</v>
      </c>
      <c r="L31" s="662">
        <v>109617</v>
      </c>
      <c r="M31" s="602" t="s">
        <v>9</v>
      </c>
      <c r="N31" s="616" t="s">
        <v>299</v>
      </c>
      <c r="O31" s="524"/>
      <c r="P31" s="524"/>
      <c r="Q31" s="524"/>
      <c r="R31" s="524"/>
      <c r="S31" s="524"/>
      <c r="T31" s="524"/>
      <c r="U31" s="513"/>
      <c r="V31" s="513"/>
      <c r="W31" s="513"/>
      <c r="X31" s="513"/>
      <c r="Y31" s="513"/>
      <c r="Z31" s="513"/>
      <c r="AA31" s="523"/>
      <c r="AB31" s="523"/>
      <c r="AC31" s="659" t="s">
        <v>21</v>
      </c>
      <c r="AD31" s="513"/>
      <c r="AE31" s="513"/>
      <c r="AF31" s="513"/>
      <c r="AG31" s="655"/>
      <c r="AH31" s="655"/>
      <c r="AI31" s="655"/>
      <c r="AJ31" s="655"/>
      <c r="AK31" s="655"/>
    </row>
    <row r="32" spans="1:37" ht="14.25" customHeight="1">
      <c r="A32" s="563"/>
      <c r="B32" s="563"/>
      <c r="C32" s="663" t="s">
        <v>21</v>
      </c>
      <c r="D32" s="663" t="s">
        <v>21</v>
      </c>
      <c r="E32" s="513"/>
      <c r="F32" s="513"/>
      <c r="G32" s="513"/>
      <c r="H32" s="513"/>
      <c r="I32" s="513"/>
      <c r="J32" s="519"/>
      <c r="K32" s="513"/>
      <c r="L32" s="524"/>
      <c r="M32" s="524"/>
      <c r="N32" s="616"/>
      <c r="O32" s="524"/>
      <c r="P32" s="524"/>
      <c r="Q32" s="524"/>
      <c r="R32" s="524"/>
      <c r="S32" s="524"/>
      <c r="T32" s="524"/>
      <c r="U32" s="655"/>
      <c r="V32" s="655"/>
      <c r="W32" s="655"/>
      <c r="X32" s="655"/>
      <c r="Y32" s="655"/>
      <c r="Z32" s="655"/>
      <c r="AA32" s="570" t="s">
        <v>21</v>
      </c>
      <c r="AB32" s="513"/>
      <c r="AC32" s="513"/>
      <c r="AD32" s="655"/>
      <c r="AE32" s="655"/>
      <c r="AF32" s="655"/>
      <c r="AG32" s="513"/>
      <c r="AH32" s="513"/>
      <c r="AI32" s="513"/>
      <c r="AJ32" s="513"/>
      <c r="AK32" s="513"/>
    </row>
    <row r="33" spans="1:37" ht="14.25" customHeight="1">
      <c r="A33" s="563"/>
      <c r="B33" s="563"/>
      <c r="C33" s="390" t="s">
        <v>333</v>
      </c>
      <c r="D33" s="664">
        <v>149505759</v>
      </c>
      <c r="E33" s="513"/>
      <c r="F33" s="513"/>
      <c r="G33" s="513"/>
      <c r="H33" s="513"/>
      <c r="I33" s="513"/>
      <c r="J33" s="519"/>
      <c r="K33" s="513"/>
      <c r="L33" s="524"/>
      <c r="M33" s="524"/>
      <c r="N33" s="524"/>
      <c r="O33" s="524"/>
      <c r="P33" s="524"/>
      <c r="Q33" s="524"/>
      <c r="R33" s="524"/>
      <c r="S33" s="524"/>
      <c r="T33" s="524"/>
      <c r="U33" s="655"/>
      <c r="V33" s="655"/>
      <c r="W33" s="655"/>
      <c r="X33" s="655"/>
      <c r="Y33" s="655"/>
      <c r="Z33" s="655"/>
      <c r="AA33" s="570" t="s">
        <v>21</v>
      </c>
      <c r="AB33" s="513"/>
      <c r="AC33" s="513"/>
      <c r="AD33" s="655"/>
      <c r="AE33" s="655"/>
      <c r="AF33" s="655"/>
      <c r="AG33" s="513"/>
      <c r="AH33" s="513"/>
      <c r="AI33" s="513"/>
      <c r="AJ33" s="513"/>
      <c r="AK33" s="513"/>
    </row>
    <row r="34" spans="1:37" ht="14.25" customHeight="1">
      <c r="A34" s="621" t="s">
        <v>32</v>
      </c>
      <c r="B34" s="621"/>
      <c r="C34" s="655"/>
      <c r="D34" s="655"/>
      <c r="E34" s="513"/>
      <c r="F34" s="513"/>
      <c r="G34" s="513"/>
      <c r="H34" s="513"/>
      <c r="I34" s="513"/>
      <c r="J34" s="519"/>
      <c r="K34" s="513"/>
      <c r="L34" s="524"/>
      <c r="M34" s="524"/>
      <c r="N34" s="524"/>
      <c r="O34" s="524"/>
      <c r="P34" s="524"/>
      <c r="Q34" s="524"/>
      <c r="R34" s="513"/>
      <c r="S34" s="513"/>
      <c r="T34" s="513"/>
      <c r="U34" s="513"/>
      <c r="V34" s="513"/>
      <c r="W34" s="513"/>
      <c r="X34" s="513"/>
      <c r="Y34" s="524"/>
      <c r="Z34" s="513"/>
      <c r="AA34" s="665" t="s">
        <v>21</v>
      </c>
      <c r="AB34" s="655"/>
      <c r="AC34" s="655"/>
      <c r="AD34" s="513"/>
      <c r="AE34" s="513"/>
      <c r="AF34" s="513"/>
      <c r="AG34" s="513"/>
      <c r="AH34" s="513"/>
      <c r="AI34" s="513"/>
      <c r="AJ34" s="513"/>
      <c r="AK34" s="513"/>
    </row>
    <row r="35" spans="1:37" ht="14.25" customHeight="1">
      <c r="A35" s="621" t="s">
        <v>334</v>
      </c>
      <c r="B35" s="621"/>
      <c r="C35" s="513"/>
      <c r="D35" s="513"/>
      <c r="E35" s="513"/>
      <c r="F35" s="513"/>
      <c r="G35" s="513"/>
      <c r="H35" s="513"/>
      <c r="I35" s="513"/>
      <c r="J35" s="519"/>
      <c r="K35" s="513"/>
      <c r="L35" s="524"/>
      <c r="M35" s="524"/>
      <c r="N35" s="524"/>
      <c r="O35" s="524"/>
      <c r="P35" s="524"/>
      <c r="Q35" s="524"/>
      <c r="R35" s="513"/>
      <c r="S35" s="513"/>
      <c r="T35" s="513"/>
      <c r="U35" s="513"/>
      <c r="V35" s="513"/>
      <c r="W35" s="513"/>
      <c r="X35" s="513"/>
      <c r="Y35" s="513"/>
      <c r="Z35" s="513"/>
      <c r="AA35" s="610" t="s">
        <v>335</v>
      </c>
      <c r="AB35" s="593" t="s">
        <v>21</v>
      </c>
      <c r="AC35" s="611">
        <v>42794</v>
      </c>
      <c r="AD35" s="513"/>
      <c r="AE35" s="513"/>
      <c r="AF35" s="513"/>
      <c r="AG35" s="513"/>
      <c r="AH35" s="513"/>
      <c r="AI35" s="513"/>
      <c r="AJ35" s="513"/>
      <c r="AK35" s="513"/>
    </row>
    <row r="36" spans="1:37" ht="14.25" customHeight="1">
      <c r="A36" s="621" t="s">
        <v>65</v>
      </c>
      <c r="B36" s="621"/>
      <c r="C36" s="513"/>
      <c r="D36" s="513"/>
      <c r="E36" s="513"/>
      <c r="F36" s="513"/>
      <c r="G36" s="513"/>
      <c r="H36" s="513"/>
      <c r="I36" s="513"/>
      <c r="J36" s="519"/>
      <c r="K36" s="513"/>
      <c r="L36" s="524"/>
      <c r="M36" s="524"/>
      <c r="N36" s="524"/>
      <c r="O36" s="524"/>
      <c r="P36" s="524"/>
      <c r="Q36" s="524"/>
      <c r="R36" s="513"/>
      <c r="S36" s="513"/>
      <c r="T36" s="513"/>
      <c r="U36" s="513"/>
      <c r="V36" s="513"/>
      <c r="W36" s="513"/>
      <c r="X36" s="513"/>
      <c r="Y36" s="513"/>
      <c r="Z36" s="513"/>
      <c r="AA36" s="638" t="s">
        <v>326</v>
      </c>
      <c r="AB36" s="666" t="s">
        <v>21</v>
      </c>
      <c r="AC36" s="639">
        <v>8248972</v>
      </c>
      <c r="AD36" s="513"/>
      <c r="AE36" s="513"/>
      <c r="AF36" s="513"/>
      <c r="AG36" s="513"/>
      <c r="AH36" s="513"/>
      <c r="AI36" s="513"/>
      <c r="AJ36" s="513"/>
      <c r="AK36" s="513"/>
    </row>
    <row r="37" spans="1:37" ht="14.25" customHeight="1">
      <c r="A37" s="621" t="s">
        <v>97</v>
      </c>
      <c r="B37" s="621"/>
      <c r="C37" s="667" t="s">
        <v>21</v>
      </c>
      <c r="D37" s="668" t="s">
        <v>336</v>
      </c>
      <c r="E37" s="668" t="s">
        <v>337</v>
      </c>
      <c r="F37" s="668" t="s">
        <v>338</v>
      </c>
      <c r="G37" s="668" t="s">
        <v>338</v>
      </c>
      <c r="H37" s="669" t="s">
        <v>21</v>
      </c>
      <c r="I37" s="669" t="s">
        <v>21</v>
      </c>
      <c r="J37" s="667" t="s">
        <v>21</v>
      </c>
      <c r="K37" s="669" t="s">
        <v>21</v>
      </c>
      <c r="L37" s="670" t="s">
        <v>339</v>
      </c>
      <c r="M37" s="524"/>
      <c r="N37" s="524"/>
      <c r="O37" s="524"/>
      <c r="P37" s="524"/>
      <c r="Q37" s="524"/>
      <c r="R37" s="671"/>
      <c r="S37" s="513"/>
      <c r="T37" s="513"/>
      <c r="U37" s="513"/>
      <c r="V37" s="513"/>
      <c r="W37" s="513"/>
      <c r="X37" s="513"/>
      <c r="Y37" s="513"/>
      <c r="Z37" s="513"/>
      <c r="AA37" s="672" t="s">
        <v>327</v>
      </c>
      <c r="AB37" s="619" t="s">
        <v>21</v>
      </c>
      <c r="AC37" s="644" t="s">
        <v>21</v>
      </c>
      <c r="AD37" s="513"/>
      <c r="AE37" s="513"/>
      <c r="AF37" s="513"/>
      <c r="AG37" s="513"/>
      <c r="AH37" s="513"/>
      <c r="AI37" s="513"/>
      <c r="AJ37" s="513"/>
      <c r="AK37" s="513"/>
    </row>
    <row r="38" spans="1:37" ht="14.25" customHeight="1">
      <c r="A38" s="621"/>
      <c r="B38" s="621"/>
      <c r="C38" s="673" t="s">
        <v>340</v>
      </c>
      <c r="D38" s="674" t="s">
        <v>341</v>
      </c>
      <c r="E38" s="674" t="s">
        <v>342</v>
      </c>
      <c r="F38" s="674" t="s">
        <v>341</v>
      </c>
      <c r="G38" s="674" t="s">
        <v>343</v>
      </c>
      <c r="H38" s="675" t="s">
        <v>344</v>
      </c>
      <c r="I38" s="676" t="s">
        <v>345</v>
      </c>
      <c r="J38" s="677" t="s">
        <v>346</v>
      </c>
      <c r="K38" s="678" t="s">
        <v>347</v>
      </c>
      <c r="L38" s="677" t="s">
        <v>348</v>
      </c>
      <c r="M38" s="679" t="s">
        <v>349</v>
      </c>
      <c r="N38" s="680" t="s">
        <v>21</v>
      </c>
      <c r="O38" s="681" t="s">
        <v>350</v>
      </c>
      <c r="P38" s="556" t="s">
        <v>351</v>
      </c>
      <c r="Q38" s="524"/>
      <c r="R38" s="682"/>
      <c r="S38" s="524"/>
      <c r="T38" s="523" t="s">
        <v>257</v>
      </c>
      <c r="U38" s="523" t="s">
        <v>258</v>
      </c>
      <c r="V38" s="523" t="s">
        <v>352</v>
      </c>
      <c r="W38" s="523" t="s">
        <v>353</v>
      </c>
      <c r="X38" s="523" t="s">
        <v>354</v>
      </c>
      <c r="Y38" s="513"/>
      <c r="Z38" s="513"/>
      <c r="AA38" s="683" t="s">
        <v>330</v>
      </c>
      <c r="AB38" s="684" t="s">
        <v>21</v>
      </c>
      <c r="AC38" s="685" t="s">
        <v>21</v>
      </c>
      <c r="AD38" s="513"/>
      <c r="AE38" s="513"/>
      <c r="AF38" s="513"/>
      <c r="AG38" s="513"/>
      <c r="AH38" s="513"/>
      <c r="AI38" s="513"/>
      <c r="AJ38" s="513"/>
      <c r="AK38" s="513"/>
    </row>
    <row r="39" spans="1:37" ht="14.25" customHeight="1">
      <c r="A39" s="621" t="s">
        <v>355</v>
      </c>
      <c r="B39" s="621"/>
      <c r="C39" s="686" t="s">
        <v>2</v>
      </c>
      <c r="D39" s="687">
        <v>5484031.6699999999</v>
      </c>
      <c r="E39" s="688">
        <v>2877794.27</v>
      </c>
      <c r="F39" s="530">
        <v>13288388.57</v>
      </c>
      <c r="G39" s="689">
        <v>15600</v>
      </c>
      <c r="H39" s="598" t="s">
        <v>356</v>
      </c>
      <c r="I39" s="687">
        <v>21665814.510000002</v>
      </c>
      <c r="J39" s="687">
        <v>21665814.510000002</v>
      </c>
      <c r="K39" s="687">
        <v>21665814.510000002</v>
      </c>
      <c r="L39" s="524" t="s">
        <v>21</v>
      </c>
      <c r="M39" s="597" t="s">
        <v>2</v>
      </c>
      <c r="N39" s="593">
        <v>1</v>
      </c>
      <c r="O39" s="598">
        <v>1</v>
      </c>
      <c r="P39" s="690">
        <v>0</v>
      </c>
      <c r="Q39" s="524"/>
      <c r="R39" s="682"/>
      <c r="S39" s="524" t="s">
        <v>357</v>
      </c>
      <c r="T39" s="541">
        <v>5484032</v>
      </c>
      <c r="U39" s="541">
        <v>2877794</v>
      </c>
      <c r="V39" s="541">
        <v>13288389</v>
      </c>
      <c r="W39" s="541">
        <v>15600</v>
      </c>
      <c r="X39" s="524">
        <v>0</v>
      </c>
      <c r="Y39" s="513"/>
      <c r="Z39" s="513"/>
      <c r="AA39" s="570" t="s">
        <v>21</v>
      </c>
      <c r="AB39" s="513"/>
      <c r="AC39" s="513"/>
      <c r="AD39" s="513"/>
      <c r="AE39" s="513"/>
      <c r="AF39" s="513"/>
      <c r="AG39" s="513"/>
      <c r="AH39" s="513"/>
      <c r="AI39" s="513"/>
      <c r="AJ39" s="513"/>
      <c r="AK39" s="513"/>
    </row>
    <row r="40" spans="1:37" ht="14.25" customHeight="1">
      <c r="A40" s="621" t="s">
        <v>50</v>
      </c>
      <c r="B40" s="621"/>
      <c r="C40" s="691" t="s">
        <v>7</v>
      </c>
      <c r="D40" s="693">
        <v>3191</v>
      </c>
      <c r="E40" s="619" t="s">
        <v>358</v>
      </c>
      <c r="F40" s="691" t="s">
        <v>21</v>
      </c>
      <c r="G40" s="687">
        <v>744835.5</v>
      </c>
      <c r="H40" s="692">
        <v>909.78</v>
      </c>
      <c r="I40" s="694">
        <v>748936.28</v>
      </c>
      <c r="J40" s="694">
        <v>419925.36</v>
      </c>
      <c r="K40" s="695">
        <v>471147.64</v>
      </c>
      <c r="L40" s="696" t="s">
        <v>359</v>
      </c>
      <c r="M40" s="643" t="s">
        <v>7</v>
      </c>
      <c r="N40" s="697">
        <v>1.7834989999999999</v>
      </c>
      <c r="O40" s="692">
        <v>1.5895999999999999</v>
      </c>
      <c r="P40" s="698">
        <v>-0.12</v>
      </c>
      <c r="Q40" s="524"/>
      <c r="R40" s="682"/>
      <c r="S40" s="524" t="s">
        <v>7</v>
      </c>
      <c r="T40" s="541">
        <v>1789</v>
      </c>
      <c r="U40" s="524">
        <v>0</v>
      </c>
      <c r="V40" s="524">
        <v>0</v>
      </c>
      <c r="W40" s="541">
        <v>417626</v>
      </c>
      <c r="X40" s="524">
        <v>510</v>
      </c>
      <c r="Y40" s="513"/>
      <c r="Z40" s="513"/>
      <c r="AA40" s="570" t="s">
        <v>21</v>
      </c>
      <c r="AB40" s="513"/>
      <c r="AC40" s="513"/>
      <c r="AD40" s="513"/>
      <c r="AE40" s="513"/>
      <c r="AF40" s="513"/>
      <c r="AG40" s="513"/>
      <c r="AH40" s="513"/>
      <c r="AI40" s="513"/>
      <c r="AJ40" s="513"/>
      <c r="AK40" s="513"/>
    </row>
    <row r="41" spans="1:37" ht="14.25" customHeight="1">
      <c r="A41" s="621" t="s">
        <v>87</v>
      </c>
      <c r="B41" s="621"/>
      <c r="C41" s="686" t="s">
        <v>14</v>
      </c>
      <c r="D41" s="687">
        <v>49908.54</v>
      </c>
      <c r="E41" s="593" t="s">
        <v>358</v>
      </c>
      <c r="F41" s="529" t="s">
        <v>360</v>
      </c>
      <c r="G41" s="686" t="s">
        <v>356</v>
      </c>
      <c r="H41" s="687">
        <v>914806.23</v>
      </c>
      <c r="I41" s="694">
        <v>964714.77</v>
      </c>
      <c r="J41" s="694">
        <v>641646</v>
      </c>
      <c r="K41" s="694">
        <v>617101.5</v>
      </c>
      <c r="L41" s="694">
        <v>24544.5</v>
      </c>
      <c r="M41" s="597" t="s">
        <v>14</v>
      </c>
      <c r="N41" s="593">
        <v>1.5035000000000001</v>
      </c>
      <c r="O41" s="692">
        <v>1.5632999999999999</v>
      </c>
      <c r="P41" s="690">
        <v>0.04</v>
      </c>
      <c r="Q41" s="524"/>
      <c r="R41" s="682"/>
      <c r="S41" s="524" t="s">
        <v>14</v>
      </c>
      <c r="T41" s="541">
        <v>33195</v>
      </c>
      <c r="U41" s="524">
        <v>0</v>
      </c>
      <c r="V41" s="524">
        <v>0</v>
      </c>
      <c r="W41" s="524">
        <v>0</v>
      </c>
      <c r="X41" s="541">
        <v>608451</v>
      </c>
      <c r="Y41" s="513"/>
      <c r="Z41" s="513"/>
      <c r="AA41" s="610" t="s">
        <v>361</v>
      </c>
      <c r="AB41" s="593" t="s">
        <v>21</v>
      </c>
      <c r="AC41" s="699">
        <v>42735</v>
      </c>
      <c r="AD41" s="513" t="s">
        <v>362</v>
      </c>
      <c r="AE41" s="513"/>
      <c r="AF41" s="513"/>
      <c r="AG41" s="513"/>
      <c r="AH41" s="513"/>
      <c r="AI41" s="513"/>
      <c r="AJ41" s="513"/>
      <c r="AK41" s="513"/>
    </row>
    <row r="42" spans="1:37" ht="14.25" customHeight="1">
      <c r="A42" s="621"/>
      <c r="B42" s="621"/>
      <c r="C42" s="691" t="s">
        <v>9</v>
      </c>
      <c r="D42" s="693">
        <v>35237.86</v>
      </c>
      <c r="E42" s="697" t="s">
        <v>358</v>
      </c>
      <c r="F42" s="619">
        <v>100</v>
      </c>
      <c r="G42" s="700">
        <v>105291.55</v>
      </c>
      <c r="H42" s="693">
        <v>109617.27</v>
      </c>
      <c r="I42" s="695">
        <v>250246.68</v>
      </c>
      <c r="J42" s="695">
        <v>266574.34999999998</v>
      </c>
      <c r="K42" s="695">
        <v>231666.99</v>
      </c>
      <c r="L42" s="695">
        <v>34907.360000000001</v>
      </c>
      <c r="M42" s="643" t="s">
        <v>9</v>
      </c>
      <c r="N42" s="697">
        <v>0.93874999999999997</v>
      </c>
      <c r="O42" s="692">
        <v>1.0802</v>
      </c>
      <c r="P42" s="690">
        <v>0.13</v>
      </c>
      <c r="Q42" s="524"/>
      <c r="R42" s="682"/>
      <c r="S42" s="524" t="s">
        <v>9</v>
      </c>
      <c r="T42" s="541">
        <v>37537</v>
      </c>
      <c r="U42" s="524">
        <v>0</v>
      </c>
      <c r="V42" s="524">
        <v>107</v>
      </c>
      <c r="W42" s="541">
        <v>112161</v>
      </c>
      <c r="X42" s="541">
        <v>116769</v>
      </c>
      <c r="Y42" s="513"/>
      <c r="Z42" s="513"/>
      <c r="AA42" s="638" t="s">
        <v>326</v>
      </c>
      <c r="AB42" s="666" t="s">
        <v>21</v>
      </c>
      <c r="AC42" s="701">
        <v>-19761000</v>
      </c>
      <c r="AD42" s="513"/>
      <c r="AE42" s="513"/>
      <c r="AF42" s="513"/>
      <c r="AG42" s="513"/>
      <c r="AH42" s="513"/>
      <c r="AI42" s="513"/>
      <c r="AJ42" s="513"/>
      <c r="AK42" s="513"/>
    </row>
    <row r="43" spans="1:37" ht="14.25" customHeight="1">
      <c r="A43" s="621" t="s">
        <v>363</v>
      </c>
      <c r="B43" s="621"/>
      <c r="C43" s="686" t="s">
        <v>18</v>
      </c>
      <c r="D43" s="598" t="s">
        <v>35</v>
      </c>
      <c r="E43" s="593" t="s">
        <v>358</v>
      </c>
      <c r="F43" s="524" t="s">
        <v>21</v>
      </c>
      <c r="G43" s="686" t="s">
        <v>21</v>
      </c>
      <c r="H43" s="598" t="s">
        <v>21</v>
      </c>
      <c r="I43" s="592" t="s">
        <v>356</v>
      </c>
      <c r="J43" s="592" t="s">
        <v>21</v>
      </c>
      <c r="K43" s="592" t="s">
        <v>364</v>
      </c>
      <c r="L43" s="592" t="s">
        <v>356</v>
      </c>
      <c r="M43" s="597" t="s">
        <v>18</v>
      </c>
      <c r="N43" s="593">
        <v>25.326996999999999</v>
      </c>
      <c r="O43" s="598">
        <v>26.242000999999998</v>
      </c>
      <c r="P43" s="690">
        <v>0.03</v>
      </c>
      <c r="Q43" s="524"/>
      <c r="R43" s="682"/>
      <c r="S43" s="524" t="s">
        <v>18</v>
      </c>
      <c r="T43" s="524">
        <v>0</v>
      </c>
      <c r="U43" s="524">
        <v>0</v>
      </c>
      <c r="V43" s="524">
        <v>0</v>
      </c>
      <c r="W43" s="524">
        <v>0</v>
      </c>
      <c r="X43" s="524">
        <v>0</v>
      </c>
      <c r="Y43" s="513"/>
      <c r="Z43" s="513"/>
      <c r="AA43" s="672" t="s">
        <v>327</v>
      </c>
      <c r="AB43" s="619" t="s">
        <v>21</v>
      </c>
      <c r="AC43" s="644" t="s">
        <v>21</v>
      </c>
      <c r="AD43" s="513"/>
      <c r="AE43" s="513"/>
      <c r="AF43" s="513"/>
      <c r="AG43" s="513"/>
      <c r="AH43" s="513"/>
      <c r="AI43" s="513"/>
      <c r="AJ43" s="513"/>
      <c r="AK43" s="513"/>
    </row>
    <row r="44" spans="1:37" ht="14.25" customHeight="1">
      <c r="A44" s="621"/>
      <c r="B44" s="621"/>
      <c r="C44" s="691" t="s">
        <v>3</v>
      </c>
      <c r="D44" s="693">
        <v>505676.63</v>
      </c>
      <c r="E44" s="702">
        <v>1181931.6599999999</v>
      </c>
      <c r="F44" s="619" t="s">
        <v>21</v>
      </c>
      <c r="G44" s="691" t="s">
        <v>21</v>
      </c>
      <c r="H44" s="692" t="s">
        <v>356</v>
      </c>
      <c r="I44" s="695">
        <v>1687608.29</v>
      </c>
      <c r="J44" s="695">
        <v>226230.05</v>
      </c>
      <c r="K44" s="695">
        <v>226801.64</v>
      </c>
      <c r="L44" s="696" t="s">
        <v>365</v>
      </c>
      <c r="M44" s="643" t="s">
        <v>3</v>
      </c>
      <c r="N44" s="697">
        <v>7.4596999999999998</v>
      </c>
      <c r="O44" s="692">
        <v>7.4409000000000001</v>
      </c>
      <c r="P44" s="698">
        <v>0</v>
      </c>
      <c r="Q44" s="524"/>
      <c r="R44" s="682"/>
      <c r="S44" s="524" t="s">
        <v>3</v>
      </c>
      <c r="T44" s="541">
        <v>67788</v>
      </c>
      <c r="U44" s="541">
        <v>158442</v>
      </c>
      <c r="V44" s="524">
        <v>0</v>
      </c>
      <c r="W44" s="524">
        <v>0</v>
      </c>
      <c r="X44" s="524">
        <v>0</v>
      </c>
      <c r="Y44" s="513"/>
      <c r="Z44" s="513"/>
      <c r="AA44" s="643" t="s">
        <v>21</v>
      </c>
      <c r="AB44" s="619" t="s">
        <v>21</v>
      </c>
      <c r="AC44" s="622" t="s">
        <v>21</v>
      </c>
      <c r="AD44" s="513"/>
      <c r="AE44" s="513"/>
      <c r="AF44" s="513"/>
      <c r="AG44" s="513"/>
      <c r="AH44" s="513"/>
      <c r="AI44" s="513"/>
      <c r="AJ44" s="513"/>
      <c r="AK44" s="513"/>
    </row>
    <row r="45" spans="1:37" ht="14.25" customHeight="1">
      <c r="A45" s="621" t="s">
        <v>366</v>
      </c>
      <c r="B45" s="621"/>
      <c r="C45" s="686" t="s">
        <v>4</v>
      </c>
      <c r="D45" s="687">
        <v>4286964.22</v>
      </c>
      <c r="E45" s="703" t="s">
        <v>367</v>
      </c>
      <c r="F45" s="524" t="s">
        <v>360</v>
      </c>
      <c r="G45" s="689">
        <v>8632.57</v>
      </c>
      <c r="H45" s="598" t="s">
        <v>356</v>
      </c>
      <c r="I45" s="694">
        <v>4293196.79</v>
      </c>
      <c r="J45" s="694">
        <v>5034236.3899999997</v>
      </c>
      <c r="K45" s="694">
        <v>4775365.42</v>
      </c>
      <c r="L45" s="694">
        <v>258870.97</v>
      </c>
      <c r="M45" s="597" t="s">
        <v>4</v>
      </c>
      <c r="N45" s="593">
        <v>0.8528</v>
      </c>
      <c r="O45" s="598">
        <v>0.89903</v>
      </c>
      <c r="P45" s="690">
        <v>0.05</v>
      </c>
      <c r="Q45" s="524"/>
      <c r="R45" s="682"/>
      <c r="S45" s="524" t="s">
        <v>4</v>
      </c>
      <c r="T45" s="541">
        <v>5026928</v>
      </c>
      <c r="U45" s="596">
        <v>-2814</v>
      </c>
      <c r="V45" s="524">
        <v>0</v>
      </c>
      <c r="W45" s="541">
        <v>10123</v>
      </c>
      <c r="X45" s="524">
        <v>0</v>
      </c>
      <c r="Y45" s="513"/>
      <c r="Z45" s="513"/>
      <c r="AA45" s="684" t="s">
        <v>330</v>
      </c>
      <c r="AB45" s="684" t="s">
        <v>21</v>
      </c>
      <c r="AC45" s="704" t="s">
        <v>21</v>
      </c>
      <c r="AD45" s="513"/>
      <c r="AE45" s="513"/>
      <c r="AF45" s="513"/>
      <c r="AG45" s="513"/>
      <c r="AH45" s="513"/>
      <c r="AI45" s="513"/>
      <c r="AJ45" s="513"/>
      <c r="AK45" s="513"/>
    </row>
    <row r="46" spans="1:37" ht="14.25" customHeight="1">
      <c r="A46" s="621" t="s">
        <v>368</v>
      </c>
      <c r="B46" s="621"/>
      <c r="C46" s="691" t="s">
        <v>17</v>
      </c>
      <c r="D46" s="692" t="s">
        <v>35</v>
      </c>
      <c r="E46" s="697" t="s">
        <v>358</v>
      </c>
      <c r="F46" s="619" t="s">
        <v>21</v>
      </c>
      <c r="G46" s="691" t="s">
        <v>21</v>
      </c>
      <c r="H46" s="692" t="s">
        <v>356</v>
      </c>
      <c r="I46" s="592" t="s">
        <v>356</v>
      </c>
      <c r="J46" s="592" t="s">
        <v>21</v>
      </c>
      <c r="K46" s="618" t="s">
        <v>364</v>
      </c>
      <c r="L46" s="618" t="s">
        <v>356</v>
      </c>
      <c r="M46" s="643" t="s">
        <v>17</v>
      </c>
      <c r="N46" s="697">
        <v>0</v>
      </c>
      <c r="O46" s="692">
        <v>0</v>
      </c>
      <c r="P46" s="690">
        <v>0</v>
      </c>
      <c r="Q46" s="524"/>
      <c r="R46" s="682"/>
      <c r="S46" s="524" t="s">
        <v>17</v>
      </c>
      <c r="T46" s="524">
        <v>0</v>
      </c>
      <c r="U46" s="524">
        <v>0</v>
      </c>
      <c r="V46" s="524">
        <v>0</v>
      </c>
      <c r="W46" s="524">
        <v>0</v>
      </c>
      <c r="X46" s="524">
        <v>0</v>
      </c>
      <c r="Y46" s="513"/>
      <c r="Z46" s="513"/>
      <c r="AA46" s="570" t="s">
        <v>21</v>
      </c>
      <c r="AB46" s="513"/>
      <c r="AC46" s="513"/>
      <c r="AD46" s="513"/>
      <c r="AE46" s="513"/>
      <c r="AF46" s="513"/>
      <c r="AG46" s="513"/>
      <c r="AH46" s="513"/>
      <c r="AI46" s="513"/>
      <c r="AJ46" s="513"/>
      <c r="AK46" s="513"/>
    </row>
    <row r="47" spans="1:37" ht="14.25" customHeight="1">
      <c r="A47" s="621" t="s">
        <v>369</v>
      </c>
      <c r="B47" s="621"/>
      <c r="C47" s="686" t="s">
        <v>298</v>
      </c>
      <c r="D47" s="598" t="s">
        <v>21</v>
      </c>
      <c r="E47" s="524"/>
      <c r="F47" s="592" t="s">
        <v>21</v>
      </c>
      <c r="G47" s="689">
        <v>3688612211</v>
      </c>
      <c r="H47" s="598" t="s">
        <v>356</v>
      </c>
      <c r="I47" s="694">
        <v>3688612211</v>
      </c>
      <c r="J47" s="694">
        <v>216595.31</v>
      </c>
      <c r="K47" s="694">
        <v>213939.51</v>
      </c>
      <c r="L47" s="694">
        <v>2655.8</v>
      </c>
      <c r="M47" s="597" t="s">
        <v>298</v>
      </c>
      <c r="N47" s="688">
        <v>17029.972752000001</v>
      </c>
      <c r="O47" s="687">
        <v>17241.37931</v>
      </c>
      <c r="P47" s="690">
        <v>0.01</v>
      </c>
      <c r="Q47" s="524"/>
      <c r="R47" s="682"/>
      <c r="S47" s="524" t="s">
        <v>298</v>
      </c>
      <c r="T47" s="524">
        <v>0</v>
      </c>
      <c r="U47" s="524">
        <v>0</v>
      </c>
      <c r="V47" s="524">
        <v>0</v>
      </c>
      <c r="W47" s="541">
        <v>216595</v>
      </c>
      <c r="X47" s="524">
        <v>0</v>
      </c>
      <c r="Y47" s="513"/>
      <c r="Z47" s="513"/>
      <c r="AA47" s="570" t="s">
        <v>21</v>
      </c>
      <c r="AB47" s="513"/>
      <c r="AC47" s="513"/>
      <c r="AD47" s="513"/>
      <c r="AE47" s="513"/>
      <c r="AF47" s="513"/>
      <c r="AG47" s="513"/>
      <c r="AH47" s="513"/>
      <c r="AI47" s="513"/>
      <c r="AJ47" s="513"/>
      <c r="AK47" s="513"/>
    </row>
    <row r="48" spans="1:37" ht="14.25" customHeight="1">
      <c r="A48" s="621" t="s">
        <v>370</v>
      </c>
      <c r="B48" s="621"/>
      <c r="C48" s="691" t="s">
        <v>259</v>
      </c>
      <c r="D48" s="692" t="s">
        <v>35</v>
      </c>
      <c r="E48" s="697" t="s">
        <v>358</v>
      </c>
      <c r="F48" s="619" t="s">
        <v>21</v>
      </c>
      <c r="G48" s="700">
        <v>2100476.5</v>
      </c>
      <c r="H48" s="693">
        <v>9124.66</v>
      </c>
      <c r="I48" s="694">
        <v>2109601.16</v>
      </c>
      <c r="J48" s="694">
        <v>433913.61</v>
      </c>
      <c r="K48" s="695">
        <v>427564.07</v>
      </c>
      <c r="L48" s="695">
        <v>6349.54</v>
      </c>
      <c r="M48" s="643" t="s">
        <v>259</v>
      </c>
      <c r="N48" s="697">
        <v>4.8617999999999997</v>
      </c>
      <c r="O48" s="692">
        <v>4.9340000000000002</v>
      </c>
      <c r="P48" s="690">
        <v>0.01</v>
      </c>
      <c r="Q48" s="524"/>
      <c r="R48" s="682"/>
      <c r="S48" s="524" t="s">
        <v>259</v>
      </c>
      <c r="T48" s="524">
        <v>0</v>
      </c>
      <c r="U48" s="524">
        <v>0</v>
      </c>
      <c r="V48" s="524">
        <v>0</v>
      </c>
      <c r="W48" s="541">
        <v>432037</v>
      </c>
      <c r="X48" s="541">
        <v>1877</v>
      </c>
      <c r="Y48" s="513"/>
      <c r="Z48" s="513"/>
      <c r="AA48" s="570" t="s">
        <v>21</v>
      </c>
      <c r="AB48" s="513"/>
      <c r="AC48" s="513"/>
      <c r="AD48" s="513"/>
      <c r="AE48" s="513"/>
      <c r="AF48" s="513"/>
      <c r="AG48" s="513"/>
      <c r="AH48" s="513"/>
      <c r="AI48" s="513"/>
      <c r="AJ48" s="513"/>
      <c r="AK48" s="513"/>
    </row>
    <row r="49" spans="1:37" s="3" customFormat="1" ht="14.25" customHeight="1">
      <c r="A49" s="621"/>
      <c r="B49" s="621"/>
      <c r="C49" s="686" t="s">
        <v>19</v>
      </c>
      <c r="D49" s="687">
        <v>123855.84</v>
      </c>
      <c r="E49" s="688">
        <v>162836.4</v>
      </c>
      <c r="F49" s="524" t="s">
        <v>360</v>
      </c>
      <c r="G49" s="686" t="s">
        <v>356</v>
      </c>
      <c r="H49" s="687">
        <v>24493298.460000001</v>
      </c>
      <c r="I49" s="694">
        <v>24779990.699999999</v>
      </c>
      <c r="J49" s="694">
        <v>2116139.4300000002</v>
      </c>
      <c r="K49" s="694">
        <v>2366693.5499999998</v>
      </c>
      <c r="L49" s="705" t="s">
        <v>371</v>
      </c>
      <c r="M49" s="597" t="s">
        <v>19</v>
      </c>
      <c r="N49" s="593">
        <v>11.709999</v>
      </c>
      <c r="O49" s="598">
        <v>10.4703</v>
      </c>
      <c r="P49" s="698">
        <v>-0.12</v>
      </c>
      <c r="Q49" s="524"/>
      <c r="R49" s="682"/>
      <c r="S49" s="524" t="s">
        <v>19</v>
      </c>
      <c r="T49" s="541">
        <v>10577</v>
      </c>
      <c r="U49" s="541">
        <v>13906</v>
      </c>
      <c r="V49" s="524">
        <v>0</v>
      </c>
      <c r="W49" s="524">
        <v>0</v>
      </c>
      <c r="X49" s="541">
        <v>2091657</v>
      </c>
      <c r="Y49" s="513"/>
      <c r="Z49" s="524"/>
      <c r="AA49" s="570" t="s">
        <v>21</v>
      </c>
      <c r="AB49" s="513"/>
      <c r="AC49" s="513"/>
      <c r="AD49" s="513"/>
      <c r="AE49" s="524"/>
      <c r="AF49" s="524"/>
      <c r="AG49" s="524"/>
      <c r="AH49" s="524"/>
      <c r="AI49" s="524"/>
      <c r="AJ49" s="524"/>
      <c r="AK49" s="524"/>
    </row>
    <row r="50" spans="1:37" s="3" customFormat="1" ht="14.85" customHeight="1">
      <c r="A50" s="563"/>
      <c r="B50" s="563"/>
      <c r="C50" s="691" t="s">
        <v>15</v>
      </c>
      <c r="D50" s="693">
        <v>169686.78</v>
      </c>
      <c r="E50" s="688">
        <v>1422079.58</v>
      </c>
      <c r="F50" s="619" t="s">
        <v>21</v>
      </c>
      <c r="G50" s="691" t="s">
        <v>21</v>
      </c>
      <c r="H50" s="693">
        <v>3955383.61</v>
      </c>
      <c r="I50" s="695">
        <v>5547149.9699999997</v>
      </c>
      <c r="J50" s="695">
        <v>1303142.08</v>
      </c>
      <c r="K50" s="695">
        <v>1216560.27</v>
      </c>
      <c r="L50" s="695">
        <v>86581.81</v>
      </c>
      <c r="M50" s="643" t="s">
        <v>15</v>
      </c>
      <c r="N50" s="697">
        <v>4.2567500000000003</v>
      </c>
      <c r="O50" s="692">
        <v>4.5597000000000003</v>
      </c>
      <c r="P50" s="690">
        <v>7.0000000000000007E-2</v>
      </c>
      <c r="Q50" s="524"/>
      <c r="R50" s="682"/>
      <c r="S50" s="524" t="s">
        <v>15</v>
      </c>
      <c r="T50" s="541">
        <v>39863</v>
      </c>
      <c r="U50" s="541">
        <v>334076</v>
      </c>
      <c r="V50" s="524">
        <v>0</v>
      </c>
      <c r="W50" s="524">
        <v>0</v>
      </c>
      <c r="X50" s="541">
        <v>929203</v>
      </c>
      <c r="Y50" s="513"/>
      <c r="Z50" s="524"/>
      <c r="AA50" s="570" t="s">
        <v>21</v>
      </c>
      <c r="AB50" s="513"/>
      <c r="AC50" s="513"/>
      <c r="AD50" s="524"/>
      <c r="AE50" s="524"/>
      <c r="AF50" s="524"/>
      <c r="AG50" s="524"/>
      <c r="AH50" s="524"/>
      <c r="AI50" s="524"/>
      <c r="AJ50" s="524"/>
      <c r="AK50" s="524"/>
    </row>
    <row r="51" spans="1:37" s="3" customFormat="1" ht="14.25" customHeight="1">
      <c r="A51" s="621"/>
      <c r="B51" s="621"/>
      <c r="C51" s="686" t="s">
        <v>6</v>
      </c>
      <c r="D51" s="687">
        <v>47808.23</v>
      </c>
      <c r="E51" s="688">
        <v>40793285.219999999</v>
      </c>
      <c r="F51" s="547">
        <v>10000000</v>
      </c>
      <c r="G51" s="686" t="s">
        <v>356</v>
      </c>
      <c r="H51" s="598" t="s">
        <v>356</v>
      </c>
      <c r="I51" s="694">
        <v>50841093.450000003</v>
      </c>
      <c r="J51" s="694">
        <v>4595179.8499999996</v>
      </c>
      <c r="K51" s="694">
        <v>5066730.33</v>
      </c>
      <c r="L51" s="705" t="s">
        <v>372</v>
      </c>
      <c r="M51" s="597" t="s">
        <v>6</v>
      </c>
      <c r="N51" s="593">
        <v>11.064005</v>
      </c>
      <c r="O51" s="598">
        <v>10.0343</v>
      </c>
      <c r="P51" s="698">
        <v>-0.1</v>
      </c>
      <c r="Q51" s="524"/>
      <c r="R51" s="682"/>
      <c r="S51" s="524" t="s">
        <v>6</v>
      </c>
      <c r="T51" s="541">
        <v>4321</v>
      </c>
      <c r="U51" s="541">
        <v>3687027</v>
      </c>
      <c r="V51" s="541">
        <v>903832</v>
      </c>
      <c r="W51" s="524">
        <v>0</v>
      </c>
      <c r="X51" s="524">
        <v>0</v>
      </c>
      <c r="Y51" s="513"/>
      <c r="Z51" s="524"/>
      <c r="AA51" s="570" t="s">
        <v>21</v>
      </c>
      <c r="AB51" s="513"/>
      <c r="AC51" s="513"/>
      <c r="AD51" s="513"/>
      <c r="AE51" s="524"/>
      <c r="AF51" s="524"/>
      <c r="AG51" s="524"/>
      <c r="AH51" s="524"/>
      <c r="AI51" s="524"/>
      <c r="AJ51" s="524"/>
      <c r="AK51" s="524"/>
    </row>
    <row r="52" spans="1:37" s="3" customFormat="1" ht="14.25" customHeight="1">
      <c r="A52" s="621"/>
      <c r="B52" s="621"/>
      <c r="C52" s="691" t="s">
        <v>16</v>
      </c>
      <c r="D52" s="693">
        <v>548621.96</v>
      </c>
      <c r="E52" s="593" t="s">
        <v>358</v>
      </c>
      <c r="F52" s="619" t="s">
        <v>360</v>
      </c>
      <c r="G52" s="700">
        <v>726980.28</v>
      </c>
      <c r="H52" s="693">
        <v>555476.93999999994</v>
      </c>
      <c r="I52" s="695">
        <v>1831079.18</v>
      </c>
      <c r="J52" s="695">
        <v>1232427.5</v>
      </c>
      <c r="K52" s="695">
        <v>1129041.3</v>
      </c>
      <c r="L52" s="695">
        <v>103386.2</v>
      </c>
      <c r="M52" s="643" t="s">
        <v>16</v>
      </c>
      <c r="N52" s="697">
        <v>1.4857499999999999</v>
      </c>
      <c r="O52" s="692">
        <v>1.6217999999999999</v>
      </c>
      <c r="P52" s="690">
        <v>0.08</v>
      </c>
      <c r="Q52" s="524"/>
      <c r="R52" s="682"/>
      <c r="S52" s="524" t="s">
        <v>16</v>
      </c>
      <c r="T52" s="541">
        <v>369256</v>
      </c>
      <c r="U52" s="524">
        <v>0</v>
      </c>
      <c r="V52" s="524">
        <v>0</v>
      </c>
      <c r="W52" s="541">
        <v>489302</v>
      </c>
      <c r="X52" s="541">
        <v>373870</v>
      </c>
      <c r="Y52" s="513"/>
      <c r="Z52" s="524"/>
      <c r="AA52" s="597" t="s">
        <v>21</v>
      </c>
      <c r="AB52" s="524"/>
      <c r="AC52" s="524"/>
      <c r="AD52" s="524"/>
      <c r="AE52" s="524"/>
      <c r="AF52" s="524"/>
      <c r="AG52" s="524"/>
      <c r="AH52" s="524"/>
      <c r="AI52" s="524"/>
      <c r="AJ52" s="524"/>
      <c r="AK52" s="524"/>
    </row>
    <row r="53" spans="1:37" s="3" customFormat="1" ht="14.25" customHeight="1">
      <c r="A53" s="621" t="s">
        <v>32</v>
      </c>
      <c r="B53" s="621"/>
      <c r="C53" s="686" t="s">
        <v>5</v>
      </c>
      <c r="D53" s="687">
        <v>602659.99</v>
      </c>
      <c r="E53" s="688">
        <v>182332.76</v>
      </c>
      <c r="F53" s="598" t="s">
        <v>360</v>
      </c>
      <c r="G53" s="687">
        <v>1399517.25</v>
      </c>
      <c r="H53" s="598" t="s">
        <v>356</v>
      </c>
      <c r="I53" s="687">
        <v>2184510</v>
      </c>
      <c r="J53" s="687">
        <v>1881900.41</v>
      </c>
      <c r="K53" s="687">
        <v>1780221.66</v>
      </c>
      <c r="L53" s="547">
        <v>101678.74</v>
      </c>
      <c r="M53" s="597" t="s">
        <v>5</v>
      </c>
      <c r="N53" s="593">
        <v>1.1608000000000001</v>
      </c>
      <c r="O53" s="598">
        <v>1.2271000000000001</v>
      </c>
      <c r="P53" s="690">
        <v>0.05</v>
      </c>
      <c r="Q53" s="682"/>
      <c r="R53" s="682"/>
      <c r="S53" s="524" t="s">
        <v>5</v>
      </c>
      <c r="T53" s="541">
        <v>519176</v>
      </c>
      <c r="U53" s="541">
        <v>157075</v>
      </c>
      <c r="V53" s="524">
        <v>0</v>
      </c>
      <c r="W53" s="541">
        <v>1205649</v>
      </c>
      <c r="X53" s="524">
        <v>0</v>
      </c>
      <c r="Y53" s="524"/>
      <c r="Z53" s="524"/>
      <c r="AA53" s="597" t="s">
        <v>21</v>
      </c>
      <c r="AB53" s="524"/>
      <c r="AC53" s="524"/>
      <c r="AD53" s="524"/>
      <c r="AE53" s="524"/>
      <c r="AF53" s="524"/>
      <c r="AG53" s="524"/>
      <c r="AH53" s="524"/>
      <c r="AI53" s="524"/>
      <c r="AJ53" s="524"/>
      <c r="AK53" s="524"/>
    </row>
    <row r="54" spans="1:37" s="3" customFormat="1" ht="13.5">
      <c r="A54" s="621" t="s">
        <v>50</v>
      </c>
      <c r="B54" s="621"/>
      <c r="C54" s="691" t="s">
        <v>289</v>
      </c>
      <c r="D54" s="692" t="s">
        <v>21</v>
      </c>
      <c r="E54" s="593" t="s">
        <v>21</v>
      </c>
      <c r="F54" s="619" t="s">
        <v>21</v>
      </c>
      <c r="G54" s="691" t="s">
        <v>21</v>
      </c>
      <c r="H54" s="693">
        <v>5873184.4800000004</v>
      </c>
      <c r="I54" s="695">
        <v>5873184.4800000004</v>
      </c>
      <c r="J54" s="695">
        <v>303385.75</v>
      </c>
      <c r="K54" s="695">
        <v>325891.55</v>
      </c>
      <c r="L54" s="696" t="s">
        <v>373</v>
      </c>
      <c r="M54" s="643" t="s">
        <v>289</v>
      </c>
      <c r="N54" s="697">
        <v>19.358802000000001</v>
      </c>
      <c r="O54" s="692">
        <v>18.021898</v>
      </c>
      <c r="P54" s="698">
        <v>-7.0000000000000007E-2</v>
      </c>
      <c r="Q54" s="682"/>
      <c r="R54" s="682"/>
      <c r="S54" s="524" t="s">
        <v>289</v>
      </c>
      <c r="T54" s="524">
        <v>0</v>
      </c>
      <c r="U54" s="524">
        <v>0</v>
      </c>
      <c r="V54" s="524">
        <v>0</v>
      </c>
      <c r="W54" s="524">
        <v>0</v>
      </c>
      <c r="X54" s="541">
        <v>303386</v>
      </c>
      <c r="Y54" s="524"/>
      <c r="Z54" s="524"/>
      <c r="AA54" s="597" t="s">
        <v>21</v>
      </c>
      <c r="AB54" s="524"/>
      <c r="AC54" s="524"/>
      <c r="AD54" s="524"/>
      <c r="AE54" s="524"/>
      <c r="AF54" s="524"/>
      <c r="AG54" s="524"/>
      <c r="AH54" s="524"/>
      <c r="AI54" s="524"/>
      <c r="AJ54" s="524"/>
      <c r="AK54" s="524"/>
    </row>
    <row r="55" spans="1:37" s="3" customFormat="1" ht="13.5">
      <c r="A55" s="621" t="s">
        <v>370</v>
      </c>
      <c r="B55" s="621"/>
      <c r="C55" s="706" t="s">
        <v>21</v>
      </c>
      <c r="D55" s="706" t="s">
        <v>21</v>
      </c>
      <c r="E55" s="707" t="s">
        <v>21</v>
      </c>
      <c r="F55" s="707" t="s">
        <v>21</v>
      </c>
      <c r="G55" s="708" t="s">
        <v>21</v>
      </c>
      <c r="H55" s="709" t="s">
        <v>21</v>
      </c>
      <c r="I55" s="710" t="s">
        <v>21</v>
      </c>
      <c r="J55" s="711">
        <v>40337111</v>
      </c>
      <c r="K55" s="711">
        <v>40514540</v>
      </c>
      <c r="L55" s="712">
        <v>-177429</v>
      </c>
      <c r="M55" s="513"/>
      <c r="N55" s="513"/>
      <c r="O55" s="513"/>
      <c r="P55" s="524"/>
      <c r="Q55" s="682"/>
      <c r="R55" s="682"/>
      <c r="S55" s="513"/>
      <c r="T55" s="713">
        <v>11594462</v>
      </c>
      <c r="U55" s="713">
        <v>7225506</v>
      </c>
      <c r="V55" s="713">
        <v>14192327</v>
      </c>
      <c r="W55" s="713">
        <v>2899093</v>
      </c>
      <c r="X55" s="713">
        <v>4425722</v>
      </c>
      <c r="Y55" s="524"/>
      <c r="Z55" s="524"/>
      <c r="AA55" s="597" t="s">
        <v>21</v>
      </c>
      <c r="AB55" s="524"/>
      <c r="AC55" s="524"/>
      <c r="AD55" s="524"/>
      <c r="AE55" s="524"/>
      <c r="AF55" s="524"/>
      <c r="AG55" s="524"/>
      <c r="AH55" s="524"/>
      <c r="AI55" s="524"/>
      <c r="AJ55" s="524"/>
      <c r="AK55" s="524"/>
    </row>
    <row r="56" spans="1:37" s="3" customFormat="1" ht="13.5">
      <c r="A56" s="621" t="s">
        <v>65</v>
      </c>
      <c r="B56" s="621"/>
      <c r="C56" s="590" t="s">
        <v>21</v>
      </c>
      <c r="D56" s="590" t="s">
        <v>21</v>
      </c>
      <c r="E56" s="590" t="s">
        <v>21</v>
      </c>
      <c r="F56" s="590" t="s">
        <v>21</v>
      </c>
      <c r="G56" s="590" t="s">
        <v>21</v>
      </c>
      <c r="H56" s="590" t="s">
        <v>21</v>
      </c>
      <c r="I56" s="590" t="s">
        <v>21</v>
      </c>
      <c r="J56" s="590" t="s">
        <v>21</v>
      </c>
      <c r="K56" s="590" t="s">
        <v>21</v>
      </c>
      <c r="L56" s="590" t="s">
        <v>21</v>
      </c>
      <c r="M56" s="590" t="s">
        <v>21</v>
      </c>
      <c r="N56" s="590" t="s">
        <v>21</v>
      </c>
      <c r="O56" s="714" t="s">
        <v>5</v>
      </c>
      <c r="P56" s="524"/>
      <c r="Q56" s="590" t="s">
        <v>21</v>
      </c>
      <c r="R56" s="590" t="s">
        <v>21</v>
      </c>
      <c r="S56" s="513"/>
      <c r="T56" s="513"/>
      <c r="U56" s="524"/>
      <c r="V56" s="524"/>
      <c r="W56" s="524"/>
      <c r="X56" s="524"/>
      <c r="Y56" s="524"/>
      <c r="Z56" s="524"/>
      <c r="AA56" s="597" t="s">
        <v>21</v>
      </c>
      <c r="AB56" s="524"/>
      <c r="AC56" s="524"/>
      <c r="AD56" s="524"/>
      <c r="AE56" s="524"/>
      <c r="AF56" s="524"/>
      <c r="AG56" s="524"/>
      <c r="AH56" s="524"/>
      <c r="AI56" s="524"/>
      <c r="AJ56" s="524"/>
      <c r="AK56" s="524"/>
    </row>
    <row r="57" spans="1:37" s="3" customFormat="1" ht="15">
      <c r="A57" s="621"/>
      <c r="B57" s="621"/>
      <c r="C57" s="524"/>
      <c r="D57" s="524"/>
      <c r="E57" s="524"/>
      <c r="F57" s="524"/>
      <c r="G57" s="524"/>
      <c r="H57" s="655"/>
      <c r="I57" s="524"/>
      <c r="J57" s="524"/>
      <c r="K57" s="524"/>
      <c r="L57" s="524"/>
      <c r="M57" s="524"/>
      <c r="N57" s="524"/>
      <c r="O57" s="523"/>
      <c r="P57" s="524"/>
      <c r="Q57" s="513"/>
      <c r="R57" s="513"/>
      <c r="S57" s="513"/>
      <c r="T57" s="524"/>
      <c r="U57" s="524"/>
      <c r="V57" s="524"/>
      <c r="W57" s="524"/>
      <c r="X57" s="524"/>
      <c r="Y57" s="524"/>
      <c r="Z57" s="524"/>
      <c r="AA57" s="597" t="s">
        <v>21</v>
      </c>
      <c r="AB57" s="524"/>
      <c r="AC57" s="524"/>
      <c r="AD57" s="524"/>
      <c r="AE57" s="524"/>
      <c r="AF57" s="524"/>
      <c r="AG57" s="524"/>
      <c r="AH57" s="524"/>
      <c r="AI57" s="524"/>
      <c r="AJ57" s="524"/>
      <c r="AK57" s="524"/>
    </row>
    <row r="58" spans="1:37" s="3" customFormat="1" ht="18.75">
      <c r="A58" s="621"/>
      <c r="B58" s="621"/>
      <c r="C58" s="715" t="s">
        <v>374</v>
      </c>
      <c r="D58" s="524"/>
      <c r="E58" s="524"/>
      <c r="F58" s="524"/>
      <c r="G58" s="524"/>
      <c r="H58" s="524"/>
      <c r="I58" s="524"/>
      <c r="J58" s="524"/>
      <c r="K58" s="524"/>
      <c r="L58" s="524"/>
      <c r="M58" s="524"/>
      <c r="N58" s="524"/>
      <c r="O58" s="590" t="s">
        <v>21</v>
      </c>
      <c r="P58" s="590" t="s">
        <v>21</v>
      </c>
      <c r="Q58" s="513"/>
      <c r="R58" s="513"/>
      <c r="S58" s="590" t="s">
        <v>21</v>
      </c>
      <c r="T58" s="524"/>
      <c r="U58" s="524"/>
      <c r="V58" s="524"/>
      <c r="W58" s="524"/>
      <c r="X58" s="524"/>
      <c r="Y58" s="524"/>
      <c r="Z58" s="524"/>
      <c r="AA58" s="597" t="s">
        <v>21</v>
      </c>
      <c r="AB58" s="524"/>
      <c r="AC58" s="524"/>
      <c r="AD58" s="524"/>
      <c r="AE58" s="524"/>
      <c r="AF58" s="524"/>
      <c r="AG58" s="524"/>
      <c r="AH58" s="524"/>
      <c r="AI58" s="524"/>
      <c r="AJ58" s="524"/>
      <c r="AK58" s="524"/>
    </row>
    <row r="59" spans="1:37" s="3" customFormat="1" ht="13.5">
      <c r="A59" s="621"/>
      <c r="B59" s="621"/>
      <c r="C59" s="716" t="s">
        <v>375</v>
      </c>
      <c r="D59" s="717" t="s">
        <v>376</v>
      </c>
      <c r="E59" s="717" t="s">
        <v>377</v>
      </c>
      <c r="F59" s="717" t="s">
        <v>378</v>
      </c>
      <c r="G59" s="717" t="s">
        <v>340</v>
      </c>
      <c r="H59" s="717" t="s">
        <v>379</v>
      </c>
      <c r="I59" s="718" t="s">
        <v>380</v>
      </c>
      <c r="J59" s="733" t="s">
        <v>381</v>
      </c>
      <c r="K59" s="734"/>
      <c r="L59" s="717" t="s">
        <v>382</v>
      </c>
      <c r="M59" s="717" t="s">
        <v>383</v>
      </c>
      <c r="N59" s="717" t="s">
        <v>384</v>
      </c>
      <c r="O59" s="719" t="s">
        <v>385</v>
      </c>
      <c r="P59" s="720" t="s">
        <v>386</v>
      </c>
      <c r="Q59" s="814" t="s">
        <v>387</v>
      </c>
      <c r="R59" s="815"/>
      <c r="S59" s="524"/>
      <c r="T59" s="524"/>
      <c r="U59" s="524"/>
      <c r="V59" s="524"/>
      <c r="W59" s="524"/>
      <c r="X59" s="524"/>
      <c r="Y59" s="524"/>
      <c r="Z59" s="524"/>
      <c r="AA59" s="597" t="s">
        <v>21</v>
      </c>
      <c r="AB59" s="524"/>
      <c r="AC59" s="524"/>
      <c r="AD59" s="524"/>
      <c r="AE59" s="524"/>
      <c r="AF59" s="524"/>
      <c r="AG59" s="524"/>
      <c r="AH59" s="524"/>
      <c r="AI59" s="524"/>
      <c r="AJ59" s="524"/>
      <c r="AK59" s="524"/>
    </row>
    <row r="60" spans="1:37" s="3" customFormat="1" ht="13.5">
      <c r="A60" s="621"/>
      <c r="B60" s="621"/>
      <c r="C60" s="721" t="s">
        <v>388</v>
      </c>
      <c r="D60" s="722">
        <v>44742</v>
      </c>
      <c r="E60" s="723" t="s">
        <v>389</v>
      </c>
      <c r="F60" s="723" t="s">
        <v>390</v>
      </c>
      <c r="G60" s="723" t="s">
        <v>19</v>
      </c>
      <c r="H60" s="724">
        <v>-13758182</v>
      </c>
      <c r="I60" s="723" t="s">
        <v>2</v>
      </c>
      <c r="J60" s="816">
        <v>1340000</v>
      </c>
      <c r="K60" s="817"/>
      <c r="L60" s="723">
        <v>10.267300000000001</v>
      </c>
      <c r="M60" s="723">
        <v>0</v>
      </c>
      <c r="N60" s="723">
        <v>10.267300000000001</v>
      </c>
      <c r="O60" s="726">
        <v>1174908.8936077999</v>
      </c>
      <c r="P60" s="725">
        <v>11.709999</v>
      </c>
      <c r="Q60" s="546">
        <v>165091.10639219999</v>
      </c>
      <c r="R60" s="725" t="s">
        <v>21</v>
      </c>
      <c r="S60" s="524"/>
      <c r="T60" s="524"/>
      <c r="U60" s="524"/>
      <c r="V60" s="524"/>
      <c r="W60" s="524"/>
      <c r="X60" s="524"/>
      <c r="Y60" s="524"/>
      <c r="Z60" s="524"/>
      <c r="AA60" s="597" t="s">
        <v>21</v>
      </c>
      <c r="AB60" s="524"/>
      <c r="AC60" s="524"/>
      <c r="AD60" s="524"/>
      <c r="AE60" s="524"/>
      <c r="AF60" s="524"/>
      <c r="AG60" s="524"/>
      <c r="AH60" s="524"/>
      <c r="AI60" s="524"/>
      <c r="AJ60" s="524"/>
      <c r="AK60" s="524"/>
    </row>
    <row r="61" spans="1:37" s="3" customFormat="1" ht="13.5">
      <c r="A61" s="621"/>
      <c r="B61" s="621"/>
      <c r="C61" s="721" t="s">
        <v>388</v>
      </c>
      <c r="D61" s="723" t="s">
        <v>391</v>
      </c>
      <c r="E61" s="723" t="s">
        <v>389</v>
      </c>
      <c r="F61" s="723" t="s">
        <v>392</v>
      </c>
      <c r="G61" s="723" t="s">
        <v>15</v>
      </c>
      <c r="H61" s="727">
        <v>7275742</v>
      </c>
      <c r="I61" s="723" t="s">
        <v>2</v>
      </c>
      <c r="J61" s="818">
        <v>-1580000</v>
      </c>
      <c r="K61" s="819"/>
      <c r="L61" s="723">
        <v>4.6048999999999998</v>
      </c>
      <c r="M61" s="723">
        <v>0</v>
      </c>
      <c r="N61" s="723">
        <v>4.6048999999999998</v>
      </c>
      <c r="O61" s="726">
        <v>1709224.6702341</v>
      </c>
      <c r="P61" s="725">
        <v>4.2567499</v>
      </c>
      <c r="Q61" s="546">
        <v>129224.67023410001</v>
      </c>
      <c r="R61" s="725" t="s">
        <v>21</v>
      </c>
      <c r="S61" s="524"/>
      <c r="T61" s="524"/>
      <c r="U61" s="524"/>
      <c r="V61" s="524"/>
      <c r="W61" s="524"/>
      <c r="X61" s="524"/>
      <c r="Y61" s="524"/>
      <c r="Z61" s="524"/>
      <c r="AA61" s="597" t="s">
        <v>21</v>
      </c>
      <c r="AB61" s="524"/>
      <c r="AC61" s="524"/>
      <c r="AD61" s="524"/>
      <c r="AE61" s="524"/>
      <c r="AF61" s="524"/>
      <c r="AG61" s="524"/>
      <c r="AH61" s="524"/>
      <c r="AI61" s="524"/>
      <c r="AJ61" s="524"/>
      <c r="AK61" s="524"/>
    </row>
    <row r="62" spans="1:37" s="3" customFormat="1" ht="13.5">
      <c r="A62" s="621"/>
      <c r="B62" s="621"/>
      <c r="C62" s="721" t="s">
        <v>388</v>
      </c>
      <c r="D62" s="723" t="s">
        <v>393</v>
      </c>
      <c r="E62" s="723" t="s">
        <v>389</v>
      </c>
      <c r="F62" s="723" t="s">
        <v>392</v>
      </c>
      <c r="G62" s="723" t="s">
        <v>15</v>
      </c>
      <c r="H62" s="727">
        <v>5361056</v>
      </c>
      <c r="I62" s="723" t="s">
        <v>2</v>
      </c>
      <c r="J62" s="818">
        <v>-1160000</v>
      </c>
      <c r="K62" s="819"/>
      <c r="L62" s="723">
        <v>4.6215999999999999</v>
      </c>
      <c r="M62" s="723">
        <v>0</v>
      </c>
      <c r="N62" s="723">
        <v>4.6215999999999999</v>
      </c>
      <c r="O62" s="726">
        <v>1259424.6983614999</v>
      </c>
      <c r="P62" s="725">
        <v>4.2567499</v>
      </c>
      <c r="Q62" s="546">
        <v>99424.698361500006</v>
      </c>
      <c r="R62" s="725" t="s">
        <v>21</v>
      </c>
      <c r="S62" s="524"/>
      <c r="T62" s="524"/>
      <c r="U62" s="524"/>
      <c r="V62" s="524"/>
      <c r="W62" s="524"/>
      <c r="X62" s="524"/>
      <c r="Y62" s="524"/>
      <c r="Z62" s="524"/>
      <c r="AA62" s="597" t="s">
        <v>21</v>
      </c>
      <c r="AB62" s="524"/>
      <c r="AC62" s="524"/>
      <c r="AD62" s="524"/>
      <c r="AE62" s="524"/>
      <c r="AF62" s="524"/>
      <c r="AG62" s="524"/>
      <c r="AH62" s="524"/>
      <c r="AI62" s="524"/>
      <c r="AJ62" s="524"/>
      <c r="AK62" s="524"/>
    </row>
    <row r="63" spans="1:37" s="3" customFormat="1" ht="13.5">
      <c r="A63" s="621"/>
      <c r="B63" s="621"/>
      <c r="C63" s="721" t="s">
        <v>388</v>
      </c>
      <c r="D63" s="723" t="s">
        <v>391</v>
      </c>
      <c r="E63" s="723" t="s">
        <v>389</v>
      </c>
      <c r="F63" s="723" t="s">
        <v>392</v>
      </c>
      <c r="G63" s="723" t="s">
        <v>15</v>
      </c>
      <c r="H63" s="727">
        <v>4752832</v>
      </c>
      <c r="I63" s="723" t="s">
        <v>2</v>
      </c>
      <c r="J63" s="818">
        <v>-1030000</v>
      </c>
      <c r="K63" s="819"/>
      <c r="L63" s="723">
        <v>4.6143999999999998</v>
      </c>
      <c r="M63" s="723">
        <v>0</v>
      </c>
      <c r="N63" s="723">
        <v>4.6143999999999998</v>
      </c>
      <c r="O63" s="726">
        <v>1116540.1010477999</v>
      </c>
      <c r="P63" s="725">
        <v>4.2567499</v>
      </c>
      <c r="Q63" s="546">
        <v>86540.101047799995</v>
      </c>
      <c r="R63" s="725" t="s">
        <v>21</v>
      </c>
      <c r="S63" s="524"/>
      <c r="T63" s="524"/>
      <c r="U63" s="524"/>
      <c r="V63" s="524"/>
      <c r="W63" s="524"/>
      <c r="X63" s="524"/>
      <c r="Y63" s="524"/>
      <c r="Z63" s="524"/>
      <c r="AA63" s="597" t="s">
        <v>21</v>
      </c>
      <c r="AB63" s="524"/>
      <c r="AC63" s="524"/>
      <c r="AD63" s="524"/>
      <c r="AE63" s="524"/>
      <c r="AF63" s="524"/>
      <c r="AG63" s="524"/>
      <c r="AH63" s="524"/>
      <c r="AI63" s="524"/>
      <c r="AJ63" s="524"/>
      <c r="AK63" s="524"/>
    </row>
    <row r="64" spans="1:37" s="3" customFormat="1" ht="13.5">
      <c r="A64" s="621"/>
      <c r="B64" s="621"/>
      <c r="C64" s="721" t="s">
        <v>388</v>
      </c>
      <c r="D64" s="723" t="s">
        <v>393</v>
      </c>
      <c r="E64" s="723" t="s">
        <v>389</v>
      </c>
      <c r="F64" s="723" t="s">
        <v>390</v>
      </c>
      <c r="G64" s="723" t="s">
        <v>6</v>
      </c>
      <c r="H64" s="724">
        <v>-62708674</v>
      </c>
      <c r="I64" s="723" t="s">
        <v>2</v>
      </c>
      <c r="J64" s="816">
        <v>6130000</v>
      </c>
      <c r="K64" s="817"/>
      <c r="L64" s="723">
        <v>10.229799999999999</v>
      </c>
      <c r="M64" s="723">
        <v>0</v>
      </c>
      <c r="N64" s="723">
        <v>10.229799999999999</v>
      </c>
      <c r="O64" s="726">
        <v>5667809.5565227997</v>
      </c>
      <c r="P64" s="725">
        <v>11.064005099999999</v>
      </c>
      <c r="Q64" s="546">
        <v>462190.44347719999</v>
      </c>
      <c r="R64" s="725" t="s">
        <v>21</v>
      </c>
      <c r="S64" s="524"/>
      <c r="T64" s="524"/>
      <c r="U64" s="524"/>
      <c r="V64" s="524"/>
      <c r="W64" s="524"/>
      <c r="X64" s="524"/>
      <c r="Y64" s="524"/>
      <c r="Z64" s="524"/>
      <c r="AA64" s="597" t="s">
        <v>21</v>
      </c>
      <c r="AB64" s="524"/>
      <c r="AC64" s="524"/>
      <c r="AD64" s="524"/>
      <c r="AE64" s="524"/>
      <c r="AF64" s="524"/>
      <c r="AG64" s="524"/>
      <c r="AH64" s="524"/>
      <c r="AI64" s="524"/>
      <c r="AJ64" s="524"/>
      <c r="AK64" s="524"/>
    </row>
    <row r="65" spans="1:37" s="3" customFormat="1" ht="13.5">
      <c r="A65" s="621"/>
      <c r="B65" s="621"/>
      <c r="C65" s="721" t="s">
        <v>388</v>
      </c>
      <c r="D65" s="723" t="s">
        <v>391</v>
      </c>
      <c r="E65" s="723" t="s">
        <v>389</v>
      </c>
      <c r="F65" s="723" t="s">
        <v>390</v>
      </c>
      <c r="G65" s="723" t="s">
        <v>6</v>
      </c>
      <c r="H65" s="724">
        <v>-20058052</v>
      </c>
      <c r="I65" s="723" t="s">
        <v>2</v>
      </c>
      <c r="J65" s="816">
        <v>1960000</v>
      </c>
      <c r="K65" s="817"/>
      <c r="L65" s="723">
        <v>10.233700000000001</v>
      </c>
      <c r="M65" s="723">
        <v>0</v>
      </c>
      <c r="N65" s="723">
        <v>10.233700000000001</v>
      </c>
      <c r="O65" s="726">
        <v>1812910.5841216</v>
      </c>
      <c r="P65" s="725">
        <v>11.064005099999999</v>
      </c>
      <c r="Q65" s="546">
        <v>147089.4158784</v>
      </c>
      <c r="R65" s="725" t="s">
        <v>21</v>
      </c>
      <c r="S65" s="524"/>
      <c r="T65" s="524"/>
      <c r="U65" s="524"/>
      <c r="V65" s="524"/>
      <c r="W65" s="524"/>
      <c r="X65" s="524"/>
      <c r="Y65" s="524"/>
      <c r="Z65" s="524"/>
      <c r="AA65" s="597" t="s">
        <v>21</v>
      </c>
      <c r="AB65" s="524"/>
      <c r="AC65" s="524"/>
      <c r="AD65" s="524"/>
      <c r="AE65" s="524"/>
      <c r="AF65" s="524"/>
      <c r="AG65" s="524"/>
      <c r="AH65" s="524"/>
      <c r="AI65" s="524"/>
      <c r="AJ65" s="524"/>
      <c r="AK65" s="524"/>
    </row>
    <row r="66" spans="1:37" s="3" customFormat="1" ht="13.5">
      <c r="A66" s="621"/>
      <c r="B66" s="621"/>
      <c r="C66" s="721" t="s">
        <v>388</v>
      </c>
      <c r="D66" s="722">
        <v>44650</v>
      </c>
      <c r="E66" s="723" t="s">
        <v>389</v>
      </c>
      <c r="F66" s="723" t="s">
        <v>390</v>
      </c>
      <c r="G66" s="723" t="s">
        <v>4</v>
      </c>
      <c r="H66" s="724">
        <v>-6526261</v>
      </c>
      <c r="I66" s="723" t="s">
        <v>2</v>
      </c>
      <c r="J66" s="816">
        <v>7530000</v>
      </c>
      <c r="K66" s="817"/>
      <c r="L66" s="723">
        <v>0.86670000000000003</v>
      </c>
      <c r="M66" s="723">
        <v>0</v>
      </c>
      <c r="N66" s="723">
        <v>0.86670130000000001</v>
      </c>
      <c r="O66" s="726">
        <v>7652745.1407891996</v>
      </c>
      <c r="P66" s="725">
        <v>0.8528</v>
      </c>
      <c r="Q66" s="728">
        <v>-122745.1412992</v>
      </c>
      <c r="R66" s="725" t="s">
        <v>21</v>
      </c>
      <c r="S66" s="524"/>
      <c r="T66" s="524"/>
      <c r="U66" s="524"/>
      <c r="V66" s="524"/>
      <c r="W66" s="524"/>
      <c r="X66" s="524"/>
      <c r="Y66" s="524"/>
      <c r="Z66" s="524"/>
      <c r="AA66" s="597" t="s">
        <v>21</v>
      </c>
      <c r="AB66" s="524"/>
      <c r="AC66" s="524"/>
      <c r="AD66" s="524"/>
      <c r="AE66" s="524"/>
      <c r="AF66" s="524"/>
      <c r="AG66" s="524"/>
      <c r="AH66" s="524"/>
      <c r="AI66" s="524"/>
      <c r="AJ66" s="524"/>
      <c r="AK66" s="524"/>
    </row>
    <row r="67" spans="1:37" s="3" customFormat="1" ht="13.5">
      <c r="A67" s="621"/>
      <c r="B67" s="621"/>
      <c r="C67" s="721" t="s">
        <v>388</v>
      </c>
      <c r="D67" s="723" t="s">
        <v>393</v>
      </c>
      <c r="E67" s="723" t="s">
        <v>389</v>
      </c>
      <c r="F67" s="723" t="s">
        <v>390</v>
      </c>
      <c r="G67" s="723" t="s">
        <v>4</v>
      </c>
      <c r="H67" s="724">
        <v>-1080380</v>
      </c>
      <c r="I67" s="723" t="s">
        <v>2</v>
      </c>
      <c r="J67" s="816">
        <v>1250000</v>
      </c>
      <c r="K67" s="817"/>
      <c r="L67" s="723">
        <v>0.86429999999999996</v>
      </c>
      <c r="M67" s="723">
        <v>0</v>
      </c>
      <c r="N67" s="723">
        <v>0.86430419999999997</v>
      </c>
      <c r="O67" s="726">
        <v>1266862.4425468999</v>
      </c>
      <c r="P67" s="725">
        <v>0.8528</v>
      </c>
      <c r="Q67" s="728">
        <v>-16862.447016900001</v>
      </c>
      <c r="R67" s="725" t="s">
        <v>21</v>
      </c>
      <c r="S67" s="524"/>
      <c r="T67" s="524"/>
      <c r="U67" s="524"/>
      <c r="V67" s="524"/>
      <c r="W67" s="524"/>
      <c r="X67" s="524"/>
      <c r="Y67" s="524"/>
      <c r="Z67" s="524"/>
      <c r="AA67" s="597" t="s">
        <v>21</v>
      </c>
      <c r="AB67" s="524"/>
      <c r="AC67" s="524"/>
      <c r="AD67" s="524"/>
      <c r="AE67" s="524"/>
      <c r="AF67" s="524"/>
      <c r="AG67" s="524"/>
      <c r="AH67" s="524"/>
      <c r="AI67" s="524"/>
      <c r="AJ67" s="524"/>
      <c r="AK67" s="524"/>
    </row>
    <row r="68" spans="1:37" s="3" customFormat="1" ht="13.5">
      <c r="A68" s="621"/>
      <c r="B68" s="621"/>
      <c r="C68" s="721" t="s">
        <v>388</v>
      </c>
      <c r="D68" s="723" t="s">
        <v>391</v>
      </c>
      <c r="E68" s="723" t="s">
        <v>389</v>
      </c>
      <c r="F68" s="723" t="s">
        <v>390</v>
      </c>
      <c r="G68" s="723" t="s">
        <v>4</v>
      </c>
      <c r="H68" s="724">
        <v>-3085724</v>
      </c>
      <c r="I68" s="723" t="s">
        <v>2</v>
      </c>
      <c r="J68" s="816">
        <v>3560000</v>
      </c>
      <c r="K68" s="817"/>
      <c r="L68" s="723">
        <v>0.86677999999999999</v>
      </c>
      <c r="M68" s="723">
        <v>0</v>
      </c>
      <c r="N68" s="723">
        <v>0.86677649999999995</v>
      </c>
      <c r="O68" s="726">
        <v>3618344.5038317</v>
      </c>
      <c r="P68" s="725">
        <v>0.8528</v>
      </c>
      <c r="Q68" s="728">
        <v>-58344.505828699999</v>
      </c>
      <c r="R68" s="725" t="s">
        <v>21</v>
      </c>
      <c r="S68" s="524"/>
      <c r="T68" s="524"/>
      <c r="U68" s="524"/>
      <c r="V68" s="524"/>
      <c r="W68" s="524"/>
      <c r="X68" s="524"/>
      <c r="Y68" s="524"/>
      <c r="Z68" s="524"/>
      <c r="AA68" s="597" t="s">
        <v>21</v>
      </c>
      <c r="AB68" s="524"/>
      <c r="AC68" s="524"/>
      <c r="AD68" s="524"/>
      <c r="AE68" s="524"/>
      <c r="AF68" s="524"/>
      <c r="AG68" s="524"/>
      <c r="AH68" s="524"/>
      <c r="AI68" s="524"/>
      <c r="AJ68" s="524"/>
      <c r="AK68" s="524"/>
    </row>
    <row r="69" spans="1:37" s="3" customFormat="1" ht="13.5">
      <c r="A69" s="621"/>
      <c r="B69" s="621"/>
      <c r="C69" s="729">
        <v>44419</v>
      </c>
      <c r="D69" s="723" t="s">
        <v>391</v>
      </c>
      <c r="E69" s="723" t="s">
        <v>389</v>
      </c>
      <c r="F69" s="723" t="s">
        <v>390</v>
      </c>
      <c r="G69" s="723" t="s">
        <v>19</v>
      </c>
      <c r="H69" s="724">
        <v>-6800560</v>
      </c>
      <c r="I69" s="723" t="s">
        <v>2</v>
      </c>
      <c r="J69" s="816">
        <v>676000</v>
      </c>
      <c r="K69" s="817"/>
      <c r="L69" s="723">
        <v>10.06</v>
      </c>
      <c r="M69" s="723">
        <v>0</v>
      </c>
      <c r="N69" s="723">
        <v>10.06</v>
      </c>
      <c r="O69" s="726">
        <v>580748.12686099997</v>
      </c>
      <c r="P69" s="725">
        <v>11.709999</v>
      </c>
      <c r="Q69" s="546">
        <v>95251.873139000003</v>
      </c>
      <c r="R69" s="725" t="s">
        <v>21</v>
      </c>
      <c r="S69" s="524"/>
      <c r="T69" s="524"/>
      <c r="U69" s="524"/>
      <c r="V69" s="524"/>
      <c r="W69" s="524"/>
      <c r="X69" s="524"/>
      <c r="Y69" s="524"/>
      <c r="Z69" s="524"/>
      <c r="AA69" s="597" t="s">
        <v>21</v>
      </c>
      <c r="AB69" s="524"/>
      <c r="AC69" s="524"/>
      <c r="AD69" s="524"/>
      <c r="AE69" s="524"/>
      <c r="AF69" s="524"/>
      <c r="AG69" s="524"/>
      <c r="AH69" s="524"/>
      <c r="AI69" s="524"/>
      <c r="AJ69" s="524"/>
      <c r="AK69" s="524"/>
    </row>
    <row r="70" spans="1:37" s="3" customFormat="1" ht="13.5">
      <c r="A70" s="621"/>
      <c r="B70" s="621"/>
      <c r="C70" s="729">
        <v>44419</v>
      </c>
      <c r="D70" s="723" t="s">
        <v>393</v>
      </c>
      <c r="E70" s="723" t="s">
        <v>389</v>
      </c>
      <c r="F70" s="723" t="s">
        <v>390</v>
      </c>
      <c r="G70" s="723" t="s">
        <v>6</v>
      </c>
      <c r="H70" s="724">
        <v>-20582000</v>
      </c>
      <c r="I70" s="723" t="s">
        <v>2</v>
      </c>
      <c r="J70" s="816">
        <v>2050000</v>
      </c>
      <c r="K70" s="817"/>
      <c r="L70" s="723">
        <v>10.039999999999999</v>
      </c>
      <c r="M70" s="723">
        <v>0</v>
      </c>
      <c r="N70" s="723">
        <v>10.039999999999999</v>
      </c>
      <c r="O70" s="726">
        <v>1860266.6720771999</v>
      </c>
      <c r="P70" s="725">
        <v>11.064005099999999</v>
      </c>
      <c r="Q70" s="546">
        <v>189733.3279228</v>
      </c>
      <c r="R70" s="725" t="s">
        <v>21</v>
      </c>
      <c r="S70" s="524"/>
      <c r="T70" s="524"/>
      <c r="U70" s="524"/>
      <c r="V70" s="524"/>
      <c r="W70" s="524"/>
      <c r="X70" s="524"/>
      <c r="Y70" s="524"/>
      <c r="Z70" s="524"/>
      <c r="AA70" s="597" t="s">
        <v>21</v>
      </c>
      <c r="AB70" s="524"/>
      <c r="AC70" s="524"/>
      <c r="AD70" s="524"/>
      <c r="AE70" s="524"/>
      <c r="AF70" s="524"/>
      <c r="AG70" s="524"/>
      <c r="AH70" s="524"/>
      <c r="AI70" s="524"/>
      <c r="AJ70" s="524"/>
      <c r="AK70" s="524"/>
    </row>
    <row r="71" spans="1:37" s="3" customFormat="1" ht="13.5">
      <c r="A71" s="621"/>
      <c r="B71" s="621"/>
      <c r="C71" s="729">
        <v>44419</v>
      </c>
      <c r="D71" s="723" t="s">
        <v>391</v>
      </c>
      <c r="E71" s="723" t="s">
        <v>389</v>
      </c>
      <c r="F71" s="723" t="s">
        <v>390</v>
      </c>
      <c r="G71" s="723" t="s">
        <v>6</v>
      </c>
      <c r="H71" s="724">
        <v>-9788700</v>
      </c>
      <c r="I71" s="723" t="s">
        <v>2</v>
      </c>
      <c r="J71" s="816">
        <v>974000</v>
      </c>
      <c r="K71" s="817"/>
      <c r="L71" s="723">
        <v>10.050000000000001</v>
      </c>
      <c r="M71" s="723">
        <v>0</v>
      </c>
      <c r="N71" s="723">
        <v>10.050000000000001</v>
      </c>
      <c r="O71" s="726">
        <v>884733.8632282</v>
      </c>
      <c r="P71" s="725">
        <v>11.064005099999999</v>
      </c>
      <c r="Q71" s="546">
        <v>89266.136771799996</v>
      </c>
      <c r="R71" s="725" t="s">
        <v>21</v>
      </c>
      <c r="S71" s="524"/>
      <c r="T71" s="524"/>
      <c r="U71" s="524"/>
      <c r="V71" s="524"/>
      <c r="W71" s="524"/>
      <c r="X71" s="524"/>
      <c r="Y71" s="524"/>
      <c r="Z71" s="524"/>
      <c r="AA71" s="597" t="s">
        <v>21</v>
      </c>
      <c r="AB71" s="524"/>
      <c r="AC71" s="524"/>
      <c r="AD71" s="524"/>
      <c r="AE71" s="524"/>
      <c r="AF71" s="524"/>
      <c r="AG71" s="524"/>
      <c r="AH71" s="524"/>
      <c r="AI71" s="524"/>
      <c r="AJ71" s="524"/>
      <c r="AK71" s="524"/>
    </row>
    <row r="72" spans="1:37" s="3" customFormat="1" ht="13.5">
      <c r="A72" s="621"/>
      <c r="B72" s="621"/>
      <c r="C72" s="729">
        <v>44419</v>
      </c>
      <c r="D72" s="723" t="s">
        <v>393</v>
      </c>
      <c r="E72" s="723" t="s">
        <v>389</v>
      </c>
      <c r="F72" s="723" t="s">
        <v>390</v>
      </c>
      <c r="G72" s="723" t="s">
        <v>16</v>
      </c>
      <c r="H72" s="724">
        <v>-1723290</v>
      </c>
      <c r="I72" s="723" t="s">
        <v>2</v>
      </c>
      <c r="J72" s="816">
        <v>1090000</v>
      </c>
      <c r="K72" s="817"/>
      <c r="L72" s="723">
        <v>1.581</v>
      </c>
      <c r="M72" s="723">
        <v>0</v>
      </c>
      <c r="N72" s="723">
        <v>1.581</v>
      </c>
      <c r="O72" s="726">
        <v>1159878.8351654999</v>
      </c>
      <c r="P72" s="725">
        <v>1.4857499999999999</v>
      </c>
      <c r="Q72" s="728">
        <v>-69878.835165500001</v>
      </c>
      <c r="R72" s="725" t="s">
        <v>21</v>
      </c>
      <c r="S72" s="524"/>
      <c r="T72" s="524"/>
      <c r="U72" s="524"/>
      <c r="V72" s="524"/>
      <c r="W72" s="524"/>
      <c r="X72" s="524"/>
      <c r="Y72" s="524"/>
      <c r="Z72" s="524"/>
      <c r="AA72" s="597" t="s">
        <v>21</v>
      </c>
      <c r="AB72" s="524"/>
      <c r="AC72" s="524"/>
      <c r="AD72" s="524"/>
      <c r="AE72" s="524"/>
      <c r="AF72" s="524"/>
      <c r="AG72" s="524"/>
      <c r="AH72" s="524"/>
      <c r="AI72" s="524"/>
      <c r="AJ72" s="524"/>
      <c r="AK72" s="524"/>
    </row>
    <row r="73" spans="1:37" s="3" customFormat="1" ht="13.5">
      <c r="A73" s="621"/>
      <c r="B73" s="621"/>
      <c r="C73" s="729">
        <v>44419</v>
      </c>
      <c r="D73" s="723" t="s">
        <v>391</v>
      </c>
      <c r="E73" s="723" t="s">
        <v>389</v>
      </c>
      <c r="F73" s="723" t="s">
        <v>390</v>
      </c>
      <c r="G73" s="723" t="s">
        <v>16</v>
      </c>
      <c r="H73" s="724">
        <v>-1293360</v>
      </c>
      <c r="I73" s="723" t="s">
        <v>2</v>
      </c>
      <c r="J73" s="816">
        <v>816000</v>
      </c>
      <c r="K73" s="817"/>
      <c r="L73" s="723">
        <v>1.585</v>
      </c>
      <c r="M73" s="723">
        <v>0</v>
      </c>
      <c r="N73" s="723">
        <v>1.585</v>
      </c>
      <c r="O73" s="726">
        <v>870509.83308070002</v>
      </c>
      <c r="P73" s="725">
        <v>1.4857499999999999</v>
      </c>
      <c r="Q73" s="728">
        <v>-54509.833080700002</v>
      </c>
      <c r="R73" s="725" t="s">
        <v>21</v>
      </c>
      <c r="S73" s="524"/>
      <c r="T73" s="524"/>
      <c r="U73" s="524"/>
      <c r="V73" s="524"/>
      <c r="W73" s="524"/>
      <c r="X73" s="524"/>
      <c r="Y73" s="524"/>
      <c r="Z73" s="524"/>
      <c r="AA73" s="597" t="s">
        <v>21</v>
      </c>
      <c r="AB73" s="524"/>
      <c r="AC73" s="524"/>
      <c r="AD73" s="524"/>
      <c r="AE73" s="524"/>
      <c r="AF73" s="524"/>
      <c r="AG73" s="524"/>
      <c r="AH73" s="524"/>
      <c r="AI73" s="524"/>
      <c r="AJ73" s="524"/>
      <c r="AK73" s="524"/>
    </row>
    <row r="74" spans="1:37" s="3" customFormat="1" ht="13.5">
      <c r="A74" s="621"/>
      <c r="B74" s="621"/>
      <c r="C74" s="729">
        <v>44419</v>
      </c>
      <c r="D74" s="723" t="s">
        <v>393</v>
      </c>
      <c r="E74" s="723" t="s">
        <v>389</v>
      </c>
      <c r="F74" s="723" t="s">
        <v>390</v>
      </c>
      <c r="G74" s="723" t="s">
        <v>5</v>
      </c>
      <c r="H74" s="724">
        <v>-1048589</v>
      </c>
      <c r="I74" s="723" t="s">
        <v>2</v>
      </c>
      <c r="J74" s="816">
        <v>896000</v>
      </c>
      <c r="K74" s="817"/>
      <c r="L74" s="723">
        <v>1.1702999999999999</v>
      </c>
      <c r="M74" s="723">
        <v>0</v>
      </c>
      <c r="N74" s="723">
        <v>1.1702999999999999</v>
      </c>
      <c r="O74" s="726">
        <v>903332.87138589995</v>
      </c>
      <c r="P74" s="725">
        <v>1.1608000000000001</v>
      </c>
      <c r="Q74" s="728">
        <v>-7332.8713859</v>
      </c>
      <c r="R74" s="725" t="s">
        <v>21</v>
      </c>
      <c r="S74" s="524"/>
      <c r="T74" s="524"/>
      <c r="U74" s="524"/>
      <c r="V74" s="524"/>
      <c r="W74" s="524"/>
      <c r="X74" s="524"/>
      <c r="Y74" s="524"/>
      <c r="Z74" s="524"/>
      <c r="AA74" s="597" t="s">
        <v>21</v>
      </c>
      <c r="AB74" s="524"/>
      <c r="AC74" s="524"/>
      <c r="AD74" s="524"/>
      <c r="AE74" s="524"/>
      <c r="AF74" s="524"/>
      <c r="AG74" s="524"/>
      <c r="AH74" s="524"/>
      <c r="AI74" s="524"/>
      <c r="AJ74" s="524"/>
      <c r="AK74" s="524"/>
    </row>
    <row r="75" spans="1:37" s="3" customFormat="1" ht="13.5">
      <c r="A75" s="621"/>
      <c r="B75" s="621"/>
      <c r="C75" s="729">
        <v>44419</v>
      </c>
      <c r="D75" s="723" t="s">
        <v>391</v>
      </c>
      <c r="E75" s="723" t="s">
        <v>389</v>
      </c>
      <c r="F75" s="723" t="s">
        <v>390</v>
      </c>
      <c r="G75" s="723" t="s">
        <v>5</v>
      </c>
      <c r="H75" s="724">
        <v>-788592</v>
      </c>
      <c r="I75" s="723" t="s">
        <v>2</v>
      </c>
      <c r="J75" s="816">
        <v>672000</v>
      </c>
      <c r="K75" s="817"/>
      <c r="L75" s="723">
        <v>1.1735</v>
      </c>
      <c r="M75" s="723">
        <v>0</v>
      </c>
      <c r="N75" s="723">
        <v>1.1735</v>
      </c>
      <c r="O75" s="726">
        <v>679352.16904089996</v>
      </c>
      <c r="P75" s="725">
        <v>1.1608000000000001</v>
      </c>
      <c r="Q75" s="728">
        <v>-7352.1690409000003</v>
      </c>
      <c r="R75" s="725" t="s">
        <v>21</v>
      </c>
      <c r="S75" s="524"/>
      <c r="T75" s="524"/>
      <c r="U75" s="524"/>
      <c r="V75" s="524"/>
      <c r="W75" s="524"/>
      <c r="X75" s="524"/>
      <c r="Y75" s="524"/>
      <c r="Z75" s="524"/>
      <c r="AA75" s="597" t="s">
        <v>21</v>
      </c>
      <c r="AB75" s="524"/>
      <c r="AC75" s="524"/>
      <c r="AD75" s="524"/>
      <c r="AE75" s="524"/>
      <c r="AF75" s="524"/>
      <c r="AG75" s="524"/>
      <c r="AH75" s="524"/>
      <c r="AI75" s="524"/>
      <c r="AJ75" s="524"/>
      <c r="AK75" s="524"/>
    </row>
    <row r="76" spans="1:37" s="3" customFormat="1" ht="13.5">
      <c r="A76" s="621"/>
      <c r="B76" s="621"/>
      <c r="C76" s="721" t="s">
        <v>394</v>
      </c>
      <c r="D76" s="723" t="s">
        <v>393</v>
      </c>
      <c r="E76" s="723" t="s">
        <v>389</v>
      </c>
      <c r="F76" s="723" t="s">
        <v>392</v>
      </c>
      <c r="G76" s="723" t="s">
        <v>15</v>
      </c>
      <c r="H76" s="727">
        <v>1843850</v>
      </c>
      <c r="I76" s="723" t="s">
        <v>2</v>
      </c>
      <c r="J76" s="818">
        <v>-392000</v>
      </c>
      <c r="K76" s="819"/>
      <c r="L76" s="723">
        <v>4.7037000000000004</v>
      </c>
      <c r="M76" s="723">
        <v>0</v>
      </c>
      <c r="N76" s="723">
        <v>4.7037000000000004</v>
      </c>
      <c r="O76" s="726">
        <v>433159.2010686</v>
      </c>
      <c r="P76" s="725">
        <v>4.2567499</v>
      </c>
      <c r="Q76" s="546">
        <v>41159.201068599999</v>
      </c>
      <c r="R76" s="725" t="s">
        <v>21</v>
      </c>
      <c r="S76" s="524"/>
      <c r="T76" s="524"/>
      <c r="U76" s="524"/>
      <c r="V76" s="524"/>
      <c r="W76" s="524"/>
      <c r="X76" s="524"/>
      <c r="Y76" s="524"/>
      <c r="Z76" s="524"/>
      <c r="AA76" s="597" t="s">
        <v>21</v>
      </c>
      <c r="AB76" s="524"/>
      <c r="AC76" s="524"/>
      <c r="AD76" s="524"/>
      <c r="AE76" s="524"/>
      <c r="AF76" s="524"/>
      <c r="AG76" s="524"/>
      <c r="AH76" s="524"/>
      <c r="AI76" s="524"/>
      <c r="AJ76" s="524"/>
      <c r="AK76" s="524"/>
    </row>
    <row r="77" spans="1:37" s="3" customFormat="1" ht="13.5">
      <c r="A77" s="621"/>
      <c r="B77" s="621"/>
      <c r="C77" s="721" t="s">
        <v>394</v>
      </c>
      <c r="D77" s="723" t="s">
        <v>391</v>
      </c>
      <c r="E77" s="723" t="s">
        <v>389</v>
      </c>
      <c r="F77" s="723" t="s">
        <v>392</v>
      </c>
      <c r="G77" s="723" t="s">
        <v>15</v>
      </c>
      <c r="H77" s="727">
        <v>2425702</v>
      </c>
      <c r="I77" s="723" t="s">
        <v>2</v>
      </c>
      <c r="J77" s="818">
        <v>-512000</v>
      </c>
      <c r="K77" s="819"/>
      <c r="L77" s="723">
        <v>4.7377000000000002</v>
      </c>
      <c r="M77" s="723">
        <v>0</v>
      </c>
      <c r="N77" s="723">
        <v>4.7377000000000002</v>
      </c>
      <c r="O77" s="726">
        <v>569848.46146629995</v>
      </c>
      <c r="P77" s="725">
        <v>4.2567499</v>
      </c>
      <c r="Q77" s="546">
        <v>57848.461466300003</v>
      </c>
      <c r="R77" s="725" t="s">
        <v>21</v>
      </c>
      <c r="S77" s="524"/>
      <c r="T77" s="524"/>
      <c r="U77" s="524"/>
      <c r="V77" s="524"/>
      <c r="W77" s="524"/>
      <c r="X77" s="524"/>
      <c r="Y77" s="524"/>
      <c r="Z77" s="524"/>
      <c r="AA77" s="597" t="s">
        <v>21</v>
      </c>
      <c r="AB77" s="524"/>
      <c r="AC77" s="524"/>
      <c r="AD77" s="524"/>
      <c r="AE77" s="524"/>
      <c r="AF77" s="524"/>
      <c r="AG77" s="524"/>
      <c r="AH77" s="524"/>
      <c r="AI77" s="524"/>
      <c r="AJ77" s="524"/>
      <c r="AK77" s="524"/>
    </row>
    <row r="78" spans="1:37" s="3" customFormat="1" ht="13.5">
      <c r="A78" s="621"/>
      <c r="B78" s="621"/>
      <c r="C78" s="721" t="s">
        <v>394</v>
      </c>
      <c r="D78" s="723" t="s">
        <v>395</v>
      </c>
      <c r="E78" s="723" t="s">
        <v>389</v>
      </c>
      <c r="F78" s="723" t="s">
        <v>392</v>
      </c>
      <c r="G78" s="723" t="s">
        <v>15</v>
      </c>
      <c r="H78" s="727">
        <v>4015788</v>
      </c>
      <c r="I78" s="723" t="s">
        <v>2</v>
      </c>
      <c r="J78" s="818">
        <v>-840000</v>
      </c>
      <c r="K78" s="819"/>
      <c r="L78" s="723">
        <v>4.7807000000000004</v>
      </c>
      <c r="M78" s="723">
        <v>0</v>
      </c>
      <c r="N78" s="723">
        <v>4.7807000000000004</v>
      </c>
      <c r="O78" s="726">
        <v>943392.97902950004</v>
      </c>
      <c r="P78" s="725">
        <v>4.2567499</v>
      </c>
      <c r="Q78" s="546">
        <v>103392.9790295</v>
      </c>
      <c r="R78" s="725" t="s">
        <v>21</v>
      </c>
      <c r="S78" s="524"/>
      <c r="T78" s="524"/>
      <c r="U78" s="524"/>
      <c r="V78" s="524"/>
      <c r="W78" s="524"/>
      <c r="X78" s="524"/>
      <c r="Y78" s="524"/>
      <c r="Z78" s="524"/>
      <c r="AA78" s="597" t="s">
        <v>21</v>
      </c>
      <c r="AB78" s="524"/>
      <c r="AC78" s="524"/>
      <c r="AD78" s="524"/>
      <c r="AE78" s="524"/>
      <c r="AF78" s="524"/>
      <c r="AG78" s="524"/>
      <c r="AH78" s="524"/>
      <c r="AI78" s="524"/>
      <c r="AJ78" s="524"/>
      <c r="AK78" s="524"/>
    </row>
    <row r="79" spans="1:37">
      <c r="A79" s="563"/>
      <c r="B79" s="563"/>
      <c r="C79" s="721" t="s">
        <v>394</v>
      </c>
      <c r="D79" s="723" t="s">
        <v>393</v>
      </c>
      <c r="E79" s="723" t="s">
        <v>389</v>
      </c>
      <c r="F79" s="723" t="s">
        <v>390</v>
      </c>
      <c r="G79" s="723" t="s">
        <v>4</v>
      </c>
      <c r="H79" s="724">
        <v>-358600</v>
      </c>
      <c r="I79" s="723" t="s">
        <v>2</v>
      </c>
      <c r="J79" s="816">
        <v>422000</v>
      </c>
      <c r="K79" s="817"/>
      <c r="L79" s="723">
        <v>0.84975999999999996</v>
      </c>
      <c r="M79" s="723">
        <v>0</v>
      </c>
      <c r="N79" s="723">
        <v>0.84976209999999996</v>
      </c>
      <c r="O79" s="726">
        <v>420496.70536259998</v>
      </c>
      <c r="P79" s="725">
        <v>0.8528</v>
      </c>
      <c r="Q79" s="546">
        <v>1503.2921494</v>
      </c>
      <c r="R79" s="725" t="s">
        <v>21</v>
      </c>
      <c r="S79" s="524"/>
      <c r="T79" s="524"/>
      <c r="U79" s="524"/>
      <c r="V79" s="524"/>
      <c r="W79" s="524"/>
      <c r="X79" s="524"/>
      <c r="Y79" s="513"/>
      <c r="Z79" s="513"/>
      <c r="AA79" s="513"/>
      <c r="AB79" s="513"/>
      <c r="AC79" s="513"/>
      <c r="AD79" s="513"/>
      <c r="AE79" s="513"/>
      <c r="AF79" s="513"/>
      <c r="AG79" s="513"/>
      <c r="AH79" s="513"/>
      <c r="AI79" s="513"/>
      <c r="AJ79" s="513"/>
      <c r="AK79" s="513"/>
    </row>
    <row r="80" spans="1:37">
      <c r="A80" s="563"/>
      <c r="B80" s="563"/>
      <c r="C80" s="721" t="s">
        <v>394</v>
      </c>
      <c r="D80" s="723" t="s">
        <v>391</v>
      </c>
      <c r="E80" s="723" t="s">
        <v>389</v>
      </c>
      <c r="F80" s="723" t="s">
        <v>390</v>
      </c>
      <c r="G80" s="723" t="s">
        <v>4</v>
      </c>
      <c r="H80" s="724">
        <v>-1514115</v>
      </c>
      <c r="I80" s="723" t="s">
        <v>2</v>
      </c>
      <c r="J80" s="816">
        <v>1770000</v>
      </c>
      <c r="K80" s="817"/>
      <c r="L80" s="723">
        <v>0.85543000000000002</v>
      </c>
      <c r="M80" s="723">
        <v>0</v>
      </c>
      <c r="N80" s="723">
        <v>0.85543199999999997</v>
      </c>
      <c r="O80" s="726">
        <v>1775462.7478976001</v>
      </c>
      <c r="P80" s="725">
        <v>0.8528</v>
      </c>
      <c r="Q80" s="728">
        <v>-5462.7454275999999</v>
      </c>
      <c r="R80" s="725" t="s">
        <v>21</v>
      </c>
      <c r="S80" s="524"/>
      <c r="T80" s="524"/>
      <c r="U80" s="524"/>
      <c r="V80" s="524"/>
      <c r="W80" s="524"/>
      <c r="X80" s="524"/>
      <c r="Y80" s="513"/>
      <c r="Z80" s="513"/>
      <c r="AA80" s="513"/>
      <c r="AB80" s="513"/>
      <c r="AC80" s="513"/>
      <c r="AD80" s="513"/>
      <c r="AE80" s="513"/>
      <c r="AF80" s="513"/>
      <c r="AG80" s="513"/>
      <c r="AH80" s="513"/>
      <c r="AI80" s="513"/>
      <c r="AJ80" s="513"/>
      <c r="AK80" s="513"/>
    </row>
    <row r="81" spans="1:37">
      <c r="A81" s="563"/>
      <c r="B81" s="563"/>
      <c r="C81" s="721" t="s">
        <v>394</v>
      </c>
      <c r="D81" s="723" t="s">
        <v>395</v>
      </c>
      <c r="E81" s="723" t="s">
        <v>389</v>
      </c>
      <c r="F81" s="723" t="s">
        <v>390</v>
      </c>
      <c r="G81" s="723" t="s">
        <v>4</v>
      </c>
      <c r="H81" s="724">
        <v>-719794</v>
      </c>
      <c r="I81" s="723" t="s">
        <v>2</v>
      </c>
      <c r="J81" s="816">
        <v>840000</v>
      </c>
      <c r="K81" s="817"/>
      <c r="L81" s="723">
        <v>0.8569</v>
      </c>
      <c r="M81" s="723">
        <v>0</v>
      </c>
      <c r="N81" s="723">
        <v>0.85689800000000005</v>
      </c>
      <c r="O81" s="726">
        <v>844036.5157938</v>
      </c>
      <c r="P81" s="725">
        <v>0.8528</v>
      </c>
      <c r="Q81" s="728">
        <v>-4036.5210138000002</v>
      </c>
      <c r="R81" s="725" t="s">
        <v>21</v>
      </c>
      <c r="S81" s="524"/>
      <c r="T81" s="524"/>
      <c r="U81" s="524"/>
      <c r="V81" s="524"/>
      <c r="W81" s="524"/>
      <c r="X81" s="524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</row>
  </sheetData>
  <mergeCells count="47"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  <mergeCell ref="J80:K80"/>
    <mergeCell ref="J81:K81"/>
    <mergeCell ref="J74:K74"/>
    <mergeCell ref="J75:K75"/>
    <mergeCell ref="J76:K76"/>
    <mergeCell ref="J77:K77"/>
    <mergeCell ref="J78:K78"/>
    <mergeCell ref="J79:K79"/>
    <mergeCell ref="C9:D9"/>
    <mergeCell ref="AG9:AH9"/>
    <mergeCell ref="AG10:AH10"/>
    <mergeCell ref="AD11:AE11"/>
    <mergeCell ref="AD12:AE12"/>
    <mergeCell ref="J61:K61"/>
    <mergeCell ref="AD13:AE13"/>
    <mergeCell ref="F7:G7"/>
    <mergeCell ref="Q59:R59"/>
    <mergeCell ref="J60:K60"/>
    <mergeCell ref="J59:K59"/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</mergeCells>
  <conditionalFormatting sqref="E82:H65545">
    <cfRule type="cellIs" dxfId="0" priority="41" stopIfTrue="1" operator="lessThan">
      <formula>0</formula>
    </cfRule>
  </conditionalFormatting>
  <hyperlinks>
    <hyperlink ref="N7" r:id="rId1" xr:uid="{A11B06B5-03A2-47A6-A5D0-93E95041941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77"/>
  <sheetViews>
    <sheetView topLeftCell="A11" workbookViewId="0">
      <selection activeCell="G23" sqref="G23"/>
    </sheetView>
  </sheetViews>
  <sheetFormatPr defaultColWidth="8.85546875" defaultRowHeight="12.75"/>
  <cols>
    <col min="1" max="1" width="13.140625" style="360" bestFit="1" customWidth="1"/>
    <col min="2" max="2" width="28.7109375" style="360" bestFit="1" customWidth="1"/>
    <col min="3" max="3" width="24.28515625" style="360" bestFit="1" customWidth="1"/>
    <col min="4" max="4" width="13.140625" style="360" bestFit="1" customWidth="1"/>
    <col min="5" max="5" width="35.5703125" style="360" bestFit="1" customWidth="1"/>
    <col min="6" max="6" width="22.28515625" style="360" bestFit="1" customWidth="1"/>
    <col min="7" max="7" width="20.85546875" style="360" bestFit="1" customWidth="1"/>
    <col min="8" max="8" width="8.7109375" style="360" bestFit="1" customWidth="1"/>
    <col min="9" max="9" width="12.7109375" style="360" bestFit="1" customWidth="1"/>
    <col min="10" max="10" width="35.5703125" style="360" bestFit="1" customWidth="1"/>
    <col min="11" max="11" width="22.7109375" style="360" bestFit="1" customWidth="1"/>
    <col min="12" max="12" width="17.28515625" style="360" bestFit="1" customWidth="1"/>
    <col min="13" max="13" width="15.5703125" style="360" bestFit="1" customWidth="1"/>
    <col min="14" max="14" width="19.28515625" style="360" bestFit="1" customWidth="1"/>
    <col min="15" max="16384" width="8.85546875" style="360"/>
  </cols>
  <sheetData>
    <row r="1" spans="1:14" ht="20.25" customHeight="1">
      <c r="A1" s="735" t="s">
        <v>396</v>
      </c>
      <c r="B1" s="735"/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</row>
    <row r="2" spans="1:14" ht="23.25" customHeight="1">
      <c r="A2" s="735"/>
      <c r="B2" s="735"/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</row>
    <row r="3" spans="1:14" ht="23.25">
      <c r="A3" s="391" t="s">
        <v>397</v>
      </c>
      <c r="B3" s="392" t="s">
        <v>398</v>
      </c>
      <c r="C3" s="392" t="s">
        <v>399</v>
      </c>
      <c r="D3" s="392" t="s">
        <v>400</v>
      </c>
      <c r="E3" s="392" t="s">
        <v>401</v>
      </c>
      <c r="F3" s="392" t="s">
        <v>402</v>
      </c>
      <c r="G3" s="392" t="s">
        <v>403</v>
      </c>
      <c r="H3" s="392" t="s">
        <v>404</v>
      </c>
      <c r="I3" s="392" t="s">
        <v>405</v>
      </c>
      <c r="J3" s="392" t="s">
        <v>406</v>
      </c>
      <c r="K3" s="392" t="s">
        <v>407</v>
      </c>
      <c r="L3" s="392" t="s">
        <v>408</v>
      </c>
      <c r="M3" s="392" t="s">
        <v>409</v>
      </c>
      <c r="N3" s="392" t="s">
        <v>410</v>
      </c>
    </row>
    <row r="4" spans="1:14" ht="12.75" customHeight="1">
      <c r="A4" s="736" t="s">
        <v>411</v>
      </c>
      <c r="B4" s="731" t="s">
        <v>412</v>
      </c>
      <c r="C4" s="731" t="s">
        <v>413</v>
      </c>
      <c r="D4" s="731" t="s">
        <v>7</v>
      </c>
      <c r="E4" s="732">
        <v>860621.52</v>
      </c>
      <c r="F4" s="731" t="s">
        <v>414</v>
      </c>
      <c r="G4" s="732">
        <v>744835.5</v>
      </c>
      <c r="H4" s="731" t="s">
        <v>415</v>
      </c>
      <c r="I4" s="731" t="s">
        <v>411</v>
      </c>
      <c r="J4" s="732">
        <v>860621.52</v>
      </c>
      <c r="K4" s="732">
        <v>744835.5</v>
      </c>
      <c r="L4" s="731" t="s">
        <v>416</v>
      </c>
      <c r="M4" s="731" t="s">
        <v>416</v>
      </c>
      <c r="N4" s="732">
        <v>744835.5</v>
      </c>
    </row>
    <row r="5" spans="1:14" ht="12.75" customHeight="1">
      <c r="A5" s="736"/>
      <c r="B5" s="731" t="s">
        <v>412</v>
      </c>
      <c r="C5" s="731" t="s">
        <v>413</v>
      </c>
      <c r="D5" s="731" t="s">
        <v>7</v>
      </c>
      <c r="E5" s="732">
        <v>860621.52</v>
      </c>
      <c r="F5" s="731" t="s">
        <v>414</v>
      </c>
      <c r="G5" s="732">
        <v>744835.5</v>
      </c>
      <c r="H5" s="731" t="s">
        <v>415</v>
      </c>
      <c r="I5" s="731" t="s">
        <v>411</v>
      </c>
      <c r="J5" s="732">
        <v>860621.52</v>
      </c>
      <c r="K5" s="732">
        <v>744835.5</v>
      </c>
      <c r="L5" s="731" t="s">
        <v>416</v>
      </c>
      <c r="M5" s="731" t="s">
        <v>416</v>
      </c>
      <c r="N5" s="732">
        <v>793006.88</v>
      </c>
    </row>
    <row r="6" spans="1:14" ht="12.75" customHeight="1">
      <c r="A6" s="737"/>
      <c r="B6" s="731" t="s">
        <v>412</v>
      </c>
      <c r="C6" s="731" t="s">
        <v>413</v>
      </c>
      <c r="D6" s="731" t="s">
        <v>7</v>
      </c>
      <c r="E6" s="732">
        <v>860621.52</v>
      </c>
      <c r="F6" s="731" t="s">
        <v>414</v>
      </c>
      <c r="G6" s="732">
        <v>744835.5</v>
      </c>
      <c r="H6" s="731" t="s">
        <v>415</v>
      </c>
      <c r="I6" s="731" t="s">
        <v>411</v>
      </c>
      <c r="J6" s="732">
        <v>860621.52</v>
      </c>
      <c r="K6" s="732">
        <v>744835.5</v>
      </c>
      <c r="L6" s="731" t="s">
        <v>416</v>
      </c>
      <c r="M6" s="731" t="s">
        <v>416</v>
      </c>
      <c r="N6" s="732">
        <v>826281.07</v>
      </c>
    </row>
    <row r="7" spans="1:14" ht="12.75" customHeight="1">
      <c r="A7" s="736" t="s">
        <v>417</v>
      </c>
      <c r="B7" s="731" t="s">
        <v>418</v>
      </c>
      <c r="C7" s="731" t="s">
        <v>419</v>
      </c>
      <c r="D7" s="731" t="s">
        <v>2</v>
      </c>
      <c r="E7" s="732">
        <v>15600</v>
      </c>
      <c r="F7" s="731" t="s">
        <v>414</v>
      </c>
      <c r="G7" s="732">
        <v>15600</v>
      </c>
      <c r="H7" s="731" t="s">
        <v>420</v>
      </c>
      <c r="I7" s="731" t="s">
        <v>417</v>
      </c>
      <c r="J7" s="732">
        <v>15600</v>
      </c>
      <c r="K7" s="732">
        <v>15600</v>
      </c>
      <c r="L7" s="731" t="s">
        <v>416</v>
      </c>
      <c r="M7" s="731" t="s">
        <v>416</v>
      </c>
      <c r="N7" s="732">
        <v>15600</v>
      </c>
    </row>
    <row r="8" spans="1:14" ht="12.75" customHeight="1">
      <c r="A8" s="736"/>
      <c r="B8" s="731" t="s">
        <v>421</v>
      </c>
      <c r="C8" s="731" t="s">
        <v>422</v>
      </c>
      <c r="D8" s="731" t="s">
        <v>9</v>
      </c>
      <c r="E8" s="732">
        <v>60065.84</v>
      </c>
      <c r="F8" s="731" t="s">
        <v>414</v>
      </c>
      <c r="G8" s="732">
        <v>60065.84</v>
      </c>
      <c r="H8" s="731" t="s">
        <v>420</v>
      </c>
      <c r="I8" s="731" t="s">
        <v>417</v>
      </c>
      <c r="J8" s="732">
        <v>60065.84</v>
      </c>
      <c r="K8" s="732">
        <v>60065.84</v>
      </c>
      <c r="L8" s="731" t="s">
        <v>416</v>
      </c>
      <c r="M8" s="731" t="s">
        <v>416</v>
      </c>
      <c r="N8" s="732">
        <v>60065.84</v>
      </c>
    </row>
    <row r="9" spans="1:14" ht="12.75" customHeight="1">
      <c r="A9" s="737"/>
      <c r="B9" s="731" t="s">
        <v>423</v>
      </c>
      <c r="C9" s="731" t="s">
        <v>419</v>
      </c>
      <c r="D9" s="731" t="s">
        <v>9</v>
      </c>
      <c r="E9" s="732">
        <v>45225.71</v>
      </c>
      <c r="F9" s="731" t="s">
        <v>414</v>
      </c>
      <c r="G9" s="732">
        <v>45225.71</v>
      </c>
      <c r="H9" s="731" t="s">
        <v>420</v>
      </c>
      <c r="I9" s="731" t="s">
        <v>417</v>
      </c>
      <c r="J9" s="732">
        <v>45225.71</v>
      </c>
      <c r="K9" s="732">
        <v>45225.71</v>
      </c>
      <c r="L9" s="731" t="s">
        <v>416</v>
      </c>
      <c r="M9" s="731" t="s">
        <v>416</v>
      </c>
      <c r="N9" s="732">
        <v>45225.71</v>
      </c>
    </row>
    <row r="10" spans="1:14" ht="12.75" customHeight="1">
      <c r="A10" s="730" t="s">
        <v>166</v>
      </c>
      <c r="B10" s="731" t="s">
        <v>424</v>
      </c>
      <c r="C10" s="731" t="s">
        <v>425</v>
      </c>
      <c r="D10" s="731" t="s">
        <v>4</v>
      </c>
      <c r="E10" s="732">
        <v>8632.57</v>
      </c>
      <c r="F10" s="731" t="s">
        <v>414</v>
      </c>
      <c r="G10" s="732">
        <v>8632.57</v>
      </c>
      <c r="H10" s="731" t="s">
        <v>426</v>
      </c>
      <c r="I10" s="731" t="s">
        <v>166</v>
      </c>
      <c r="J10" s="732">
        <v>8632.57</v>
      </c>
      <c r="K10" s="732">
        <v>8632.57</v>
      </c>
      <c r="L10" s="731" t="s">
        <v>416</v>
      </c>
      <c r="M10" s="731" t="s">
        <v>416</v>
      </c>
      <c r="N10" s="732">
        <v>8632.57</v>
      </c>
    </row>
    <row r="11" spans="1:14" ht="12.75" customHeight="1">
      <c r="A11" s="736" t="s">
        <v>427</v>
      </c>
      <c r="B11" s="731" t="s">
        <v>428</v>
      </c>
      <c r="C11" s="731" t="s">
        <v>429</v>
      </c>
      <c r="D11" s="731" t="s">
        <v>298</v>
      </c>
      <c r="E11" s="732">
        <v>3696505663</v>
      </c>
      <c r="F11" s="731" t="s">
        <v>414</v>
      </c>
      <c r="G11" s="732">
        <v>3688612211</v>
      </c>
      <c r="H11" s="731" t="s">
        <v>430</v>
      </c>
      <c r="I11" s="731" t="s">
        <v>427</v>
      </c>
      <c r="J11" s="732">
        <v>3696505663</v>
      </c>
      <c r="K11" s="732">
        <v>3688612211</v>
      </c>
      <c r="L11" s="731" t="s">
        <v>416</v>
      </c>
      <c r="M11" s="731" t="s">
        <v>416</v>
      </c>
      <c r="N11" s="732">
        <v>3688612211</v>
      </c>
    </row>
    <row r="12" spans="1:14" ht="12.75" customHeight="1">
      <c r="A12" s="736"/>
      <c r="B12" s="731" t="s">
        <v>428</v>
      </c>
      <c r="C12" s="731" t="s">
        <v>429</v>
      </c>
      <c r="D12" s="731" t="s">
        <v>298</v>
      </c>
      <c r="E12" s="732">
        <v>3696505663</v>
      </c>
      <c r="F12" s="731" t="s">
        <v>414</v>
      </c>
      <c r="G12" s="732">
        <v>3688612211</v>
      </c>
      <c r="H12" s="731" t="s">
        <v>430</v>
      </c>
      <c r="I12" s="731" t="s">
        <v>427</v>
      </c>
      <c r="J12" s="732">
        <v>3696505663</v>
      </c>
      <c r="K12" s="732">
        <v>3688612211</v>
      </c>
      <c r="L12" s="731" t="s">
        <v>416</v>
      </c>
      <c r="M12" s="731" t="s">
        <v>416</v>
      </c>
      <c r="N12" s="732">
        <v>3688807911</v>
      </c>
    </row>
    <row r="13" spans="1:14" ht="12.75" customHeight="1">
      <c r="A13" s="736"/>
      <c r="B13" s="731" t="s">
        <v>428</v>
      </c>
      <c r="C13" s="731" t="s">
        <v>429</v>
      </c>
      <c r="D13" s="731" t="s">
        <v>298</v>
      </c>
      <c r="E13" s="732">
        <v>3696505663</v>
      </c>
      <c r="F13" s="731" t="s">
        <v>414</v>
      </c>
      <c r="G13" s="732">
        <v>3688612211</v>
      </c>
      <c r="H13" s="731" t="s">
        <v>430</v>
      </c>
      <c r="I13" s="731" t="s">
        <v>427</v>
      </c>
      <c r="J13" s="732">
        <v>3696505663</v>
      </c>
      <c r="K13" s="732">
        <v>3688612211</v>
      </c>
      <c r="L13" s="731" t="s">
        <v>416</v>
      </c>
      <c r="M13" s="731" t="s">
        <v>416</v>
      </c>
      <c r="N13" s="732">
        <v>3689004910</v>
      </c>
    </row>
    <row r="14" spans="1:14" ht="12.75" customHeight="1">
      <c r="A14" s="736"/>
      <c r="B14" s="731" t="s">
        <v>428</v>
      </c>
      <c r="C14" s="731" t="s">
        <v>429</v>
      </c>
      <c r="D14" s="731" t="s">
        <v>298</v>
      </c>
      <c r="E14" s="732">
        <v>3696505663</v>
      </c>
      <c r="F14" s="731" t="s">
        <v>414</v>
      </c>
      <c r="G14" s="732">
        <v>3688612211</v>
      </c>
      <c r="H14" s="731" t="s">
        <v>430</v>
      </c>
      <c r="I14" s="731" t="s">
        <v>427</v>
      </c>
      <c r="J14" s="732">
        <v>3696505663</v>
      </c>
      <c r="K14" s="732">
        <v>3688612211</v>
      </c>
      <c r="L14" s="731" t="s">
        <v>416</v>
      </c>
      <c r="M14" s="731" t="s">
        <v>416</v>
      </c>
      <c r="N14" s="732">
        <v>3689230910</v>
      </c>
    </row>
    <row r="15" spans="1:14" ht="12.75" customHeight="1">
      <c r="A15" s="736"/>
      <c r="B15" s="731" t="s">
        <v>428</v>
      </c>
      <c r="C15" s="731" t="s">
        <v>429</v>
      </c>
      <c r="D15" s="731" t="s">
        <v>298</v>
      </c>
      <c r="E15" s="732">
        <v>3696505663</v>
      </c>
      <c r="F15" s="731" t="s">
        <v>414</v>
      </c>
      <c r="G15" s="732">
        <v>3688612211</v>
      </c>
      <c r="H15" s="731" t="s">
        <v>430</v>
      </c>
      <c r="I15" s="731" t="s">
        <v>427</v>
      </c>
      <c r="J15" s="732">
        <v>3696505663</v>
      </c>
      <c r="K15" s="732">
        <v>3688612211</v>
      </c>
      <c r="L15" s="731" t="s">
        <v>416</v>
      </c>
      <c r="M15" s="731" t="s">
        <v>416</v>
      </c>
      <c r="N15" s="732">
        <v>3689519209</v>
      </c>
    </row>
    <row r="16" spans="1:14" ht="12.75" customHeight="1">
      <c r="A16" s="736"/>
      <c r="B16" s="731" t="s">
        <v>428</v>
      </c>
      <c r="C16" s="731" t="s">
        <v>429</v>
      </c>
      <c r="D16" s="731" t="s">
        <v>298</v>
      </c>
      <c r="E16" s="732">
        <v>3696505663</v>
      </c>
      <c r="F16" s="731" t="s">
        <v>414</v>
      </c>
      <c r="G16" s="732">
        <v>3688612211</v>
      </c>
      <c r="H16" s="731" t="s">
        <v>430</v>
      </c>
      <c r="I16" s="731" t="s">
        <v>427</v>
      </c>
      <c r="J16" s="732">
        <v>3696505663</v>
      </c>
      <c r="K16" s="732">
        <v>3688612211</v>
      </c>
      <c r="L16" s="731" t="s">
        <v>416</v>
      </c>
      <c r="M16" s="731" t="s">
        <v>416</v>
      </c>
      <c r="N16" s="732">
        <v>3690119209</v>
      </c>
    </row>
    <row r="17" spans="1:14" ht="12.75" customHeight="1">
      <c r="A17" s="737"/>
      <c r="B17" s="731" t="s">
        <v>428</v>
      </c>
      <c r="C17" s="731" t="s">
        <v>429</v>
      </c>
      <c r="D17" s="731" t="s">
        <v>298</v>
      </c>
      <c r="E17" s="732">
        <v>3696505663</v>
      </c>
      <c r="F17" s="731" t="s">
        <v>414</v>
      </c>
      <c r="G17" s="732">
        <v>3688612211</v>
      </c>
      <c r="H17" s="731" t="s">
        <v>430</v>
      </c>
      <c r="I17" s="731" t="s">
        <v>427</v>
      </c>
      <c r="J17" s="732">
        <v>3696505663</v>
      </c>
      <c r="K17" s="732">
        <v>3688612211</v>
      </c>
      <c r="L17" s="731" t="s">
        <v>416</v>
      </c>
      <c r="M17" s="731" t="s">
        <v>416</v>
      </c>
      <c r="N17" s="732">
        <v>3691967052</v>
      </c>
    </row>
    <row r="18" spans="1:14" ht="12.75" customHeight="1">
      <c r="A18" s="736" t="s">
        <v>431</v>
      </c>
      <c r="B18" s="731" t="s">
        <v>432</v>
      </c>
      <c r="C18" s="731" t="s">
        <v>433</v>
      </c>
      <c r="D18" s="731" t="s">
        <v>259</v>
      </c>
      <c r="E18" s="732">
        <v>1780959.9</v>
      </c>
      <c r="F18" s="731" t="s">
        <v>414</v>
      </c>
      <c r="G18" s="732">
        <v>2100476.5</v>
      </c>
      <c r="H18" s="731" t="s">
        <v>434</v>
      </c>
      <c r="I18" s="731" t="s">
        <v>431</v>
      </c>
      <c r="J18" s="732">
        <v>1780959.9</v>
      </c>
      <c r="K18" s="732">
        <v>2100476.5</v>
      </c>
      <c r="L18" s="731" t="s">
        <v>416</v>
      </c>
      <c r="M18" s="731" t="s">
        <v>416</v>
      </c>
      <c r="N18" s="732">
        <v>2100476.5</v>
      </c>
    </row>
    <row r="19" spans="1:14" ht="12.75" customHeight="1">
      <c r="A19" s="737"/>
      <c r="B19" s="731" t="s">
        <v>432</v>
      </c>
      <c r="C19" s="731" t="s">
        <v>433</v>
      </c>
      <c r="D19" s="731" t="s">
        <v>259</v>
      </c>
      <c r="E19" s="732">
        <v>1780959.9</v>
      </c>
      <c r="F19" s="731" t="s">
        <v>414</v>
      </c>
      <c r="G19" s="732">
        <v>2100476.5</v>
      </c>
      <c r="H19" s="731" t="s">
        <v>434</v>
      </c>
      <c r="I19" s="731" t="s">
        <v>431</v>
      </c>
      <c r="J19" s="732">
        <v>1780959.9</v>
      </c>
      <c r="K19" s="732">
        <v>2100476.5</v>
      </c>
      <c r="L19" s="731" t="s">
        <v>416</v>
      </c>
      <c r="M19" s="731" t="s">
        <v>416</v>
      </c>
      <c r="N19" s="732">
        <v>2100959.9</v>
      </c>
    </row>
    <row r="20" spans="1:14" ht="12.75" customHeight="1">
      <c r="A20" s="736" t="s">
        <v>38</v>
      </c>
      <c r="B20" s="731" t="s">
        <v>435</v>
      </c>
      <c r="C20" s="731" t="s">
        <v>436</v>
      </c>
      <c r="D20" s="731" t="s">
        <v>2</v>
      </c>
      <c r="E20" s="732">
        <v>15288388.57</v>
      </c>
      <c r="F20" s="731" t="s">
        <v>414</v>
      </c>
      <c r="G20" s="732">
        <v>13288388.57</v>
      </c>
      <c r="H20" s="731" t="s">
        <v>420</v>
      </c>
      <c r="I20" s="731" t="s">
        <v>38</v>
      </c>
      <c r="J20" s="732">
        <v>15288388.57</v>
      </c>
      <c r="K20" s="732">
        <v>13288388.57</v>
      </c>
      <c r="L20" s="731" t="s">
        <v>416</v>
      </c>
      <c r="M20" s="731" t="s">
        <v>416</v>
      </c>
      <c r="N20" s="732">
        <v>13288388.57</v>
      </c>
    </row>
    <row r="21" spans="1:14" ht="12.75" customHeight="1">
      <c r="A21" s="736"/>
      <c r="B21" s="731" t="s">
        <v>437</v>
      </c>
      <c r="C21" s="731" t="s">
        <v>438</v>
      </c>
      <c r="D21" s="731" t="s">
        <v>2</v>
      </c>
      <c r="E21" s="731">
        <v>0</v>
      </c>
      <c r="F21" s="731" t="s">
        <v>414</v>
      </c>
      <c r="G21" s="731">
        <v>0</v>
      </c>
      <c r="H21" s="731" t="s">
        <v>420</v>
      </c>
      <c r="I21" s="731" t="s">
        <v>38</v>
      </c>
      <c r="J21" s="731">
        <v>0</v>
      </c>
      <c r="K21" s="731">
        <v>0</v>
      </c>
      <c r="L21" s="731" t="s">
        <v>416</v>
      </c>
      <c r="M21" s="731" t="s">
        <v>416</v>
      </c>
      <c r="N21" s="731">
        <v>0</v>
      </c>
    </row>
    <row r="22" spans="1:14" ht="12.75" customHeight="1">
      <c r="A22" s="736"/>
      <c r="B22" s="731" t="s">
        <v>439</v>
      </c>
      <c r="C22" s="731" t="s">
        <v>438</v>
      </c>
      <c r="D22" s="731" t="s">
        <v>19</v>
      </c>
      <c r="E22" s="731">
        <v>0</v>
      </c>
      <c r="F22" s="731" t="s">
        <v>414</v>
      </c>
      <c r="G22" s="731">
        <v>0</v>
      </c>
      <c r="H22" s="731" t="s">
        <v>420</v>
      </c>
      <c r="I22" s="731" t="s">
        <v>38</v>
      </c>
      <c r="J22" s="731">
        <v>0</v>
      </c>
      <c r="K22" s="731">
        <v>0</v>
      </c>
      <c r="L22" s="731" t="s">
        <v>416</v>
      </c>
      <c r="M22" s="731" t="s">
        <v>416</v>
      </c>
      <c r="N22" s="731">
        <v>0</v>
      </c>
    </row>
    <row r="23" spans="1:14" ht="23.25" customHeight="1">
      <c r="A23" s="736"/>
      <c r="B23" s="731" t="s">
        <v>440</v>
      </c>
      <c r="C23" s="731" t="s">
        <v>438</v>
      </c>
      <c r="D23" s="731" t="s">
        <v>6</v>
      </c>
      <c r="E23" s="731">
        <v>0</v>
      </c>
      <c r="F23" s="731" t="s">
        <v>414</v>
      </c>
      <c r="G23" s="731">
        <v>10000000</v>
      </c>
      <c r="H23" s="731" t="s">
        <v>420</v>
      </c>
      <c r="I23" s="731" t="s">
        <v>38</v>
      </c>
      <c r="J23" s="731">
        <v>0</v>
      </c>
      <c r="K23" s="731">
        <v>0</v>
      </c>
      <c r="L23" s="731" t="s">
        <v>416</v>
      </c>
      <c r="M23" s="731" t="s">
        <v>416</v>
      </c>
      <c r="N23" s="731">
        <v>0</v>
      </c>
    </row>
    <row r="24" spans="1:14" ht="23.25" customHeight="1">
      <c r="A24" s="736"/>
      <c r="B24" s="731" t="s">
        <v>441</v>
      </c>
      <c r="C24" s="731" t="s">
        <v>438</v>
      </c>
      <c r="D24" s="731" t="s">
        <v>16</v>
      </c>
      <c r="E24" s="731">
        <v>0</v>
      </c>
      <c r="F24" s="731" t="s">
        <v>414</v>
      </c>
      <c r="G24" s="731">
        <v>0</v>
      </c>
      <c r="H24" s="731" t="s">
        <v>420</v>
      </c>
      <c r="I24" s="731" t="s">
        <v>38</v>
      </c>
      <c r="J24" s="731">
        <v>0</v>
      </c>
      <c r="K24" s="731">
        <v>0</v>
      </c>
      <c r="L24" s="731" t="s">
        <v>416</v>
      </c>
      <c r="M24" s="731" t="s">
        <v>416</v>
      </c>
      <c r="N24" s="731">
        <v>0</v>
      </c>
    </row>
    <row r="25" spans="1:14" ht="12.75" customHeight="1">
      <c r="A25" s="736"/>
      <c r="B25" s="731" t="s">
        <v>442</v>
      </c>
      <c r="C25" s="731" t="s">
        <v>438</v>
      </c>
      <c r="D25" s="731" t="s">
        <v>14</v>
      </c>
      <c r="E25" s="731">
        <v>0</v>
      </c>
      <c r="F25" s="731" t="s">
        <v>414</v>
      </c>
      <c r="G25" s="731">
        <v>0</v>
      </c>
      <c r="H25" s="731" t="s">
        <v>420</v>
      </c>
      <c r="I25" s="731" t="s">
        <v>38</v>
      </c>
      <c r="J25" s="731">
        <v>0</v>
      </c>
      <c r="K25" s="731">
        <v>0</v>
      </c>
      <c r="L25" s="731" t="s">
        <v>416</v>
      </c>
      <c r="M25" s="731" t="s">
        <v>416</v>
      </c>
      <c r="N25" s="731">
        <v>0</v>
      </c>
    </row>
    <row r="26" spans="1:14" ht="12.75" customHeight="1">
      <c r="A26" s="736"/>
      <c r="B26" s="731" t="s">
        <v>443</v>
      </c>
      <c r="C26" s="731" t="s">
        <v>438</v>
      </c>
      <c r="D26" s="731" t="s">
        <v>5</v>
      </c>
      <c r="E26" s="731">
        <v>0</v>
      </c>
      <c r="F26" s="731" t="s">
        <v>414</v>
      </c>
      <c r="G26" s="731">
        <v>0</v>
      </c>
      <c r="H26" s="731" t="s">
        <v>420</v>
      </c>
      <c r="I26" s="731" t="s">
        <v>38</v>
      </c>
      <c r="J26" s="731">
        <v>0</v>
      </c>
      <c r="K26" s="731">
        <v>0</v>
      </c>
      <c r="L26" s="731" t="s">
        <v>416</v>
      </c>
      <c r="M26" s="731" t="s">
        <v>416</v>
      </c>
      <c r="N26" s="731">
        <v>0</v>
      </c>
    </row>
    <row r="27" spans="1:14" ht="12.75" customHeight="1">
      <c r="A27" s="736"/>
      <c r="B27" s="731" t="s">
        <v>444</v>
      </c>
      <c r="C27" s="731" t="s">
        <v>438</v>
      </c>
      <c r="D27" s="731" t="s">
        <v>9</v>
      </c>
      <c r="E27" s="731">
        <v>100</v>
      </c>
      <c r="F27" s="731" t="s">
        <v>414</v>
      </c>
      <c r="G27" s="731">
        <v>100</v>
      </c>
      <c r="H27" s="731" t="s">
        <v>420</v>
      </c>
      <c r="I27" s="731" t="s">
        <v>38</v>
      </c>
      <c r="J27" s="731">
        <v>100</v>
      </c>
      <c r="K27" s="731">
        <v>100</v>
      </c>
      <c r="L27" s="731" t="s">
        <v>416</v>
      </c>
      <c r="M27" s="731" t="s">
        <v>416</v>
      </c>
      <c r="N27" s="731">
        <v>100</v>
      </c>
    </row>
    <row r="28" spans="1:14" ht="12.75" customHeight="1">
      <c r="A28" s="737"/>
      <c r="B28" s="731" t="s">
        <v>445</v>
      </c>
      <c r="C28" s="731" t="s">
        <v>438</v>
      </c>
      <c r="D28" s="731" t="s">
        <v>4</v>
      </c>
      <c r="E28" s="731">
        <v>0</v>
      </c>
      <c r="F28" s="731" t="s">
        <v>414</v>
      </c>
      <c r="G28" s="731">
        <v>0</v>
      </c>
      <c r="H28" s="731" t="s">
        <v>420</v>
      </c>
      <c r="I28" s="731" t="s">
        <v>38</v>
      </c>
      <c r="J28" s="731">
        <v>0</v>
      </c>
      <c r="K28" s="731">
        <v>0</v>
      </c>
      <c r="L28" s="731" t="s">
        <v>416</v>
      </c>
      <c r="M28" s="731" t="s">
        <v>416</v>
      </c>
      <c r="N28" s="731">
        <v>0</v>
      </c>
    </row>
    <row r="29" spans="1:14" ht="12.75" customHeight="1">
      <c r="A29" s="736" t="s">
        <v>446</v>
      </c>
      <c r="B29" s="731" t="s">
        <v>447</v>
      </c>
      <c r="C29" s="731" t="s">
        <v>448</v>
      </c>
      <c r="D29" s="731" t="s">
        <v>16</v>
      </c>
      <c r="E29" s="732">
        <v>1464961.43</v>
      </c>
      <c r="F29" s="731" t="s">
        <v>414</v>
      </c>
      <c r="G29" s="732">
        <v>726980.28</v>
      </c>
      <c r="H29" s="731" t="s">
        <v>430</v>
      </c>
      <c r="I29" s="731" t="s">
        <v>446</v>
      </c>
      <c r="J29" s="732">
        <v>1464961.43</v>
      </c>
      <c r="K29" s="732">
        <v>726980.28</v>
      </c>
      <c r="L29" s="731" t="s">
        <v>416</v>
      </c>
      <c r="M29" s="731" t="s">
        <v>416</v>
      </c>
      <c r="N29" s="732">
        <v>717991.65</v>
      </c>
    </row>
    <row r="30" spans="1:14" ht="12.75" customHeight="1">
      <c r="A30" s="736"/>
      <c r="B30" s="731" t="s">
        <v>447</v>
      </c>
      <c r="C30" s="731" t="s">
        <v>448</v>
      </c>
      <c r="D30" s="731" t="s">
        <v>16</v>
      </c>
      <c r="E30" s="732">
        <v>1464961.43</v>
      </c>
      <c r="F30" s="731" t="s">
        <v>414</v>
      </c>
      <c r="G30" s="732">
        <v>726980.28</v>
      </c>
      <c r="H30" s="731" t="s">
        <v>430</v>
      </c>
      <c r="I30" s="731" t="s">
        <v>446</v>
      </c>
      <c r="J30" s="732">
        <v>1464961.43</v>
      </c>
      <c r="K30" s="732">
        <v>726980.28</v>
      </c>
      <c r="L30" s="731" t="s">
        <v>416</v>
      </c>
      <c r="M30" s="731" t="s">
        <v>416</v>
      </c>
      <c r="N30" s="732">
        <v>719570.11</v>
      </c>
    </row>
    <row r="31" spans="1:14" ht="12.75" customHeight="1">
      <c r="A31" s="736"/>
      <c r="B31" s="731" t="s">
        <v>447</v>
      </c>
      <c r="C31" s="731" t="s">
        <v>448</v>
      </c>
      <c r="D31" s="731" t="s">
        <v>16</v>
      </c>
      <c r="E31" s="732">
        <v>1464961.43</v>
      </c>
      <c r="F31" s="731" t="s">
        <v>414</v>
      </c>
      <c r="G31" s="732">
        <v>726980.28</v>
      </c>
      <c r="H31" s="731" t="s">
        <v>430</v>
      </c>
      <c r="I31" s="731" t="s">
        <v>446</v>
      </c>
      <c r="J31" s="732">
        <v>1464961.43</v>
      </c>
      <c r="K31" s="732">
        <v>726980.28</v>
      </c>
      <c r="L31" s="731" t="s">
        <v>416</v>
      </c>
      <c r="M31" s="731" t="s">
        <v>416</v>
      </c>
      <c r="N31" s="732">
        <v>721965.57</v>
      </c>
    </row>
    <row r="32" spans="1:14" ht="12.75" customHeight="1">
      <c r="A32" s="736"/>
      <c r="B32" s="731" t="s">
        <v>447</v>
      </c>
      <c r="C32" s="731" t="s">
        <v>448</v>
      </c>
      <c r="D32" s="731" t="s">
        <v>16</v>
      </c>
      <c r="E32" s="732">
        <v>1464961.43</v>
      </c>
      <c r="F32" s="731" t="s">
        <v>414</v>
      </c>
      <c r="G32" s="732">
        <v>726980.28</v>
      </c>
      <c r="H32" s="731" t="s">
        <v>430</v>
      </c>
      <c r="I32" s="731" t="s">
        <v>446</v>
      </c>
      <c r="J32" s="732">
        <v>1464961.43</v>
      </c>
      <c r="K32" s="732">
        <v>726980.28</v>
      </c>
      <c r="L32" s="731" t="s">
        <v>416</v>
      </c>
      <c r="M32" s="731" t="s">
        <v>416</v>
      </c>
      <c r="N32" s="732">
        <v>725871.02</v>
      </c>
    </row>
    <row r="33" spans="1:14" ht="12.75" customHeight="1">
      <c r="A33" s="736"/>
      <c r="B33" s="731" t="s">
        <v>447</v>
      </c>
      <c r="C33" s="731" t="s">
        <v>448</v>
      </c>
      <c r="D33" s="731" t="s">
        <v>16</v>
      </c>
      <c r="E33" s="732">
        <v>1464961.43</v>
      </c>
      <c r="F33" s="731" t="s">
        <v>414</v>
      </c>
      <c r="G33" s="732">
        <v>726980.28</v>
      </c>
      <c r="H33" s="731" t="s">
        <v>430</v>
      </c>
      <c r="I33" s="731" t="s">
        <v>446</v>
      </c>
      <c r="J33" s="732">
        <v>1464961.43</v>
      </c>
      <c r="K33" s="732">
        <v>726980.28</v>
      </c>
      <c r="L33" s="731" t="s">
        <v>416</v>
      </c>
      <c r="M33" s="731" t="s">
        <v>416</v>
      </c>
      <c r="N33" s="732">
        <v>726980.28</v>
      </c>
    </row>
    <row r="34" spans="1:14" ht="12.75" customHeight="1">
      <c r="A34" s="736"/>
      <c r="B34" s="731" t="s">
        <v>447</v>
      </c>
      <c r="C34" s="731" t="s">
        <v>448</v>
      </c>
      <c r="D34" s="731" t="s">
        <v>16</v>
      </c>
      <c r="E34" s="732">
        <v>1464961.43</v>
      </c>
      <c r="F34" s="731" t="s">
        <v>414</v>
      </c>
      <c r="G34" s="732">
        <v>726980.28</v>
      </c>
      <c r="H34" s="731" t="s">
        <v>430</v>
      </c>
      <c r="I34" s="731" t="s">
        <v>446</v>
      </c>
      <c r="J34" s="732">
        <v>1464961.43</v>
      </c>
      <c r="K34" s="732">
        <v>726980.28</v>
      </c>
      <c r="L34" s="731" t="s">
        <v>416</v>
      </c>
      <c r="M34" s="731" t="s">
        <v>416</v>
      </c>
      <c r="N34" s="732">
        <v>729851.88</v>
      </c>
    </row>
    <row r="35" spans="1:14" ht="12.75" customHeight="1">
      <c r="A35" s="737"/>
      <c r="B35" s="731" t="s">
        <v>447</v>
      </c>
      <c r="C35" s="731" t="s">
        <v>448</v>
      </c>
      <c r="D35" s="731" t="s">
        <v>16</v>
      </c>
      <c r="E35" s="732">
        <v>1464961.43</v>
      </c>
      <c r="F35" s="731" t="s">
        <v>414</v>
      </c>
      <c r="G35" s="732">
        <v>726980.28</v>
      </c>
      <c r="H35" s="731" t="s">
        <v>430</v>
      </c>
      <c r="I35" s="731" t="s">
        <v>446</v>
      </c>
      <c r="J35" s="732">
        <v>1464961.43</v>
      </c>
      <c r="K35" s="732">
        <v>726980.28</v>
      </c>
      <c r="L35" s="731" t="s">
        <v>416</v>
      </c>
      <c r="M35" s="731" t="s">
        <v>416</v>
      </c>
      <c r="N35" s="732">
        <v>964961.43</v>
      </c>
    </row>
    <row r="36" spans="1:14" ht="12.75" customHeight="1">
      <c r="A36" s="736" t="s">
        <v>449</v>
      </c>
      <c r="B36" s="731">
        <v>104043440</v>
      </c>
      <c r="C36" s="731" t="s">
        <v>450</v>
      </c>
      <c r="D36" s="731" t="s">
        <v>5</v>
      </c>
      <c r="E36" s="732">
        <v>1118.75</v>
      </c>
      <c r="F36" s="731" t="s">
        <v>451</v>
      </c>
      <c r="G36" s="732">
        <v>1118.75</v>
      </c>
      <c r="H36" s="731" t="s">
        <v>452</v>
      </c>
      <c r="I36" s="731" t="s">
        <v>449</v>
      </c>
      <c r="J36" s="732">
        <v>1118.75</v>
      </c>
      <c r="K36" s="732">
        <v>1118.75</v>
      </c>
      <c r="L36" s="731" t="s">
        <v>414</v>
      </c>
      <c r="M36" s="731" t="s">
        <v>414</v>
      </c>
      <c r="N36" s="732">
        <v>1118.75</v>
      </c>
    </row>
    <row r="37" spans="1:14" ht="12.75" customHeight="1">
      <c r="A37" s="736"/>
      <c r="B37" s="731">
        <v>104051990</v>
      </c>
      <c r="C37" s="731" t="s">
        <v>453</v>
      </c>
      <c r="D37" s="731" t="s">
        <v>5</v>
      </c>
      <c r="E37" s="732">
        <v>57558.68</v>
      </c>
      <c r="F37" s="731" t="s">
        <v>451</v>
      </c>
      <c r="G37" s="732">
        <v>57558.68</v>
      </c>
      <c r="H37" s="731" t="s">
        <v>452</v>
      </c>
      <c r="I37" s="731" t="s">
        <v>449</v>
      </c>
      <c r="J37" s="732">
        <v>57558.68</v>
      </c>
      <c r="K37" s="732">
        <v>57558.68</v>
      </c>
      <c r="L37" s="731" t="s">
        <v>414</v>
      </c>
      <c r="M37" s="731" t="s">
        <v>414</v>
      </c>
      <c r="N37" s="732">
        <v>57558.68</v>
      </c>
    </row>
    <row r="38" spans="1:14" ht="12.75" customHeight="1">
      <c r="A38" s="736"/>
      <c r="B38" s="731">
        <v>104052597</v>
      </c>
      <c r="C38" s="731" t="s">
        <v>454</v>
      </c>
      <c r="D38" s="731" t="s">
        <v>5</v>
      </c>
      <c r="E38" s="732">
        <v>10069.040000000001</v>
      </c>
      <c r="F38" s="731" t="s">
        <v>451</v>
      </c>
      <c r="G38" s="732">
        <v>10069.040000000001</v>
      </c>
      <c r="H38" s="731" t="s">
        <v>452</v>
      </c>
      <c r="I38" s="731" t="s">
        <v>449</v>
      </c>
      <c r="J38" s="732">
        <v>10069.040000000001</v>
      </c>
      <c r="K38" s="732">
        <v>10069.040000000001</v>
      </c>
      <c r="L38" s="731" t="s">
        <v>414</v>
      </c>
      <c r="M38" s="731" t="s">
        <v>414</v>
      </c>
      <c r="N38" s="732">
        <v>10069.040000000001</v>
      </c>
    </row>
    <row r="39" spans="1:14" ht="12.75" customHeight="1">
      <c r="A39" s="736"/>
      <c r="B39" s="731">
        <v>942175107</v>
      </c>
      <c r="C39" s="731" t="s">
        <v>455</v>
      </c>
      <c r="D39" s="731" t="s">
        <v>5</v>
      </c>
      <c r="E39" s="732">
        <v>1330331.03</v>
      </c>
      <c r="F39" s="731" t="s">
        <v>414</v>
      </c>
      <c r="G39" s="732">
        <v>1331889.53</v>
      </c>
      <c r="H39" s="731" t="s">
        <v>452</v>
      </c>
      <c r="I39" s="731" t="s">
        <v>449</v>
      </c>
      <c r="J39" s="732">
        <v>1322334.71</v>
      </c>
      <c r="K39" s="732">
        <v>1242848.3600000001</v>
      </c>
      <c r="L39" s="731" t="s">
        <v>416</v>
      </c>
      <c r="M39" s="731" t="s">
        <v>416</v>
      </c>
      <c r="N39" s="732">
        <v>1242573.3600000001</v>
      </c>
    </row>
    <row r="40" spans="1:14" ht="12.75" customHeight="1">
      <c r="A40" s="736"/>
      <c r="B40" s="731">
        <v>942175107</v>
      </c>
      <c r="C40" s="731" t="s">
        <v>455</v>
      </c>
      <c r="D40" s="731" t="s">
        <v>5</v>
      </c>
      <c r="E40" s="732">
        <v>1330331.03</v>
      </c>
      <c r="F40" s="731" t="s">
        <v>414</v>
      </c>
      <c r="G40" s="732">
        <v>1331889.53</v>
      </c>
      <c r="H40" s="731" t="s">
        <v>452</v>
      </c>
      <c r="I40" s="731" t="s">
        <v>449</v>
      </c>
      <c r="J40" s="732">
        <v>1322334.71</v>
      </c>
      <c r="K40" s="732">
        <v>1242848.3600000001</v>
      </c>
      <c r="L40" s="731" t="s">
        <v>416</v>
      </c>
      <c r="M40" s="731" t="s">
        <v>416</v>
      </c>
      <c r="N40" s="732">
        <v>1242848.3600000001</v>
      </c>
    </row>
    <row r="41" spans="1:14" ht="12.75" customHeight="1">
      <c r="A41" s="736"/>
      <c r="B41" s="731">
        <v>942175107</v>
      </c>
      <c r="C41" s="731" t="s">
        <v>455</v>
      </c>
      <c r="D41" s="731" t="s">
        <v>5</v>
      </c>
      <c r="E41" s="732">
        <v>1330331.03</v>
      </c>
      <c r="F41" s="731" t="s">
        <v>414</v>
      </c>
      <c r="G41" s="732">
        <v>1331889.53</v>
      </c>
      <c r="H41" s="731" t="s">
        <v>452</v>
      </c>
      <c r="I41" s="731" t="s">
        <v>449</v>
      </c>
      <c r="J41" s="732">
        <v>1322334.71</v>
      </c>
      <c r="K41" s="732">
        <v>1242848.3600000001</v>
      </c>
      <c r="L41" s="731" t="s">
        <v>416</v>
      </c>
      <c r="M41" s="731" t="s">
        <v>416</v>
      </c>
      <c r="N41" s="732">
        <v>1265126.21</v>
      </c>
    </row>
    <row r="42" spans="1:14" ht="12.75" customHeight="1">
      <c r="A42" s="736"/>
      <c r="B42" s="731">
        <v>942175107</v>
      </c>
      <c r="C42" s="731" t="s">
        <v>455</v>
      </c>
      <c r="D42" s="731" t="s">
        <v>5</v>
      </c>
      <c r="E42" s="732">
        <v>1330331.03</v>
      </c>
      <c r="F42" s="731" t="s">
        <v>414</v>
      </c>
      <c r="G42" s="732">
        <v>1331889.53</v>
      </c>
      <c r="H42" s="731" t="s">
        <v>452</v>
      </c>
      <c r="I42" s="731" t="s">
        <v>449</v>
      </c>
      <c r="J42" s="732">
        <v>1322334.71</v>
      </c>
      <c r="K42" s="732">
        <v>1242848.3600000001</v>
      </c>
      <c r="L42" s="731" t="s">
        <v>416</v>
      </c>
      <c r="M42" s="731" t="s">
        <v>416</v>
      </c>
      <c r="N42" s="732">
        <v>1266308.74</v>
      </c>
    </row>
    <row r="43" spans="1:14" ht="12.75" customHeight="1">
      <c r="A43" s="737"/>
      <c r="B43" s="731">
        <v>942175107</v>
      </c>
      <c r="C43" s="731" t="s">
        <v>455</v>
      </c>
      <c r="D43" s="731" t="s">
        <v>5</v>
      </c>
      <c r="E43" s="732">
        <v>1330331.03</v>
      </c>
      <c r="F43" s="731" t="s">
        <v>414</v>
      </c>
      <c r="G43" s="732">
        <v>1331889.53</v>
      </c>
      <c r="H43" s="731" t="s">
        <v>452</v>
      </c>
      <c r="I43" s="731" t="s">
        <v>449</v>
      </c>
      <c r="J43" s="732">
        <v>1322334.71</v>
      </c>
      <c r="K43" s="732">
        <v>1242848.3600000001</v>
      </c>
      <c r="L43" s="731" t="s">
        <v>416</v>
      </c>
      <c r="M43" s="731" t="s">
        <v>416</v>
      </c>
      <c r="N43" s="732">
        <v>1310592.76</v>
      </c>
    </row>
    <row r="44" spans="1:14">
      <c r="A44" s="513"/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</row>
    <row r="45" spans="1:14">
      <c r="A45" s="513"/>
      <c r="B45" s="513"/>
      <c r="C45" s="513"/>
      <c r="D45" s="513"/>
      <c r="E45" s="513"/>
      <c r="F45" s="513"/>
      <c r="G45" s="513"/>
      <c r="H45" s="513"/>
      <c r="I45" s="513"/>
      <c r="J45" s="513"/>
      <c r="K45" s="513"/>
      <c r="L45" s="513"/>
      <c r="M45" s="513"/>
      <c r="N45" s="513"/>
    </row>
    <row r="46" spans="1:14">
      <c r="A46" s="513"/>
      <c r="B46" s="513"/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  <c r="N46" s="513"/>
    </row>
    <row r="47" spans="1:14">
      <c r="A47" s="513"/>
      <c r="B47" s="513"/>
      <c r="C47" s="513"/>
      <c r="D47" s="513"/>
      <c r="E47" s="513"/>
      <c r="F47" s="513"/>
      <c r="G47" s="513"/>
      <c r="H47" s="513"/>
      <c r="I47" s="513"/>
      <c r="J47" s="513"/>
      <c r="K47" s="513"/>
      <c r="L47" s="513"/>
      <c r="M47" s="513"/>
      <c r="N47" s="513"/>
    </row>
    <row r="48" spans="1:14">
      <c r="A48" s="513"/>
      <c r="B48" s="513"/>
      <c r="C48" s="513"/>
      <c r="D48" s="513"/>
      <c r="E48" s="513"/>
      <c r="F48" s="513"/>
      <c r="G48" s="513"/>
      <c r="H48" s="513"/>
      <c r="I48" s="513"/>
      <c r="J48" s="513"/>
      <c r="K48" s="513"/>
      <c r="L48" s="513"/>
      <c r="M48" s="513"/>
      <c r="N48" s="513"/>
    </row>
    <row r="49" spans="1:14">
      <c r="A49" s="513"/>
      <c r="B49" s="513"/>
      <c r="C49" s="513"/>
      <c r="D49" s="513"/>
      <c r="E49" s="513"/>
      <c r="F49" s="513"/>
      <c r="G49" s="513"/>
      <c r="H49" s="513"/>
      <c r="I49" s="513"/>
      <c r="J49" s="513"/>
      <c r="K49" s="513"/>
      <c r="L49" s="513"/>
      <c r="M49" s="513"/>
      <c r="N49" s="513"/>
    </row>
    <row r="50" spans="1:14">
      <c r="A50" s="513"/>
      <c r="B50" s="513"/>
      <c r="C50" s="513"/>
      <c r="D50" s="513"/>
      <c r="E50" s="513"/>
      <c r="F50" s="513"/>
      <c r="G50" s="513"/>
      <c r="H50" s="513"/>
      <c r="I50" s="513"/>
      <c r="J50" s="513"/>
      <c r="K50" s="513"/>
      <c r="L50" s="513"/>
      <c r="M50" s="513"/>
      <c r="N50" s="513"/>
    </row>
    <row r="51" spans="1:14">
      <c r="A51" s="513"/>
      <c r="B51" s="513"/>
      <c r="C51" s="513"/>
      <c r="D51" s="513"/>
      <c r="E51" s="513"/>
      <c r="F51" s="513"/>
      <c r="G51" s="513"/>
      <c r="H51" s="513"/>
      <c r="I51" s="513"/>
      <c r="J51" s="513"/>
      <c r="K51" s="513"/>
      <c r="L51" s="513"/>
      <c r="M51" s="513"/>
      <c r="N51" s="513"/>
    </row>
    <row r="52" spans="1:14">
      <c r="A52" s="513"/>
      <c r="B52" s="513"/>
      <c r="C52" s="513"/>
      <c r="D52" s="513"/>
      <c r="E52" s="513"/>
      <c r="F52" s="513"/>
      <c r="G52" s="513"/>
      <c r="H52" s="513"/>
      <c r="I52" s="513"/>
      <c r="J52" s="513"/>
      <c r="K52" s="513"/>
      <c r="L52" s="513"/>
      <c r="M52" s="513"/>
      <c r="N52" s="513"/>
    </row>
    <row r="53" spans="1:14">
      <c r="A53" s="513"/>
      <c r="B53" s="513"/>
      <c r="C53" s="513"/>
      <c r="D53" s="513"/>
      <c r="E53" s="513"/>
      <c r="F53" s="513"/>
      <c r="G53" s="513"/>
      <c r="H53" s="513"/>
      <c r="I53" s="513"/>
      <c r="J53" s="513"/>
      <c r="K53" s="513"/>
      <c r="L53" s="513"/>
      <c r="M53" s="513"/>
      <c r="N53" s="513"/>
    </row>
    <row r="54" spans="1:14">
      <c r="A54" s="513"/>
      <c r="B54" s="513"/>
      <c r="C54" s="513"/>
      <c r="D54" s="513"/>
      <c r="E54" s="513"/>
      <c r="F54" s="513"/>
      <c r="G54" s="513"/>
      <c r="H54" s="513"/>
      <c r="I54" s="513"/>
      <c r="J54" s="513"/>
      <c r="K54" s="513"/>
      <c r="L54" s="513"/>
      <c r="M54" s="513"/>
      <c r="N54" s="513"/>
    </row>
    <row r="55" spans="1:14">
      <c r="A55" s="513"/>
      <c r="B55" s="513"/>
      <c r="C55" s="513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</row>
    <row r="56" spans="1:14">
      <c r="A56" s="513"/>
      <c r="B56" s="513"/>
      <c r="C56" s="513"/>
      <c r="D56" s="513"/>
      <c r="E56" s="513"/>
      <c r="F56" s="513"/>
      <c r="G56" s="513"/>
      <c r="H56" s="513"/>
      <c r="I56" s="513"/>
      <c r="J56" s="513"/>
      <c r="K56" s="513"/>
      <c r="L56" s="513"/>
      <c r="M56" s="513"/>
      <c r="N56" s="513"/>
    </row>
    <row r="57" spans="1:14">
      <c r="A57" s="513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</row>
    <row r="58" spans="1:14">
      <c r="A58" s="513"/>
      <c r="B58" s="513"/>
      <c r="C58" s="513"/>
      <c r="D58" s="513"/>
      <c r="E58" s="513"/>
      <c r="F58" s="513"/>
      <c r="G58" s="513"/>
      <c r="H58" s="513"/>
      <c r="I58" s="513"/>
      <c r="J58" s="513"/>
      <c r="K58" s="513"/>
      <c r="L58" s="513"/>
      <c r="M58" s="513"/>
      <c r="N58" s="513"/>
    </row>
    <row r="59" spans="1:14">
      <c r="A59" s="513"/>
      <c r="B59" s="513"/>
      <c r="C59" s="513"/>
      <c r="D59" s="513"/>
      <c r="E59" s="513"/>
      <c r="F59" s="513"/>
      <c r="G59" s="513"/>
      <c r="H59" s="513"/>
      <c r="I59" s="513"/>
      <c r="J59" s="513"/>
      <c r="K59" s="513"/>
      <c r="L59" s="513"/>
      <c r="M59" s="513"/>
      <c r="N59" s="513"/>
    </row>
    <row r="60" spans="1:14">
      <c r="A60" s="513"/>
      <c r="B60" s="513"/>
      <c r="C60" s="513"/>
      <c r="D60" s="513"/>
      <c r="E60" s="513"/>
      <c r="F60" s="513"/>
      <c r="G60" s="513"/>
      <c r="H60" s="513"/>
      <c r="I60" s="513"/>
      <c r="J60" s="513"/>
      <c r="K60" s="513"/>
      <c r="L60" s="513"/>
      <c r="M60" s="513"/>
      <c r="N60" s="513"/>
    </row>
    <row r="61" spans="1:14">
      <c r="A61" s="513"/>
      <c r="B61" s="513"/>
      <c r="C61" s="513"/>
      <c r="D61" s="513"/>
      <c r="E61" s="513"/>
      <c r="F61" s="513"/>
      <c r="G61" s="513"/>
      <c r="H61" s="513"/>
      <c r="I61" s="513"/>
      <c r="J61" s="513"/>
      <c r="K61" s="513"/>
      <c r="L61" s="513"/>
      <c r="M61" s="513"/>
      <c r="N61" s="513"/>
    </row>
    <row r="62" spans="1:14">
      <c r="A62" s="513"/>
      <c r="B62" s="513"/>
      <c r="C62" s="513"/>
      <c r="D62" s="513"/>
      <c r="E62" s="513"/>
      <c r="F62" s="513"/>
      <c r="G62" s="513"/>
      <c r="H62" s="513"/>
      <c r="I62" s="513"/>
      <c r="J62" s="513"/>
      <c r="K62" s="513"/>
      <c r="L62" s="513"/>
      <c r="M62" s="513"/>
      <c r="N62" s="513"/>
    </row>
    <row r="63" spans="1:14">
      <c r="A63" s="513"/>
      <c r="B63" s="513"/>
      <c r="C63" s="513"/>
      <c r="D63" s="513"/>
      <c r="E63" s="513"/>
      <c r="F63" s="513"/>
      <c r="G63" s="513"/>
      <c r="H63" s="513"/>
      <c r="I63" s="513"/>
      <c r="J63" s="513"/>
      <c r="K63" s="513"/>
      <c r="L63" s="513"/>
      <c r="M63" s="513"/>
      <c r="N63" s="513"/>
    </row>
    <row r="64" spans="1:14">
      <c r="A64" s="513"/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</row>
    <row r="65" spans="1:14">
      <c r="A65" s="513"/>
      <c r="B65" s="513"/>
      <c r="C65" s="513"/>
      <c r="D65" s="513"/>
      <c r="E65" s="513"/>
      <c r="F65" s="513"/>
      <c r="G65" s="513"/>
      <c r="H65" s="513"/>
      <c r="I65" s="513"/>
      <c r="J65" s="513"/>
      <c r="K65" s="513"/>
      <c r="L65" s="513"/>
      <c r="M65" s="513"/>
      <c r="N65" s="513"/>
    </row>
    <row r="66" spans="1:14">
      <c r="A66" s="513"/>
      <c r="B66" s="513"/>
      <c r="C66" s="513"/>
      <c r="D66" s="513"/>
      <c r="E66" s="513"/>
      <c r="F66" s="513"/>
      <c r="G66" s="513"/>
      <c r="H66" s="513"/>
      <c r="I66" s="513"/>
      <c r="J66" s="513"/>
      <c r="K66" s="513"/>
      <c r="L66" s="513"/>
      <c r="M66" s="513"/>
      <c r="N66" s="513"/>
    </row>
    <row r="67" spans="1:14">
      <c r="A67" s="513"/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</row>
    <row r="68" spans="1:14">
      <c r="A68" s="513"/>
      <c r="B68" s="513"/>
      <c r="C68" s="513"/>
      <c r="D68" s="513"/>
      <c r="E68" s="513"/>
      <c r="F68" s="513"/>
      <c r="G68" s="513"/>
      <c r="H68" s="513"/>
      <c r="I68" s="513"/>
      <c r="J68" s="513"/>
      <c r="K68" s="513"/>
      <c r="L68" s="513"/>
      <c r="M68" s="513"/>
      <c r="N68" s="513"/>
    </row>
    <row r="69" spans="1:14">
      <c r="A69" s="513"/>
      <c r="B69" s="513"/>
      <c r="C69" s="513"/>
      <c r="D69" s="513"/>
      <c r="E69" s="513"/>
      <c r="F69" s="513"/>
      <c r="G69" s="513"/>
      <c r="H69" s="513"/>
      <c r="I69" s="513"/>
      <c r="J69" s="513"/>
      <c r="K69" s="513"/>
      <c r="L69" s="513"/>
      <c r="M69" s="513"/>
      <c r="N69" s="513"/>
    </row>
    <row r="70" spans="1:14">
      <c r="A70" s="513"/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</row>
    <row r="71" spans="1:14">
      <c r="A71" s="513"/>
      <c r="B71" s="513"/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</row>
    <row r="72" spans="1:14">
      <c r="A72" s="513"/>
      <c r="B72" s="513"/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</row>
    <row r="73" spans="1:14">
      <c r="A73" s="513"/>
      <c r="B73" s="513"/>
      <c r="C73" s="513"/>
      <c r="D73" s="513"/>
      <c r="E73" s="513"/>
      <c r="F73" s="513"/>
      <c r="G73" s="513"/>
      <c r="H73" s="513"/>
      <c r="I73" s="513"/>
      <c r="J73" s="513"/>
      <c r="K73" s="513"/>
      <c r="L73" s="513"/>
      <c r="M73" s="513"/>
      <c r="N73" s="513"/>
    </row>
    <row r="74" spans="1:14">
      <c r="A74" s="513"/>
      <c r="B74" s="513"/>
      <c r="C74" s="513"/>
      <c r="D74" s="513"/>
      <c r="E74" s="513"/>
      <c r="F74" s="513"/>
      <c r="G74" s="513"/>
      <c r="H74" s="513"/>
      <c r="I74" s="513"/>
      <c r="J74" s="513"/>
      <c r="K74" s="513"/>
      <c r="L74" s="513"/>
      <c r="M74" s="513"/>
      <c r="N74" s="513"/>
    </row>
    <row r="75" spans="1:14">
      <c r="A75" s="513"/>
      <c r="B75" s="513"/>
      <c r="C75" s="513"/>
      <c r="D75" s="513"/>
      <c r="E75" s="513"/>
      <c r="F75" s="513"/>
      <c r="G75" s="513"/>
      <c r="H75" s="513"/>
      <c r="I75" s="513"/>
      <c r="J75" s="513"/>
      <c r="K75" s="513"/>
      <c r="L75" s="513"/>
      <c r="M75" s="513"/>
      <c r="N75" s="513"/>
    </row>
    <row r="76" spans="1:14">
      <c r="A76" s="513"/>
      <c r="B76" s="513"/>
      <c r="C76" s="513"/>
      <c r="D76" s="513"/>
      <c r="E76" s="513"/>
      <c r="F76" s="513"/>
      <c r="G76" s="513"/>
      <c r="H76" s="513"/>
      <c r="I76" s="513"/>
      <c r="J76" s="513"/>
      <c r="K76" s="513"/>
      <c r="L76" s="513"/>
      <c r="M76" s="513"/>
      <c r="N76" s="513"/>
    </row>
    <row r="77" spans="1:14">
      <c r="A77" s="513"/>
      <c r="B77" s="513"/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</row>
  </sheetData>
  <autoFilter ref="A3:N33" xr:uid="{00000000-0009-0000-0000-000003000000}"/>
  <mergeCells count="8">
    <mergeCell ref="A20:A28"/>
    <mergeCell ref="A29:A35"/>
    <mergeCell ref="A36:A43"/>
    <mergeCell ref="A1:N2"/>
    <mergeCell ref="A4:A6"/>
    <mergeCell ref="A7:A9"/>
    <mergeCell ref="A11:A17"/>
    <mergeCell ref="A18:A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92"/>
  <sheetViews>
    <sheetView showGridLines="0" topLeftCell="H6" zoomScale="85" zoomScaleNormal="85" workbookViewId="0">
      <selection activeCell="X32" sqref="X32"/>
    </sheetView>
  </sheetViews>
  <sheetFormatPr defaultColWidth="8.7109375" defaultRowHeight="12"/>
  <cols>
    <col min="1" max="1" width="18.28515625" style="16" customWidth="1"/>
    <col min="2" max="2" width="13.5703125" style="16" bestFit="1" customWidth="1"/>
    <col min="3" max="3" width="15.5703125" style="16" bestFit="1" customWidth="1"/>
    <col min="4" max="5" width="13.5703125" style="16" bestFit="1" customWidth="1"/>
    <col min="6" max="6" width="14.140625" style="16" bestFit="1" customWidth="1"/>
    <col min="7" max="7" width="13" style="16" bestFit="1" customWidth="1"/>
    <col min="8" max="8" width="14.140625" style="16" bestFit="1" customWidth="1"/>
    <col min="9" max="9" width="13.5703125" style="16" bestFit="1" customWidth="1"/>
    <col min="10" max="10" width="14.42578125" style="16" bestFit="1" customWidth="1"/>
    <col min="11" max="11" width="12.42578125" style="16" bestFit="1" customWidth="1"/>
    <col min="12" max="12" width="13" style="16" bestFit="1" customWidth="1"/>
    <col min="13" max="13" width="17.140625" style="16" bestFit="1" customWidth="1"/>
    <col min="14" max="14" width="13.5703125" style="16" bestFit="1" customWidth="1"/>
    <col min="15" max="15" width="17.140625" style="16" bestFit="1" customWidth="1"/>
    <col min="16" max="17" width="14.42578125" style="16" bestFit="1" customWidth="1"/>
    <col min="18" max="18" width="12" style="16" bestFit="1" customWidth="1"/>
    <col min="19" max="19" width="11.140625" style="16" bestFit="1" customWidth="1"/>
    <col min="20" max="20" width="16.85546875" style="16" bestFit="1" customWidth="1"/>
    <col min="21" max="21" width="13.5703125" style="16" customWidth="1"/>
    <col min="22" max="22" width="14.140625" style="16" customWidth="1"/>
    <col min="23" max="23" width="10.7109375" style="16" bestFit="1" customWidth="1"/>
    <col min="24" max="24" width="16" style="16" bestFit="1" customWidth="1"/>
    <col min="25" max="25" width="13.140625" style="16" bestFit="1" customWidth="1"/>
    <col min="26" max="26" width="11.5703125" style="16" bestFit="1" customWidth="1"/>
    <col min="27" max="27" width="12" style="16" bestFit="1" customWidth="1"/>
    <col min="28" max="29" width="10.7109375" style="16" bestFit="1" customWidth="1"/>
    <col min="30" max="16384" width="8.7109375" style="16"/>
  </cols>
  <sheetData>
    <row r="1" spans="1:15" ht="30.6" customHeight="1">
      <c r="A1" s="397" t="s">
        <v>456</v>
      </c>
      <c r="B1" s="398" t="s">
        <v>7</v>
      </c>
      <c r="C1" s="399" t="s">
        <v>19</v>
      </c>
      <c r="D1" s="399" t="s">
        <v>3</v>
      </c>
      <c r="E1" s="399" t="s">
        <v>5</v>
      </c>
      <c r="F1" s="399" t="s">
        <v>4</v>
      </c>
      <c r="G1" s="399" t="s">
        <v>2</v>
      </c>
      <c r="H1" s="399" t="s">
        <v>9</v>
      </c>
      <c r="I1" s="399" t="s">
        <v>289</v>
      </c>
      <c r="J1" s="399" t="s">
        <v>6</v>
      </c>
      <c r="K1" s="399" t="s">
        <v>259</v>
      </c>
      <c r="L1" s="399" t="s">
        <v>16</v>
      </c>
      <c r="M1" s="399" t="s">
        <v>298</v>
      </c>
      <c r="N1" s="399" t="s">
        <v>14</v>
      </c>
      <c r="O1" s="400" t="s">
        <v>15</v>
      </c>
    </row>
    <row r="2" spans="1:15" s="17" customFormat="1">
      <c r="A2" s="401" t="s">
        <v>311</v>
      </c>
      <c r="B2" s="402">
        <f>SUMIFS('Lista contas'!$I:$I,'Lista contas'!$D:$D,Tabelas!$A2,'Lista contas'!$E:$E,Tabelas!B$1)</f>
        <v>910</v>
      </c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4"/>
    </row>
    <row r="3" spans="1:15" s="17" customFormat="1">
      <c r="A3" s="405" t="s">
        <v>457</v>
      </c>
      <c r="B3" s="406"/>
      <c r="C3" s="407">
        <f>SUMIFS('Lista contas'!$I:$I,'Lista contas'!$D:$D,Tabelas!$A3,'Lista contas'!$E:$E,Tabelas!C$1)</f>
        <v>24656134.399999999</v>
      </c>
      <c r="D3" s="407">
        <f>SUMIFS('Lista contas'!$I:$I,'Lista contas'!$D:$D,Tabelas!$A3,'Lista contas'!$E:$E,Tabelas!D$1)</f>
        <v>1181932</v>
      </c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8"/>
    </row>
    <row r="4" spans="1:15" s="17" customFormat="1">
      <c r="A4" s="405" t="s">
        <v>12</v>
      </c>
      <c r="B4" s="406"/>
      <c r="C4" s="407"/>
      <c r="D4" s="407"/>
      <c r="E4" s="407">
        <f>SUMIFS('Lista contas'!$I:$I,'Lista contas'!$D:$D,Tabelas!$A4,'Lista contas'!$E:$E,Tabelas!E$1)</f>
        <v>3765</v>
      </c>
      <c r="F4" s="407">
        <f>SUMIFS('Lista contas'!$I:$I,'Lista contas'!$D:$D,Tabelas!$A4,'Lista contas'!$E:$E,Tabelas!F$1)</f>
        <v>25254</v>
      </c>
      <c r="G4" s="407">
        <f>SUMIFS('Lista contas'!$I:$I,'Lista contas'!$D:$D,Tabelas!$A4,'Lista contas'!$E:$E,Tabelas!G$1)</f>
        <v>97389</v>
      </c>
      <c r="H4" s="407">
        <f>SUMIFS('Lista contas'!$I:$I,'Lista contas'!$D:$D,Tabelas!$A4,'Lista contas'!$E:$E,Tabelas!H$1)</f>
        <v>217583</v>
      </c>
      <c r="I4" s="407"/>
      <c r="J4" s="407"/>
      <c r="K4" s="407"/>
      <c r="L4" s="407"/>
      <c r="M4" s="407"/>
      <c r="N4" s="407"/>
      <c r="O4" s="408"/>
    </row>
    <row r="5" spans="1:15" s="17" customFormat="1">
      <c r="A5" s="405" t="s">
        <v>458</v>
      </c>
      <c r="B5" s="406"/>
      <c r="C5" s="407"/>
      <c r="D5" s="407"/>
      <c r="E5" s="407"/>
      <c r="F5" s="407"/>
      <c r="G5" s="407"/>
      <c r="H5" s="407"/>
      <c r="I5" s="407">
        <f>SUMIFS('Lista contas'!$I:$I,'Lista contas'!$D:$D,Tabelas!$A5,'Lista contas'!$E:$E,Tabelas!I$1)</f>
        <v>5873184</v>
      </c>
      <c r="J5" s="407"/>
      <c r="K5" s="407"/>
      <c r="L5" s="407"/>
      <c r="M5" s="407"/>
      <c r="N5" s="407"/>
      <c r="O5" s="408"/>
    </row>
    <row r="6" spans="1:15" s="17" customFormat="1">
      <c r="A6" s="405" t="s">
        <v>459</v>
      </c>
      <c r="B6" s="406"/>
      <c r="C6" s="407"/>
      <c r="D6" s="407"/>
      <c r="E6" s="407">
        <f>SUMIFS('Lista contas'!$I:$I,'Lista contas'!$D:$D,Tabelas!$A6,'Lista contas'!$E:$E,Tabelas!E$1)</f>
        <v>182333</v>
      </c>
      <c r="F6" s="407"/>
      <c r="G6" s="407">
        <f>SUMIFS('Lista contas'!$I:$I,'Lista contas'!$D:$D,Tabelas!$A6,'Lista contas'!$E:$E,Tabelas!G$1)</f>
        <v>38141</v>
      </c>
      <c r="H6" s="407"/>
      <c r="I6" s="407"/>
      <c r="J6" s="407">
        <f>SUMIFS('Lista contas'!$I:$I,'Lista contas'!$D:$D,Tabelas!$A6,'Lista contas'!$E:$E,Tabelas!J$1)</f>
        <v>40793285</v>
      </c>
      <c r="K6" s="407"/>
      <c r="L6" s="407"/>
      <c r="M6" s="407"/>
      <c r="N6" s="407"/>
      <c r="O6" s="408"/>
    </row>
    <row r="7" spans="1:15" s="17" customFormat="1">
      <c r="A7" s="405" t="s">
        <v>460</v>
      </c>
      <c r="B7" s="406"/>
      <c r="C7" s="407"/>
      <c r="D7" s="407"/>
      <c r="E7" s="407"/>
      <c r="F7" s="407"/>
      <c r="G7" s="407">
        <f>SUMIFS('Lista contas'!$I:$I,'Lista contas'!$D:$D,Tabelas!$A7,'Lista contas'!$E:$E,Tabelas!G$1)</f>
        <v>177608</v>
      </c>
      <c r="H7" s="407"/>
      <c r="I7" s="407"/>
      <c r="J7" s="407"/>
      <c r="K7" s="407"/>
      <c r="L7" s="407"/>
      <c r="M7" s="407"/>
      <c r="N7" s="407"/>
      <c r="O7" s="408"/>
    </row>
    <row r="8" spans="1:15" s="17" customFormat="1">
      <c r="A8" s="405" t="s">
        <v>306</v>
      </c>
      <c r="B8" s="406">
        <f>SUMIFS('Lista contas'!$I:$I,'Lista contas'!$D:$D,Tabelas!$A8,'Lista contas'!$E:$E,Tabelas!B$1)</f>
        <v>744835.5</v>
      </c>
      <c r="C8" s="407">
        <f>SUMIFS('Lista contas'!$I:$I,'Lista contas'!$D:$D,Tabelas!$A8,'Lista contas'!$E:$E,Tabelas!C$1)</f>
        <v>0</v>
      </c>
      <c r="D8" s="407"/>
      <c r="E8" s="407">
        <f>SUMIFS('Lista contas'!$I:$I,'Lista contas'!$D:$D,Tabelas!$A8,'Lista contas'!$E:$E,Tabelas!E$1)</f>
        <v>1400636</v>
      </c>
      <c r="F8" s="407">
        <f>SUMIFS('Lista contas'!$I:$I,'Lista contas'!$D:$D,Tabelas!$A8,'Lista contas'!$E:$E,Tabelas!F$1)</f>
        <v>8632.57</v>
      </c>
      <c r="G8" s="407">
        <f>SUMIFS('Lista contas'!$I:$I,'Lista contas'!$D:$D,Tabelas!$A8,'Lista contas'!$E:$E,Tabelas!G$1)</f>
        <v>13303988.57</v>
      </c>
      <c r="H8" s="407">
        <f>SUMIFS('Lista contas'!$I:$I,'Lista contas'!$D:$D,Tabelas!$A8,'Lista contas'!$E:$E,Tabelas!H$1)</f>
        <v>105391.54999999999</v>
      </c>
      <c r="I8" s="407"/>
      <c r="J8" s="407">
        <f>SUMIFS('Lista contas'!$I:$I,'Lista contas'!$D:$D,Tabelas!$A8,'Lista contas'!$E:$E,Tabelas!J$1)</f>
        <v>10000000</v>
      </c>
      <c r="K8" s="407">
        <f>SUMIFS('Lista contas'!$I:$I,'Lista contas'!$D:$D,Tabelas!$A8,'Lista contas'!$E:$E,Tabelas!K$1)</f>
        <v>2100476.5</v>
      </c>
      <c r="L8" s="407">
        <f>SUMIFS('Lista contas'!$I:$I,'Lista contas'!$D:$D,Tabelas!$A8,'Lista contas'!$E:$E,Tabelas!L$1)</f>
        <v>726980.28</v>
      </c>
      <c r="M8" s="407">
        <f>SUMIFS('Lista contas'!$I:$I,'Lista contas'!$D:$D,Tabelas!$A8,'Lista contas'!$E:$E,Tabelas!M$1)</f>
        <v>3688612211</v>
      </c>
      <c r="N8" s="407">
        <f>SUMIFS('Lista contas'!$I:$I,'Lista contas'!$D:$D,Tabelas!$A8,'Lista contas'!$E:$E,Tabelas!N$1)</f>
        <v>0</v>
      </c>
      <c r="O8" s="408"/>
    </row>
    <row r="9" spans="1:15" s="17" customFormat="1">
      <c r="A9" s="405" t="s">
        <v>336</v>
      </c>
      <c r="B9" s="406">
        <f>SUMIFS('Lista contas'!$I:$I,'Lista contas'!$D:$D,Tabelas!$A9,'Lista contas'!$E:$E,Tabelas!B$1)</f>
        <v>3191</v>
      </c>
      <c r="C9" s="407">
        <f>SUMIFS('Lista contas'!$I:$I,'Lista contas'!$D:$D,Tabelas!$A9,'Lista contas'!$E:$E,Tabelas!C$1)</f>
        <v>123856</v>
      </c>
      <c r="D9" s="407">
        <f>SUMIFS('Lista contas'!$I:$I,'Lista contas'!$D:$D,Tabelas!$A9,'Lista contas'!$E:$E,Tabelas!D$1)</f>
        <v>505677</v>
      </c>
      <c r="E9" s="407">
        <f>SUMIFS('Lista contas'!$I:$I,'Lista contas'!$D:$D,Tabelas!$A9,'Lista contas'!$E:$E,Tabelas!E$1)</f>
        <v>602660</v>
      </c>
      <c r="F9" s="407">
        <f>SUMIFS('Lista contas'!$I:$I,'Lista contas'!$D:$D,Tabelas!$A9,'Lista contas'!$E:$E,Tabelas!F$1)</f>
        <v>4284564</v>
      </c>
      <c r="G9" s="407">
        <f>SUMIFS('Lista contas'!$I:$I,'Lista contas'!$D:$D,Tabelas!$A9,'Lista contas'!$E:$E,Tabelas!G$1)</f>
        <v>7615350</v>
      </c>
      <c r="H9" s="407">
        <f>SUMIFS('Lista contas'!$I:$I,'Lista contas'!$D:$D,Tabelas!$A9,'Lista contas'!$E:$E,Tabelas!H$1)</f>
        <v>35238</v>
      </c>
      <c r="I9" s="407"/>
      <c r="J9" s="407">
        <f>SUMIFS('Lista contas'!$I:$I,'Lista contas'!$D:$D,Tabelas!$A9,'Lista contas'!$E:$E,Tabelas!J$1)</f>
        <v>47808</v>
      </c>
      <c r="K9" s="407"/>
      <c r="L9" s="407">
        <f>SUMIFS('Lista contas'!$I:$I,'Lista contas'!$D:$D,Tabelas!$A9,'Lista contas'!$E:$E,Tabelas!L$1)</f>
        <v>548622</v>
      </c>
      <c r="M9" s="407"/>
      <c r="N9" s="407">
        <f>SUMIFS('Lista contas'!$I:$I,'Lista contas'!$D:$D,Tabelas!$A9,'Lista contas'!$E:$E,Tabelas!N$1)</f>
        <v>49909</v>
      </c>
      <c r="O9" s="408">
        <f>SUMIFS('Lista contas'!$I:$I,'Lista contas'!$D:$D,Tabelas!$A9,'Lista contas'!$E:$E,Tabelas!O$1)</f>
        <v>5547150</v>
      </c>
    </row>
    <row r="10" spans="1:15" s="17" customFormat="1">
      <c r="A10" s="405" t="s">
        <v>11</v>
      </c>
      <c r="B10" s="406">
        <f>SUMIFS('Lista contas'!$I:$I,'Lista contas'!$D:$D,Tabelas!$A10,'Lista contas'!$E:$E,Tabelas!B$1)</f>
        <v>110294.84</v>
      </c>
      <c r="C10" s="407"/>
      <c r="D10" s="407">
        <f>SUMIFS('Lista contas'!$I:$I,'Lista contas'!$D:$D,Tabelas!$A10,'Lista contas'!$E:$E,Tabelas!D$1)</f>
        <v>1978284.83</v>
      </c>
      <c r="E10" s="407">
        <f>SUMIFS('Lista contas'!$I:$I,'Lista contas'!$D:$D,Tabelas!$A10,'Lista contas'!$E:$E,Tabelas!E$1)</f>
        <v>57733.05</v>
      </c>
      <c r="F10" s="407">
        <f>SUMIFS('Lista contas'!$I:$I,'Lista contas'!$D:$D,Tabelas!$A10,'Lista contas'!$E:$E,Tabelas!F$1)</f>
        <v>169635.45</v>
      </c>
      <c r="G10" s="407">
        <f>SUMIFS('Lista contas'!$I:$I,'Lista contas'!$D:$D,Tabelas!$A10,'Lista contas'!$E:$E,Tabelas!G$1)</f>
        <v>197263.6</v>
      </c>
      <c r="H10" s="407"/>
      <c r="I10" s="407"/>
      <c r="J10" s="407">
        <f>SUMIFS('Lista contas'!$I:$I,'Lista contas'!$D:$D,Tabelas!$A10,'Lista contas'!$E:$E,Tabelas!J$1)</f>
        <v>302760.11</v>
      </c>
      <c r="K10" s="407"/>
      <c r="L10" s="407"/>
      <c r="M10" s="407"/>
      <c r="N10" s="407"/>
      <c r="O10" s="408"/>
    </row>
    <row r="11" spans="1:15" s="17" customFormat="1">
      <c r="A11" s="405" t="s">
        <v>461</v>
      </c>
      <c r="B11" s="406"/>
      <c r="C11" s="407"/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>
        <f>SUMIFS('Lista contas'!$I:$I,'Lista contas'!$D:$D,Tabelas!$A11,'Lista contas'!$E:$E,Tabelas!N$1)</f>
        <v>914806</v>
      </c>
      <c r="O11" s="408"/>
    </row>
    <row r="12" spans="1:15" s="17" customFormat="1">
      <c r="A12" s="405" t="s">
        <v>462</v>
      </c>
      <c r="B12" s="406"/>
      <c r="C12" s="407"/>
      <c r="D12" s="407"/>
      <c r="E12" s="407"/>
      <c r="F12" s="407"/>
      <c r="G12" s="407">
        <f>SUMIFS('Lista contas'!$I:$I,'Lista contas'!$D:$D,Tabelas!$A12,'Lista contas'!$E:$E,Tabelas!G$1)</f>
        <v>530728</v>
      </c>
      <c r="H12" s="407"/>
      <c r="I12" s="407"/>
      <c r="J12" s="407"/>
      <c r="K12" s="407"/>
      <c r="L12" s="407"/>
      <c r="M12" s="407"/>
      <c r="N12" s="407"/>
      <c r="O12" s="408"/>
    </row>
    <row r="13" spans="1:15" s="17" customFormat="1">
      <c r="A13" s="405" t="s">
        <v>463</v>
      </c>
      <c r="B13" s="406"/>
      <c r="C13" s="407"/>
      <c r="D13" s="407"/>
      <c r="E13" s="407"/>
      <c r="F13" s="407"/>
      <c r="G13" s="407"/>
      <c r="H13" s="407">
        <f>SUMIFS('Lista contas'!$I:$I,'Lista contas'!$D:$D,Tabelas!$A13,'Lista contas'!$E:$E,Tabelas!H$1)</f>
        <v>109617</v>
      </c>
      <c r="I13" s="407"/>
      <c r="J13" s="407"/>
      <c r="K13" s="407"/>
      <c r="L13" s="407"/>
      <c r="M13" s="407"/>
      <c r="N13" s="407"/>
      <c r="O13" s="408"/>
    </row>
    <row r="14" spans="1:15" s="17" customFormat="1">
      <c r="A14" s="405" t="s">
        <v>304</v>
      </c>
      <c r="B14" s="406"/>
      <c r="C14" s="407"/>
      <c r="D14" s="407"/>
      <c r="E14" s="407"/>
      <c r="F14" s="407"/>
      <c r="G14" s="407"/>
      <c r="H14" s="407"/>
      <c r="I14" s="407"/>
      <c r="J14" s="407"/>
      <c r="K14" s="407">
        <f>SUMIFS('Lista contas'!$I:$I,'Lista contas'!$D:$D,Tabelas!$A14,'Lista contas'!$E:$E,Tabelas!K$1)</f>
        <v>9125</v>
      </c>
      <c r="L14" s="407">
        <f>SUMIFS('Lista contas'!$I:$I,'Lista contas'!$D:$D,Tabelas!$A14,'Lista contas'!$E:$E,Tabelas!L$1)</f>
        <v>555477</v>
      </c>
      <c r="M14" s="407"/>
      <c r="N14" s="407"/>
      <c r="O14" s="408"/>
    </row>
    <row r="15" spans="1:15" s="44" customFormat="1">
      <c r="A15" s="409" t="s">
        <v>281</v>
      </c>
      <c r="B15" s="410">
        <f t="shared" ref="B15:O15" si="0">SUM(B2:B14)</f>
        <v>859231.34</v>
      </c>
      <c r="C15" s="411">
        <f t="shared" si="0"/>
        <v>24779990.399999999</v>
      </c>
      <c r="D15" s="411">
        <f t="shared" si="0"/>
        <v>3665893.83</v>
      </c>
      <c r="E15" s="411">
        <f t="shared" si="0"/>
        <v>2247127.0499999998</v>
      </c>
      <c r="F15" s="411">
        <f t="shared" si="0"/>
        <v>4488086.0200000005</v>
      </c>
      <c r="G15" s="411">
        <f t="shared" si="0"/>
        <v>21960468.170000002</v>
      </c>
      <c r="H15" s="411">
        <f t="shared" si="0"/>
        <v>467829.55</v>
      </c>
      <c r="I15" s="411">
        <f t="shared" si="0"/>
        <v>5873184</v>
      </c>
      <c r="J15" s="411">
        <f t="shared" si="0"/>
        <v>51143853.109999999</v>
      </c>
      <c r="K15" s="411">
        <f t="shared" si="0"/>
        <v>2109601.5</v>
      </c>
      <c r="L15" s="411">
        <f t="shared" si="0"/>
        <v>1831079.28</v>
      </c>
      <c r="M15" s="411">
        <f t="shared" si="0"/>
        <v>3688612211</v>
      </c>
      <c r="N15" s="411">
        <f t="shared" si="0"/>
        <v>964715</v>
      </c>
      <c r="O15" s="412">
        <f t="shared" si="0"/>
        <v>5547150</v>
      </c>
    </row>
    <row r="16" spans="1:15" s="44" customFormat="1">
      <c r="A16" s="409" t="s">
        <v>464</v>
      </c>
      <c r="B16" s="413">
        <f>VLOOKUP(B$1,'Summary - Colar'!$M$38:$N$54,2,FALSE)</f>
        <v>1.7834989999999999</v>
      </c>
      <c r="C16" s="414">
        <f>VLOOKUP(C$1,'Summary - Colar'!$M$38:$N$54,2,FALSE)</f>
        <v>11.709999</v>
      </c>
      <c r="D16" s="414">
        <f>VLOOKUP(D$1,'Summary - Colar'!$M$38:$N$54,2,FALSE)</f>
        <v>7.4596999999999998</v>
      </c>
      <c r="E16" s="414">
        <f>VLOOKUP(E$1,'Summary - Colar'!$M$38:$N$54,2,FALSE)</f>
        <v>1.1608000000000001</v>
      </c>
      <c r="F16" s="414">
        <f>VLOOKUP(F$1,'Summary - Colar'!$M$38:$N$54,2,FALSE)</f>
        <v>0.8528</v>
      </c>
      <c r="G16" s="414">
        <f>VLOOKUP(G$1,'Summary - Colar'!$M$38:$N$54,2,FALSE)</f>
        <v>1</v>
      </c>
      <c r="H16" s="414">
        <f>VLOOKUP(H$1,'Summary - Colar'!$M$38:$N$54,2,FALSE)</f>
        <v>0.93874999999999997</v>
      </c>
      <c r="I16" s="414">
        <f>VLOOKUP(I$1,'Summary - Colar'!$M$38:$N$54,2,FALSE)</f>
        <v>19.358802000000001</v>
      </c>
      <c r="J16" s="414">
        <f>VLOOKUP(J$1,'Summary - Colar'!$M$38:$N$54,2,FALSE)</f>
        <v>11.064005</v>
      </c>
      <c r="K16" s="414">
        <f>VLOOKUP(K$1,'Summary - Colar'!$M$38:$N$54,2,FALSE)</f>
        <v>4.8617999999999997</v>
      </c>
      <c r="L16" s="414">
        <f>VLOOKUP(L$1,'Summary - Colar'!$M$38:$N$54,2,FALSE)</f>
        <v>1.4857499999999999</v>
      </c>
      <c r="M16" s="414">
        <f>VLOOKUP(M$1,'Summary - Colar'!$M$38:$N$54,2,FALSE)</f>
        <v>17029.972752000001</v>
      </c>
      <c r="N16" s="414">
        <f>VLOOKUP(N$1,'Summary - Colar'!$M$38:$N$54,2,FALSE)</f>
        <v>1.5035000000000001</v>
      </c>
      <c r="O16" s="415">
        <f>VLOOKUP(O$1,'Summary - Colar'!$M$38:$N$54,2,FALSE)</f>
        <v>4.2567500000000003</v>
      </c>
    </row>
    <row r="17" spans="1:24" s="44" customFormat="1">
      <c r="A17" s="416" t="s">
        <v>465</v>
      </c>
      <c r="B17" s="417">
        <f>B15/B16</f>
        <v>481767.21153193805</v>
      </c>
      <c r="C17" s="418">
        <f t="shared" ref="C17:O17" si="1">C15/C16</f>
        <v>2116139.412138293</v>
      </c>
      <c r="D17" s="418">
        <f t="shared" si="1"/>
        <v>491426.44208212127</v>
      </c>
      <c r="E17" s="418">
        <f t="shared" si="1"/>
        <v>1935843.4269469329</v>
      </c>
      <c r="F17" s="418">
        <f t="shared" si="1"/>
        <v>5262765.0328330211</v>
      </c>
      <c r="G17" s="418">
        <f t="shared" si="1"/>
        <v>21960468.170000002</v>
      </c>
      <c r="H17" s="418">
        <f t="shared" si="1"/>
        <v>498353.71504660451</v>
      </c>
      <c r="I17" s="418">
        <f t="shared" si="1"/>
        <v>303385.71570699464</v>
      </c>
      <c r="J17" s="418">
        <f t="shared" si="1"/>
        <v>4622544.2875342155</v>
      </c>
      <c r="K17" s="418">
        <f t="shared" si="1"/>
        <v>433913.67394792056</v>
      </c>
      <c r="L17" s="418">
        <f t="shared" si="1"/>
        <v>1232427.5820292782</v>
      </c>
      <c r="M17" s="418">
        <f t="shared" si="1"/>
        <v>216595.30903047445</v>
      </c>
      <c r="N17" s="418">
        <f t="shared" si="1"/>
        <v>641646.158962421</v>
      </c>
      <c r="O17" s="417">
        <f t="shared" si="1"/>
        <v>1303142.0684794737</v>
      </c>
      <c r="P17" s="419">
        <f>SUM(B17:O17)</f>
        <v>41500418.206269681</v>
      </c>
    </row>
    <row r="23" spans="1:24" ht="24">
      <c r="A23" s="397" t="s">
        <v>456</v>
      </c>
      <c r="B23" s="420" t="s">
        <v>311</v>
      </c>
      <c r="C23" s="421" t="s">
        <v>457</v>
      </c>
      <c r="D23" s="421" t="s">
        <v>12</v>
      </c>
      <c r="E23" s="422" t="s">
        <v>458</v>
      </c>
      <c r="F23" s="422" t="s">
        <v>459</v>
      </c>
      <c r="G23" s="422" t="s">
        <v>460</v>
      </c>
      <c r="H23" s="422" t="s">
        <v>306</v>
      </c>
      <c r="I23" s="422" t="s">
        <v>336</v>
      </c>
      <c r="J23" s="421" t="s">
        <v>11</v>
      </c>
      <c r="K23" s="422" t="s">
        <v>461</v>
      </c>
      <c r="L23" s="422" t="s">
        <v>462</v>
      </c>
      <c r="M23" s="422" t="s">
        <v>463</v>
      </c>
      <c r="N23" s="422" t="s">
        <v>304</v>
      </c>
      <c r="O23" s="423" t="s">
        <v>281</v>
      </c>
      <c r="P23" s="423" t="s">
        <v>464</v>
      </c>
      <c r="Q23" s="424" t="s">
        <v>465</v>
      </c>
      <c r="R23" s="425" t="s">
        <v>466</v>
      </c>
      <c r="S23" s="426" t="s">
        <v>467</v>
      </c>
      <c r="T23" s="426" t="s">
        <v>468</v>
      </c>
      <c r="U23" s="426" t="s">
        <v>464</v>
      </c>
      <c r="V23" s="427"/>
      <c r="W23" s="427"/>
      <c r="X23" s="428"/>
    </row>
    <row r="24" spans="1:24">
      <c r="A24" s="429" t="s">
        <v>7</v>
      </c>
      <c r="B24" s="430">
        <f>SUMIFS('Lista contas'!$I:$I,'Lista contas'!$D:$D,Tabelas!B$23,'Lista contas'!$E:$E,Tabelas!$A24)</f>
        <v>910</v>
      </c>
      <c r="C24" s="431"/>
      <c r="D24" s="432"/>
      <c r="E24" s="432"/>
      <c r="F24" s="432"/>
      <c r="G24" s="432"/>
      <c r="H24" s="432">
        <f>SUMIFS('Lista contas'!$I:$I,'Lista contas'!$D:$D,Tabelas!H$23,'Lista contas'!$E:$E,Tabelas!$A24)</f>
        <v>744835.5</v>
      </c>
      <c r="I24" s="432">
        <f>SUMIFS('Lista contas'!$I:$I,'Lista contas'!$D:$D,Tabelas!I$23,'Lista contas'!$E:$E,Tabelas!$A24)</f>
        <v>3191</v>
      </c>
      <c r="J24" s="432">
        <f>SUMIFS('Lista contas'!$I:$I,'Lista contas'!$D:$D,Tabelas!J$23,'Lista contas'!$E:$E,Tabelas!$A24)</f>
        <v>110294.84</v>
      </c>
      <c r="K24" s="432"/>
      <c r="L24" s="432"/>
      <c r="M24" s="432"/>
      <c r="N24" s="432"/>
      <c r="O24" s="433">
        <f t="shared" ref="O24:O37" si="2">SUM(B24:N24)</f>
        <v>859231.34</v>
      </c>
      <c r="P24" s="434">
        <f>VLOOKUP(A24,'Summary - Colar'!$M$39:$N$54,2,FALSE)</f>
        <v>1.7834989999999999</v>
      </c>
      <c r="Q24" s="435">
        <f>O24/P24</f>
        <v>481767.21153193805</v>
      </c>
      <c r="R24" s="436">
        <f>+VLOOKUP(A24,'Summary - Colar'!$C$39:$J$54,8,FALSE)</f>
        <v>419925.36</v>
      </c>
      <c r="S24" s="437">
        <f>+Q24-R24</f>
        <v>61841.851531938068</v>
      </c>
      <c r="T24" s="437">
        <f>SUM(B24:I24)</f>
        <v>748936.5</v>
      </c>
      <c r="U24" s="438">
        <f>+P24</f>
        <v>1.7834989999999999</v>
      </c>
      <c r="V24" s="439">
        <f>T24/U24</f>
        <v>419925.38263267878</v>
      </c>
      <c r="W24" s="439">
        <f t="shared" ref="W24:W29" si="3">T24/P24-R24</f>
        <v>2.2632678796071559E-2</v>
      </c>
      <c r="X24" s="440"/>
    </row>
    <row r="25" spans="1:24">
      <c r="A25" s="441" t="s">
        <v>19</v>
      </c>
      <c r="B25" s="442"/>
      <c r="C25" s="443">
        <f>SUMIFS('Lista contas'!$I:$I,'Lista contas'!$D:$D,Tabelas!C$23,'Lista contas'!$E:$E,Tabelas!$A25)</f>
        <v>24656134.399999999</v>
      </c>
      <c r="D25" s="444"/>
      <c r="E25" s="444"/>
      <c r="F25" s="444"/>
      <c r="G25" s="444"/>
      <c r="H25" s="444">
        <f>SUMIFS('Lista contas'!$I:$I,'Lista contas'!$D:$D,Tabelas!H$23,'Lista contas'!$E:$E,Tabelas!$A25)</f>
        <v>0</v>
      </c>
      <c r="I25" s="444">
        <f>SUMIFS('Lista contas'!$I:$I,'Lista contas'!$D:$D,Tabelas!I$23,'Lista contas'!$E:$E,Tabelas!$A25)</f>
        <v>123856</v>
      </c>
      <c r="J25" s="444"/>
      <c r="K25" s="444"/>
      <c r="L25" s="444"/>
      <c r="M25" s="444"/>
      <c r="N25" s="444"/>
      <c r="O25" s="445">
        <f t="shared" si="2"/>
        <v>24779990.399999999</v>
      </c>
      <c r="P25" s="446">
        <f>VLOOKUP(A25,'Summary - Colar'!$M$39:$N$54,2,FALSE)</f>
        <v>11.709999</v>
      </c>
      <c r="Q25" s="447">
        <f t="shared" ref="Q25:Q37" si="4">O25/P25</f>
        <v>2116139.412138293</v>
      </c>
      <c r="R25" s="448">
        <f>+VLOOKUP(A25,'Summary - Colar'!$C$39:$J$54,8,FALSE)</f>
        <v>2116139.4300000002</v>
      </c>
      <c r="S25" s="449">
        <f t="shared" ref="S25:S37" si="5">+Q25-R25</f>
        <v>-1.7861707136034966E-2</v>
      </c>
      <c r="T25" s="449">
        <f>SUM(B25:I25)</f>
        <v>24779990.399999999</v>
      </c>
      <c r="U25" s="450">
        <f t="shared" ref="U25:U37" si="6">+P25</f>
        <v>11.709999</v>
      </c>
      <c r="V25" s="451">
        <f t="shared" ref="V25:V37" si="7">T25/U25</f>
        <v>2116139.412138293</v>
      </c>
      <c r="W25" s="451">
        <f t="shared" si="3"/>
        <v>-1.7861707136034966E-2</v>
      </c>
      <c r="X25" s="452"/>
    </row>
    <row r="26" spans="1:24">
      <c r="A26" s="453" t="s">
        <v>3</v>
      </c>
      <c r="B26" s="454"/>
      <c r="C26" s="455">
        <f>SUMIFS('Lista contas'!$I:$I,'Lista contas'!$D:$D,Tabelas!C$23,'Lista contas'!$E:$E,Tabelas!$A26)</f>
        <v>1181932</v>
      </c>
      <c r="D26" s="456"/>
      <c r="E26" s="456"/>
      <c r="F26" s="456"/>
      <c r="G26" s="456"/>
      <c r="H26" s="456"/>
      <c r="I26" s="456">
        <f>SUMIFS('Lista contas'!$I:$I,'Lista contas'!$D:$D,Tabelas!I$23,'Lista contas'!$E:$E,Tabelas!$A26)</f>
        <v>505677</v>
      </c>
      <c r="J26" s="456">
        <f>SUMIFS('Lista contas'!$I:$I,'Lista contas'!$D:$D,Tabelas!J$23,'Lista contas'!$E:$E,Tabelas!$A26)</f>
        <v>1978284.83</v>
      </c>
      <c r="K26" s="456"/>
      <c r="L26" s="456"/>
      <c r="M26" s="456"/>
      <c r="N26" s="456"/>
      <c r="O26" s="411">
        <f t="shared" si="2"/>
        <v>3665893.83</v>
      </c>
      <c r="P26" s="414">
        <f>VLOOKUP(A26,'Summary - Colar'!$M$39:$N$54,2,FALSE)</f>
        <v>7.4596999999999998</v>
      </c>
      <c r="Q26" s="457">
        <f t="shared" si="4"/>
        <v>491426.44208212127</v>
      </c>
      <c r="R26" s="458">
        <f>+VLOOKUP(A26,'Summary - Colar'!$C$39:$J$54,8,FALSE)</f>
        <v>226230.05</v>
      </c>
      <c r="S26" s="459">
        <f t="shared" si="5"/>
        <v>265196.39208212128</v>
      </c>
      <c r="T26" s="459">
        <f>SUM(B26:I26)</f>
        <v>1687609</v>
      </c>
      <c r="U26" s="413">
        <f t="shared" si="6"/>
        <v>7.4596999999999998</v>
      </c>
      <c r="V26" s="410">
        <f t="shared" si="7"/>
        <v>226230.14330335002</v>
      </c>
      <c r="W26" s="410">
        <f t="shared" si="3"/>
        <v>9.330335003323853E-2</v>
      </c>
      <c r="X26" s="412"/>
    </row>
    <row r="27" spans="1:24">
      <c r="A27" s="453" t="s">
        <v>5</v>
      </c>
      <c r="B27" s="454"/>
      <c r="C27" s="455"/>
      <c r="D27" s="456">
        <f>SUMIFS('Lista contas'!$I:$I,'Lista contas'!$D:$D,Tabelas!D$23,'Lista contas'!$E:$E,Tabelas!$A27)</f>
        <v>3765</v>
      </c>
      <c r="E27" s="456"/>
      <c r="F27" s="456">
        <f>SUMIFS('Lista contas'!$I:$I,'Lista contas'!$D:$D,Tabelas!F$23,'Lista contas'!$E:$E,Tabelas!$A27)</f>
        <v>182333</v>
      </c>
      <c r="G27" s="456"/>
      <c r="H27" s="456">
        <f>SUMIFS('Lista contas'!$I:$I,'Lista contas'!$D:$D,Tabelas!H$23,'Lista contas'!$E:$E,Tabelas!$A27)</f>
        <v>1400636</v>
      </c>
      <c r="I27" s="456">
        <f>SUMIFS('Lista contas'!$I:$I,'Lista contas'!$D:$D,Tabelas!I$23,'Lista contas'!$E:$E,Tabelas!$A27)</f>
        <v>602660</v>
      </c>
      <c r="J27" s="456">
        <f>SUMIFS('Lista contas'!$I:$I,'Lista contas'!$D:$D,Tabelas!J$23,'Lista contas'!$E:$E,Tabelas!$A27)</f>
        <v>57733.05</v>
      </c>
      <c r="K27" s="456"/>
      <c r="L27" s="456"/>
      <c r="M27" s="456"/>
      <c r="N27" s="456"/>
      <c r="O27" s="411">
        <f t="shared" si="2"/>
        <v>2247127.0499999998</v>
      </c>
      <c r="P27" s="414">
        <f>VLOOKUP(A27,'Summary - Colar'!$M$39:$N$54,2,FALSE)</f>
        <v>1.1608000000000001</v>
      </c>
      <c r="Q27" s="457">
        <f t="shared" si="4"/>
        <v>1935843.4269469329</v>
      </c>
      <c r="R27" s="458">
        <f>+VLOOKUP(A27,'Summary - Colar'!$C$39:$J$54,8,FALSE)</f>
        <v>1881900.41</v>
      </c>
      <c r="S27" s="459">
        <f t="shared" si="5"/>
        <v>53943.016946932999</v>
      </c>
      <c r="T27" s="459">
        <f>SUM(F27:I27)</f>
        <v>2185629</v>
      </c>
      <c r="U27" s="413">
        <f t="shared" si="6"/>
        <v>1.1608000000000001</v>
      </c>
      <c r="V27" s="410">
        <f t="shared" si="7"/>
        <v>1882864.4038594072</v>
      </c>
      <c r="W27" s="410">
        <f t="shared" si="3"/>
        <v>963.99385940725915</v>
      </c>
      <c r="X27" s="412" t="s">
        <v>469</v>
      </c>
    </row>
    <row r="28" spans="1:24">
      <c r="A28" s="453" t="s">
        <v>4</v>
      </c>
      <c r="B28" s="454"/>
      <c r="C28" s="455"/>
      <c r="D28" s="456">
        <f>SUMIFS('Lista contas'!$I:$I,'Lista contas'!$D:$D,Tabelas!D$23,'Lista contas'!$E:$E,Tabelas!$A28)</f>
        <v>25254</v>
      </c>
      <c r="E28" s="456"/>
      <c r="F28" s="456"/>
      <c r="G28" s="456"/>
      <c r="H28" s="456">
        <f>SUMIFS('Lista contas'!$I:$I,'Lista contas'!$D:$D,Tabelas!H$23,'Lista contas'!$E:$E,Tabelas!$A28)</f>
        <v>8632.57</v>
      </c>
      <c r="I28" s="456">
        <f>SUMIFS('Lista contas'!$I:$I,'Lista contas'!$D:$D,Tabelas!I$23,'Lista contas'!$E:$E,Tabelas!$A28)</f>
        <v>4284564</v>
      </c>
      <c r="J28" s="456">
        <f>SUMIFS('Lista contas'!$I:$I,'Lista contas'!$D:$D,Tabelas!J$23,'Lista contas'!$E:$E,Tabelas!$A28)</f>
        <v>169635.45</v>
      </c>
      <c r="K28" s="456"/>
      <c r="L28" s="456"/>
      <c r="M28" s="456"/>
      <c r="N28" s="456"/>
      <c r="O28" s="411">
        <f t="shared" si="2"/>
        <v>4488086.0200000005</v>
      </c>
      <c r="P28" s="414">
        <f>VLOOKUP(A28,'Summary - Colar'!$M$39:$N$54,2,FALSE)</f>
        <v>0.8528</v>
      </c>
      <c r="Q28" s="457">
        <f t="shared" si="4"/>
        <v>5262765.0328330211</v>
      </c>
      <c r="R28" s="458">
        <f>+VLOOKUP(A28,'Summary - Colar'!$C$39:$J$54,8,FALSE)</f>
        <v>5034236.3899999997</v>
      </c>
      <c r="S28" s="459">
        <f t="shared" si="5"/>
        <v>228528.64283302147</v>
      </c>
      <c r="T28" s="459">
        <f>SUM(H28:I28)</f>
        <v>4293196.57</v>
      </c>
      <c r="U28" s="413">
        <f t="shared" si="6"/>
        <v>0.8528</v>
      </c>
      <c r="V28" s="410">
        <f t="shared" si="7"/>
        <v>5034236.1280487804</v>
      </c>
      <c r="W28" s="410">
        <f t="shared" si="3"/>
        <v>-0.26195121929049492</v>
      </c>
      <c r="X28" s="412"/>
    </row>
    <row r="29" spans="1:24">
      <c r="A29" s="453" t="s">
        <v>2</v>
      </c>
      <c r="B29" s="454"/>
      <c r="C29" s="455"/>
      <c r="D29" s="456">
        <f>SUMIFS('Lista contas'!$I:$I,'Lista contas'!$D:$D,Tabelas!D$23,'Lista contas'!$E:$E,Tabelas!$A29)</f>
        <v>97389</v>
      </c>
      <c r="E29" s="456"/>
      <c r="F29" s="456">
        <f>SUMIFS('Lista contas'!$I:$I,'Lista contas'!$D:$D,Tabelas!F$23,'Lista contas'!$E:$E,Tabelas!$A29)</f>
        <v>38141</v>
      </c>
      <c r="G29" s="456">
        <f>SUMIFS('Lista contas'!$I:$I,'Lista contas'!$D:$D,Tabelas!G$23,'Lista contas'!$E:$E,Tabelas!$A29)</f>
        <v>177608</v>
      </c>
      <c r="H29" s="456">
        <f>SUMIFS('Lista contas'!$I:$I,'Lista contas'!$D:$D,Tabelas!H$23,'Lista contas'!$E:$E,Tabelas!$A29)</f>
        <v>13303988.57</v>
      </c>
      <c r="I29" s="456">
        <f>SUMIFS('Lista contas'!$I:$I,'Lista contas'!$D:$D,Tabelas!I$23,'Lista contas'!$E:$E,Tabelas!$A29)</f>
        <v>7615350</v>
      </c>
      <c r="J29" s="456">
        <f>SUMIFS('Lista contas'!$I:$I,'Lista contas'!$D:$D,Tabelas!J$23,'Lista contas'!$E:$E,Tabelas!$A29)</f>
        <v>197263.6</v>
      </c>
      <c r="K29" s="456"/>
      <c r="L29" s="456">
        <f>SUMIFS('Lista contas'!$I:$I,'Lista contas'!$D:$D,Tabelas!L$23,'Lista contas'!$E:$E,Tabelas!$A29)</f>
        <v>530728</v>
      </c>
      <c r="M29" s="456"/>
      <c r="N29" s="456"/>
      <c r="O29" s="411">
        <f t="shared" si="2"/>
        <v>21960468.170000002</v>
      </c>
      <c r="P29" s="414">
        <f>VLOOKUP(A29,'Summary - Colar'!$M$39:$N$54,2,FALSE)</f>
        <v>1</v>
      </c>
      <c r="Q29" s="457">
        <f t="shared" si="4"/>
        <v>21960468.170000002</v>
      </c>
      <c r="R29" s="458">
        <f>+VLOOKUP(A29,'Summary - Colar'!$C$39:$J$54,8,FALSE)</f>
        <v>21665814.510000002</v>
      </c>
      <c r="S29" s="459">
        <f t="shared" si="5"/>
        <v>294653.66000000015</v>
      </c>
      <c r="T29" s="459">
        <f>SUM(F29:I29,L29)</f>
        <v>21665815.57</v>
      </c>
      <c r="U29" s="413">
        <f t="shared" si="6"/>
        <v>1</v>
      </c>
      <c r="V29" s="410">
        <f t="shared" si="7"/>
        <v>21665815.57</v>
      </c>
      <c r="W29" s="410">
        <f t="shared" si="3"/>
        <v>1.0599999986588955</v>
      </c>
      <c r="X29" s="412"/>
    </row>
    <row r="30" spans="1:24">
      <c r="A30" s="453" t="s">
        <v>9</v>
      </c>
      <c r="B30" s="454"/>
      <c r="C30" s="455"/>
      <c r="D30" s="456">
        <f>SUMIFS('Lista contas'!$I:$I,'Lista contas'!$D:$D,Tabelas!D$23,'Lista contas'!$E:$E,Tabelas!$A30)</f>
        <v>217583</v>
      </c>
      <c r="E30" s="456"/>
      <c r="F30" s="456"/>
      <c r="G30" s="456"/>
      <c r="H30" s="456">
        <f>SUMIFS('Lista contas'!$I:$I,'Lista contas'!$D:$D,Tabelas!H$23,'Lista contas'!$E:$E,Tabelas!$A30)</f>
        <v>105391.54999999999</v>
      </c>
      <c r="I30" s="456">
        <f>SUMIFS('Lista contas'!$I:$I,'Lista contas'!$D:$D,Tabelas!I$23,'Lista contas'!$E:$E,Tabelas!$A30)</f>
        <v>35238</v>
      </c>
      <c r="J30" s="456"/>
      <c r="K30" s="456"/>
      <c r="L30" s="456"/>
      <c r="M30" s="456">
        <f>SUMIFS('Lista contas'!$I:$I,'Lista contas'!$D:$D,Tabelas!M$23,'Lista contas'!$E:$E,Tabelas!$A30)</f>
        <v>109617</v>
      </c>
      <c r="N30" s="456"/>
      <c r="O30" s="411">
        <f t="shared" si="2"/>
        <v>467829.55</v>
      </c>
      <c r="P30" s="414">
        <f>VLOOKUP(A30,'Summary - Colar'!$M$39:$N$54,2,FALSE)</f>
        <v>0.93874999999999997</v>
      </c>
      <c r="Q30" s="457">
        <f t="shared" si="4"/>
        <v>498353.71504660451</v>
      </c>
      <c r="R30" s="458">
        <f>+VLOOKUP(A30,'Summary - Colar'!$C$39:$J$54,8,FALSE)</f>
        <v>266574.34999999998</v>
      </c>
      <c r="S30" s="459">
        <f t="shared" si="5"/>
        <v>231779.36504660454</v>
      </c>
      <c r="T30" s="459">
        <f>SUM(H30:I30,M30)</f>
        <v>250246.55</v>
      </c>
      <c r="U30" s="413">
        <f t="shared" si="6"/>
        <v>0.93874999999999997</v>
      </c>
      <c r="V30" s="410">
        <f t="shared" si="7"/>
        <v>266574.22103861516</v>
      </c>
      <c r="W30" s="410">
        <f t="shared" ref="W30:W37" si="8">T30/P30-R30</f>
        <v>-0.12896138482028618</v>
      </c>
      <c r="X30" s="412"/>
    </row>
    <row r="31" spans="1:24">
      <c r="A31" s="453" t="s">
        <v>289</v>
      </c>
      <c r="B31" s="454"/>
      <c r="C31" s="455"/>
      <c r="D31" s="456"/>
      <c r="E31" s="456">
        <f>SUMIFS('Lista contas'!$I:$I,'Lista contas'!$D:$D,Tabelas!E$23,'Lista contas'!$E:$E,Tabelas!$A31)</f>
        <v>5873184</v>
      </c>
      <c r="F31" s="456"/>
      <c r="G31" s="456"/>
      <c r="H31" s="456"/>
      <c r="I31" s="456"/>
      <c r="J31" s="456"/>
      <c r="K31" s="456"/>
      <c r="L31" s="456"/>
      <c r="M31" s="456"/>
      <c r="N31" s="456"/>
      <c r="O31" s="411">
        <f t="shared" si="2"/>
        <v>5873184</v>
      </c>
      <c r="P31" s="414">
        <f>VLOOKUP(A31,'Summary - Colar'!$M$39:$N$54,2,FALSE)</f>
        <v>19.358802000000001</v>
      </c>
      <c r="Q31" s="457">
        <f t="shared" si="4"/>
        <v>303385.71570699464</v>
      </c>
      <c r="R31" s="458">
        <f>+VLOOKUP(A31,'Summary - Colar'!$C$39:$J$54,8,FALSE)</f>
        <v>303385.75</v>
      </c>
      <c r="S31" s="459">
        <f t="shared" si="5"/>
        <v>-3.4293005359359086E-2</v>
      </c>
      <c r="T31" s="459">
        <f>SUM(E31)</f>
        <v>5873184</v>
      </c>
      <c r="U31" s="413">
        <f t="shared" si="6"/>
        <v>19.358802000000001</v>
      </c>
      <c r="V31" s="410">
        <f t="shared" si="7"/>
        <v>303385.71570699464</v>
      </c>
      <c r="W31" s="410">
        <f t="shared" si="8"/>
        <v>-3.4293005359359086E-2</v>
      </c>
      <c r="X31" s="412"/>
    </row>
    <row r="32" spans="1:24">
      <c r="A32" s="453" t="s">
        <v>6</v>
      </c>
      <c r="B32" s="454"/>
      <c r="C32" s="455"/>
      <c r="D32" s="456"/>
      <c r="E32" s="456"/>
      <c r="F32" s="456">
        <f>SUMIFS('Lista contas'!$I:$I,'Lista contas'!$D:$D,Tabelas!F$23,'Lista contas'!$E:$E,Tabelas!$A32)</f>
        <v>40793285</v>
      </c>
      <c r="G32" s="456"/>
      <c r="H32" s="456">
        <f>SUMIFS('Lista contas'!$I:$I,'Lista contas'!$D:$D,Tabelas!H$23,'Lista contas'!$E:$E,Tabelas!$A32)</f>
        <v>10000000</v>
      </c>
      <c r="I32" s="456">
        <f>SUMIFS('Lista contas'!$I:$I,'Lista contas'!$D:$D,Tabelas!I$23,'Lista contas'!$E:$E,Tabelas!$A32)</f>
        <v>47808</v>
      </c>
      <c r="J32" s="456">
        <f>SUMIFS('Lista contas'!$I:$I,'Lista contas'!$D:$D,Tabelas!J$23,'Lista contas'!$E:$E,Tabelas!$A32)</f>
        <v>302760.11</v>
      </c>
      <c r="K32" s="456"/>
      <c r="L32" s="456"/>
      <c r="M32" s="456"/>
      <c r="N32" s="456"/>
      <c r="O32" s="411">
        <f t="shared" si="2"/>
        <v>51143853.109999999</v>
      </c>
      <c r="P32" s="414">
        <f>VLOOKUP(A32,'Summary - Colar'!$M$39:$N$54,2,FALSE)</f>
        <v>11.064005</v>
      </c>
      <c r="Q32" s="457">
        <f t="shared" si="4"/>
        <v>4622544.2875342155</v>
      </c>
      <c r="R32" s="458">
        <f>+VLOOKUP(A32,'Summary - Colar'!$C$39:$J$54,8,FALSE)</f>
        <v>4595179.8499999996</v>
      </c>
      <c r="S32" s="459">
        <f t="shared" si="5"/>
        <v>27364.43753421586</v>
      </c>
      <c r="T32" s="459">
        <f>SUM(F32:I32)</f>
        <v>50841093</v>
      </c>
      <c r="U32" s="413">
        <f t="shared" si="6"/>
        <v>11.064005</v>
      </c>
      <c r="V32" s="410">
        <f t="shared" si="7"/>
        <v>4595179.8647957947</v>
      </c>
      <c r="W32" s="410">
        <f t="shared" si="8"/>
        <v>1.4795795083045959E-2</v>
      </c>
      <c r="X32" s="412"/>
    </row>
    <row r="33" spans="1:29">
      <c r="A33" s="453" t="s">
        <v>259</v>
      </c>
      <c r="B33" s="454"/>
      <c r="C33" s="455"/>
      <c r="D33" s="456"/>
      <c r="E33" s="456"/>
      <c r="F33" s="456"/>
      <c r="G33" s="456"/>
      <c r="H33" s="456">
        <f>SUMIFS('Lista contas'!$I:$I,'Lista contas'!$D:$D,Tabelas!H$23,'Lista contas'!$E:$E,Tabelas!$A33)</f>
        <v>2100476.5</v>
      </c>
      <c r="I33" s="456"/>
      <c r="J33" s="456"/>
      <c r="K33" s="456"/>
      <c r="L33" s="456"/>
      <c r="M33" s="456"/>
      <c r="N33" s="456">
        <f>SUMIFS('Lista contas'!$I:$I,'Lista contas'!$D:$D,Tabelas!N$23,'Lista contas'!$E:$E,Tabelas!$A33)</f>
        <v>9125</v>
      </c>
      <c r="O33" s="411">
        <f t="shared" si="2"/>
        <v>2109601.5</v>
      </c>
      <c r="P33" s="414">
        <f>VLOOKUP(A33,'Summary - Colar'!$M$39:$N$54,2,FALSE)</f>
        <v>4.8617999999999997</v>
      </c>
      <c r="Q33" s="457">
        <f t="shared" si="4"/>
        <v>433913.67394792056</v>
      </c>
      <c r="R33" s="458">
        <f>+VLOOKUP(A33,'Summary - Colar'!$C$39:$J$54,8,FALSE)</f>
        <v>433913.61</v>
      </c>
      <c r="S33" s="459">
        <f t="shared" si="5"/>
        <v>6.394792057108134E-2</v>
      </c>
      <c r="T33" s="459">
        <f>SUM(H33,N33)</f>
        <v>2109601.5</v>
      </c>
      <c r="U33" s="413">
        <f t="shared" si="6"/>
        <v>4.8617999999999997</v>
      </c>
      <c r="V33" s="410">
        <f t="shared" si="7"/>
        <v>433913.67394792056</v>
      </c>
      <c r="W33" s="410">
        <f t="shared" si="8"/>
        <v>6.394792057108134E-2</v>
      </c>
      <c r="X33" s="412"/>
    </row>
    <row r="34" spans="1:29">
      <c r="A34" s="453" t="s">
        <v>16</v>
      </c>
      <c r="B34" s="454"/>
      <c r="C34" s="455"/>
      <c r="D34" s="456"/>
      <c r="E34" s="456"/>
      <c r="F34" s="456"/>
      <c r="G34" s="456"/>
      <c r="H34" s="456">
        <f>SUMIFS('Lista contas'!$I:$I,'Lista contas'!$D:$D,Tabelas!H$23,'Lista contas'!$E:$E,Tabelas!$A34)</f>
        <v>726980.28</v>
      </c>
      <c r="I34" s="456">
        <f>SUMIFS('Lista contas'!$I:$I,'Lista contas'!$D:$D,Tabelas!I$23,'Lista contas'!$E:$E,Tabelas!$A34)</f>
        <v>548622</v>
      </c>
      <c r="J34" s="456"/>
      <c r="K34" s="456"/>
      <c r="L34" s="456"/>
      <c r="M34" s="456"/>
      <c r="N34" s="456">
        <f>SUMIFS('Lista contas'!$I:$I,'Lista contas'!$D:$D,Tabelas!N$23,'Lista contas'!$E:$E,Tabelas!$A34)</f>
        <v>555477</v>
      </c>
      <c r="O34" s="411">
        <f t="shared" si="2"/>
        <v>1831079.28</v>
      </c>
      <c r="P34" s="414">
        <f>VLOOKUP(A34,'Summary - Colar'!$M$39:$N$54,2,FALSE)</f>
        <v>1.4857499999999999</v>
      </c>
      <c r="Q34" s="457">
        <f t="shared" si="4"/>
        <v>1232427.5820292782</v>
      </c>
      <c r="R34" s="458">
        <f>+VLOOKUP(A34,'Summary - Colar'!$C$39:$J$54,8,FALSE)</f>
        <v>1232427.5</v>
      </c>
      <c r="S34" s="459">
        <f t="shared" si="5"/>
        <v>8.2029278157278895E-2</v>
      </c>
      <c r="T34" s="459">
        <f>SUM(H34:I34,N34)</f>
        <v>1831079.28</v>
      </c>
      <c r="U34" s="413">
        <f t="shared" si="6"/>
        <v>1.4857499999999999</v>
      </c>
      <c r="V34" s="410">
        <f t="shared" si="7"/>
        <v>1232427.5820292782</v>
      </c>
      <c r="W34" s="410">
        <f t="shared" si="8"/>
        <v>8.2029278157278895E-2</v>
      </c>
      <c r="X34" s="412"/>
    </row>
    <row r="35" spans="1:29">
      <c r="A35" s="453" t="s">
        <v>298</v>
      </c>
      <c r="B35" s="454"/>
      <c r="C35" s="455"/>
      <c r="D35" s="456"/>
      <c r="E35" s="456"/>
      <c r="F35" s="456"/>
      <c r="G35" s="456"/>
      <c r="H35" s="456">
        <f>SUMIFS('Lista contas'!$I:$I,'Lista contas'!$D:$D,Tabelas!H$23,'Lista contas'!$E:$E,Tabelas!$A35)</f>
        <v>3688612211</v>
      </c>
      <c r="I35" s="456"/>
      <c r="J35" s="456"/>
      <c r="K35" s="456"/>
      <c r="L35" s="456"/>
      <c r="M35" s="456"/>
      <c r="N35" s="456"/>
      <c r="O35" s="411">
        <f t="shared" si="2"/>
        <v>3688612211</v>
      </c>
      <c r="P35" s="414">
        <f>VLOOKUP(A35,'Summary - Colar'!$M$39:$N$54,2,FALSE)</f>
        <v>17029.972752000001</v>
      </c>
      <c r="Q35" s="457">
        <f t="shared" si="4"/>
        <v>216595.30903047445</v>
      </c>
      <c r="R35" s="458">
        <f>+VLOOKUP(A35,'Summary - Colar'!$C$39:$J$54,8,FALSE)</f>
        <v>216595.31</v>
      </c>
      <c r="S35" s="459">
        <f t="shared" si="5"/>
        <v>-9.6952554304152727E-4</v>
      </c>
      <c r="T35" s="459">
        <f>SUM(H35:I35,N35)</f>
        <v>3688612211</v>
      </c>
      <c r="U35" s="410">
        <f t="shared" si="6"/>
        <v>17029.972752000001</v>
      </c>
      <c r="V35" s="410">
        <f t="shared" si="7"/>
        <v>216595.30903047445</v>
      </c>
      <c r="W35" s="410">
        <f t="shared" si="8"/>
        <v>-9.6952554304152727E-4</v>
      </c>
      <c r="X35" s="412"/>
    </row>
    <row r="36" spans="1:29">
      <c r="A36" s="453" t="s">
        <v>14</v>
      </c>
      <c r="B36" s="454"/>
      <c r="C36" s="455"/>
      <c r="D36" s="456"/>
      <c r="E36" s="456"/>
      <c r="F36" s="456"/>
      <c r="G36" s="456"/>
      <c r="H36" s="456">
        <f>SUMIFS('Lista contas'!$I:$I,'Lista contas'!$D:$D,Tabelas!H$23,'Lista contas'!$E:$E,Tabelas!$A36)</f>
        <v>0</v>
      </c>
      <c r="I36" s="456">
        <f>SUMIFS('Lista contas'!$I:$I,'Lista contas'!$D:$D,Tabelas!I$23,'Lista contas'!$E:$E,Tabelas!$A36)</f>
        <v>49909</v>
      </c>
      <c r="J36" s="456"/>
      <c r="K36" s="456">
        <f>SUMIFS('Lista contas'!$I:$I,'Lista contas'!$D:$D,Tabelas!K$23,'Lista contas'!$E:$E,Tabelas!$A36)</f>
        <v>914806</v>
      </c>
      <c r="L36" s="456"/>
      <c r="M36" s="456"/>
      <c r="N36" s="456"/>
      <c r="O36" s="411">
        <f t="shared" si="2"/>
        <v>964715</v>
      </c>
      <c r="P36" s="414">
        <f>VLOOKUP(A36,'Summary - Colar'!$M$39:$N$54,2,FALSE)</f>
        <v>1.5035000000000001</v>
      </c>
      <c r="Q36" s="457">
        <f t="shared" si="4"/>
        <v>641646.158962421</v>
      </c>
      <c r="R36" s="458">
        <f>+VLOOKUP(A36,'Summary - Colar'!$C$39:$J$54,8,FALSE)</f>
        <v>641646</v>
      </c>
      <c r="S36" s="459">
        <f t="shared" si="5"/>
        <v>0.15896242100279778</v>
      </c>
      <c r="T36" s="459">
        <f>SUM(H36:I36,K36)</f>
        <v>964715</v>
      </c>
      <c r="U36" s="413">
        <f t="shared" si="6"/>
        <v>1.5035000000000001</v>
      </c>
      <c r="V36" s="410">
        <f t="shared" si="7"/>
        <v>641646.158962421</v>
      </c>
      <c r="W36" s="410">
        <f t="shared" si="8"/>
        <v>0.15896242100279778</v>
      </c>
      <c r="X36" s="412"/>
    </row>
    <row r="37" spans="1:29">
      <c r="A37" s="460" t="s">
        <v>15</v>
      </c>
      <c r="B37" s="461"/>
      <c r="C37" s="462"/>
      <c r="D37" s="463"/>
      <c r="E37" s="463"/>
      <c r="F37" s="463"/>
      <c r="G37" s="463"/>
      <c r="H37" s="463"/>
      <c r="I37" s="463">
        <f>SUMIFS('Lista contas'!$I:$I,'Lista contas'!$D:$D,Tabelas!I$23,'Lista contas'!$E:$E,Tabelas!$A37)</f>
        <v>5547150</v>
      </c>
      <c r="J37" s="463"/>
      <c r="K37" s="463"/>
      <c r="L37" s="463"/>
      <c r="M37" s="463"/>
      <c r="N37" s="463"/>
      <c r="O37" s="464">
        <f t="shared" si="2"/>
        <v>5547150</v>
      </c>
      <c r="P37" s="465">
        <f>VLOOKUP(A37,'Summary - Colar'!$M$39:$N$54,2,FALSE)</f>
        <v>4.2567500000000003</v>
      </c>
      <c r="Q37" s="466">
        <f t="shared" si="4"/>
        <v>1303142.0684794737</v>
      </c>
      <c r="R37" s="467">
        <f>+VLOOKUP(A37,'Summary - Colar'!$C$39:$J$54,8,FALSE)</f>
        <v>1303142.08</v>
      </c>
      <c r="S37" s="468">
        <f t="shared" si="5"/>
        <v>-1.1520526371896267E-2</v>
      </c>
      <c r="T37" s="468">
        <f>SUM(I37)</f>
        <v>5547150</v>
      </c>
      <c r="U37" s="469">
        <f t="shared" si="6"/>
        <v>4.2567500000000003</v>
      </c>
      <c r="V37" s="470">
        <f t="shared" si="7"/>
        <v>1303142.0684794737</v>
      </c>
      <c r="W37" s="470">
        <f t="shared" si="8"/>
        <v>-1.1520526371896267E-2</v>
      </c>
      <c r="X37" s="471"/>
    </row>
    <row r="38" spans="1:29">
      <c r="A38" s="472"/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4">
        <f>SUM(Q24:Q37)</f>
        <v>41500418.206269681</v>
      </c>
      <c r="R38" s="475"/>
      <c r="S38" s="473"/>
      <c r="T38" s="473"/>
      <c r="U38" s="473"/>
      <c r="V38" s="474">
        <f>SUM(V24:V37)</f>
        <v>40338075.633973472</v>
      </c>
      <c r="W38" s="474">
        <f>SUM(W24:W37)</f>
        <v>965.03397348104045</v>
      </c>
      <c r="X38" s="476"/>
    </row>
    <row r="39" spans="1:29" ht="12.75">
      <c r="W39" s="474">
        <f>+'JYSKE - FKB - Colar '!E22</f>
        <v>9698.9177037935006</v>
      </c>
      <c r="X39" s="511" t="s">
        <v>470</v>
      </c>
    </row>
    <row r="43" spans="1:29" ht="25.9" customHeight="1">
      <c r="A43" s="397" t="s">
        <v>456</v>
      </c>
      <c r="B43" s="398" t="s">
        <v>7</v>
      </c>
      <c r="C43" s="423" t="s">
        <v>464</v>
      </c>
      <c r="D43" s="399" t="s">
        <v>19</v>
      </c>
      <c r="E43" s="423" t="s">
        <v>464</v>
      </c>
      <c r="F43" s="399" t="s">
        <v>3</v>
      </c>
      <c r="G43" s="423" t="s">
        <v>464</v>
      </c>
      <c r="H43" s="399" t="s">
        <v>5</v>
      </c>
      <c r="I43" s="423" t="s">
        <v>464</v>
      </c>
      <c r="J43" s="399" t="s">
        <v>4</v>
      </c>
      <c r="K43" s="423" t="s">
        <v>464</v>
      </c>
      <c r="L43" s="399" t="s">
        <v>2</v>
      </c>
      <c r="M43" s="423" t="s">
        <v>464</v>
      </c>
      <c r="N43" s="399" t="s">
        <v>9</v>
      </c>
      <c r="O43" s="423" t="s">
        <v>464</v>
      </c>
      <c r="P43" s="399" t="s">
        <v>289</v>
      </c>
      <c r="Q43" s="423" t="s">
        <v>464</v>
      </c>
      <c r="R43" s="399" t="s">
        <v>6</v>
      </c>
      <c r="S43" s="423" t="s">
        <v>464</v>
      </c>
      <c r="T43" s="399" t="s">
        <v>259</v>
      </c>
      <c r="U43" s="423" t="s">
        <v>464</v>
      </c>
      <c r="V43" s="399" t="s">
        <v>16</v>
      </c>
      <c r="W43" s="423" t="s">
        <v>464</v>
      </c>
      <c r="X43" s="399" t="s">
        <v>298</v>
      </c>
      <c r="Y43" s="423" t="s">
        <v>464</v>
      </c>
      <c r="Z43" s="399" t="s">
        <v>14</v>
      </c>
      <c r="AA43" s="423" t="s">
        <v>464</v>
      </c>
      <c r="AB43" s="399" t="s">
        <v>15</v>
      </c>
      <c r="AC43" s="477" t="s">
        <v>464</v>
      </c>
    </row>
    <row r="44" spans="1:29">
      <c r="A44" s="478" t="s">
        <v>311</v>
      </c>
      <c r="B44" s="479">
        <f>SUMIFS('Lista contas'!$I:$I,'Lista contas'!$D:$D,Tabelas!$A44,'Lista contas'!$E:$E,Tabelas!B$43)</f>
        <v>910</v>
      </c>
      <c r="C44" s="480">
        <f>B44/(VLOOKUP($B$43,'Summary - Colar'!$M$39:$N$54,2,FALSE))</f>
        <v>510.23297461899335</v>
      </c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1"/>
    </row>
    <row r="45" spans="1:29">
      <c r="A45" s="482" t="s">
        <v>457</v>
      </c>
      <c r="B45" s="483"/>
      <c r="C45" s="407"/>
      <c r="D45" s="407">
        <f>SUMIFS('Lista contas'!$I:$I,'Lista contas'!$D:$D,Tabelas!$A45,'Lista contas'!$E:$E,Tabelas!D$43)</f>
        <v>24656134.399999999</v>
      </c>
      <c r="E45" s="407">
        <f>D45/(VLOOKUP($D$43,'Summary - Colar'!$M$39:$N$54,2,FALSE))</f>
        <v>2105562.4684511074</v>
      </c>
      <c r="F45" s="407">
        <f>SUMIFS('Lista contas'!$I:$I,'Lista contas'!$D:$D,Tabelas!$A45,'Lista contas'!$E:$E,Tabelas!F$43)</f>
        <v>1181932</v>
      </c>
      <c r="G45" s="407">
        <f>F45/(VLOOKUP($F$43,'Summary - Colar'!$M$39:$N$54,2,FALSE))</f>
        <v>158442.29660710218</v>
      </c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8"/>
    </row>
    <row r="46" spans="1:29">
      <c r="A46" s="482" t="s">
        <v>12</v>
      </c>
      <c r="B46" s="483"/>
      <c r="C46" s="407"/>
      <c r="D46" s="407"/>
      <c r="E46" s="407"/>
      <c r="F46" s="407"/>
      <c r="G46" s="407"/>
      <c r="H46" s="407">
        <f>SUMIFS('Lista contas'!$I:$I,'Lista contas'!$D:$D,Tabelas!$A46,'Lista contas'!$E:$E,Tabelas!H$43)</f>
        <v>3765</v>
      </c>
      <c r="I46" s="407">
        <f>H46/(VLOOKUP($H$43,'Summary - Colar'!$M$39:$N$54,2,FALSE))</f>
        <v>3243.4527911784976</v>
      </c>
      <c r="J46" s="407">
        <f>SUMIFS('Lista contas'!$I:$I,'Lista contas'!$D:$D,Tabelas!$A46,'Lista contas'!$E:$E,Tabelas!J$43)</f>
        <v>25254</v>
      </c>
      <c r="K46" s="407">
        <f>J46/(VLOOKUP($J$43,'Summary - Colar'!$M$39:$N$54,2,FALSE))</f>
        <v>29613.039399624766</v>
      </c>
      <c r="L46" s="407">
        <f>SUMIFS('Lista contas'!$I:$I,'Lista contas'!$D:$D,Tabelas!$A46,'Lista contas'!$E:$E,Tabelas!L$43)</f>
        <v>97389</v>
      </c>
      <c r="M46" s="407">
        <f>L46/(VLOOKUP($L$43,'Summary - Colar'!$M$39:$N$54,2,FALSE))</f>
        <v>97389</v>
      </c>
      <c r="N46" s="407">
        <f>SUMIFS('Lista contas'!$I:$I,'Lista contas'!$D:$D,Tabelas!$A46,'Lista contas'!$E:$E,Tabelas!N$43)</f>
        <v>217583</v>
      </c>
      <c r="O46" s="407">
        <f>N46/(VLOOKUP($N$43,'Summary - Colar'!$M$39:$N$54,2,FALSE))</f>
        <v>231779.49400798936</v>
      </c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8"/>
    </row>
    <row r="47" spans="1:29">
      <c r="A47" s="482" t="s">
        <v>458</v>
      </c>
      <c r="B47" s="483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>
        <f>SUMIFS('Lista contas'!$I:$I,'Lista contas'!$D:$D,Tabelas!$A47,'Lista contas'!$E:$E,Tabelas!P$43)</f>
        <v>5873184</v>
      </c>
      <c r="Q47" s="407">
        <f>P47/(VLOOKUP($P$43,'Summary - Colar'!$M$39:$N$54,2,FALSE))</f>
        <v>303385.71570699464</v>
      </c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8"/>
    </row>
    <row r="48" spans="1:29">
      <c r="A48" s="482" t="s">
        <v>459</v>
      </c>
      <c r="B48" s="483"/>
      <c r="C48" s="407"/>
      <c r="D48" s="407"/>
      <c r="E48" s="407"/>
      <c r="F48" s="407"/>
      <c r="G48" s="407"/>
      <c r="H48" s="407">
        <f>SUMIFS('Lista contas'!$I:$I,'Lista contas'!$D:$D,Tabelas!$A48,'Lista contas'!$E:$E,Tabelas!H$43)</f>
        <v>182333</v>
      </c>
      <c r="I48" s="407">
        <f>H48/(VLOOKUP($H$43,'Summary - Colar'!$M$39:$N$54,2,FALSE))</f>
        <v>157075.29290144728</v>
      </c>
      <c r="J48" s="407"/>
      <c r="K48" s="407"/>
      <c r="L48" s="407">
        <f>SUMIFS('Lista contas'!$I:$I,'Lista contas'!$D:$D,Tabelas!$A48,'Lista contas'!$E:$E,Tabelas!L$43)</f>
        <v>38141</v>
      </c>
      <c r="M48" s="407">
        <f>L48/(VLOOKUP($L$43,'Summary - Colar'!$M$39:$N$54,2,FALSE))</f>
        <v>38141</v>
      </c>
      <c r="N48" s="407"/>
      <c r="O48" s="407"/>
      <c r="P48" s="407"/>
      <c r="Q48" s="407"/>
      <c r="R48" s="407">
        <f>SUMIFS('Lista contas'!$I:$I,'Lista contas'!$D:$D,Tabelas!$A48,'Lista contas'!$E:$E,Tabelas!R$43)</f>
        <v>40793285</v>
      </c>
      <c r="S48" s="407">
        <f>R48/(VLOOKUP($R$43,'Summary - Colar'!$M$39:$N$54,2,FALSE))</f>
        <v>3687026.9852553392</v>
      </c>
      <c r="T48" s="407"/>
      <c r="U48" s="407"/>
      <c r="V48" s="407"/>
      <c r="W48" s="407"/>
      <c r="X48" s="407"/>
      <c r="Y48" s="407"/>
      <c r="Z48" s="407"/>
      <c r="AA48" s="407"/>
      <c r="AB48" s="407"/>
      <c r="AC48" s="408"/>
    </row>
    <row r="49" spans="1:29">
      <c r="A49" s="482" t="s">
        <v>471</v>
      </c>
      <c r="B49" s="483"/>
      <c r="C49" s="407"/>
      <c r="D49" s="407"/>
      <c r="E49" s="407"/>
      <c r="F49" s="407"/>
      <c r="G49" s="407"/>
      <c r="H49" s="407"/>
      <c r="I49" s="407"/>
      <c r="J49" s="407"/>
      <c r="K49" s="407"/>
      <c r="L49" s="407">
        <f>SUMIFS('Lista contas'!$I:$I,'Lista contas'!$D:$D,Tabelas!$A49,'Lista contas'!$E:$E,Tabelas!L$43)</f>
        <v>177608</v>
      </c>
      <c r="M49" s="407">
        <f>L49/(VLOOKUP($L$43,'Summary - Colar'!$M$39:$N$54,2,FALSE))</f>
        <v>177608</v>
      </c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8"/>
    </row>
    <row r="50" spans="1:29">
      <c r="A50" s="482" t="s">
        <v>306</v>
      </c>
      <c r="B50" s="483">
        <f>SUMIFS('Lista contas'!$I:$I,'Lista contas'!$D:$D,Tabelas!$A50,'Lista contas'!$E:$E,Tabelas!B$43)</f>
        <v>744835.5</v>
      </c>
      <c r="C50" s="407">
        <f>B50/(VLOOKUP($B$43,'Summary - Colar'!$M$39:$N$54,2,FALSE))</f>
        <v>417625.97007343429</v>
      </c>
      <c r="D50" s="407">
        <f>SUMIFS('Lista contas'!$I:$I,'Lista contas'!$D:$D,Tabelas!$A50,'Lista contas'!$E:$E,Tabelas!D$43)</f>
        <v>0</v>
      </c>
      <c r="E50" s="407">
        <f>D50/(VLOOKUP($D$43,'Summary - Colar'!$M$39:$N$54,2,FALSE))</f>
        <v>0</v>
      </c>
      <c r="F50" s="407"/>
      <c r="G50" s="407"/>
      <c r="H50" s="407">
        <f>SUMIFS('Lista contas'!$I:$I,'Lista contas'!$D:$D,Tabelas!$A50,'Lista contas'!$E:$E,Tabelas!H$43)</f>
        <v>1400636</v>
      </c>
      <c r="I50" s="407">
        <f>H50/(VLOOKUP($H$43,'Summary - Colar'!$M$39:$N$54,2,FALSE))</f>
        <v>1206612.6809097175</v>
      </c>
      <c r="J50" s="407">
        <f>SUMIFS('Lista contas'!$I:$I,'Lista contas'!$D:$D,Tabelas!$A50,'Lista contas'!$E:$E,Tabelas!J$43)</f>
        <v>8632.57</v>
      </c>
      <c r="K50" s="407">
        <f>J50/(VLOOKUP($J$43,'Summary - Colar'!$M$39:$N$54,2,FALSE))</f>
        <v>10122.619606003753</v>
      </c>
      <c r="L50" s="407">
        <f>SUMIFS('Lista contas'!$I:$I,'Lista contas'!$D:$D,Tabelas!$A50,'Lista contas'!$E:$E,Tabelas!L$43)</f>
        <v>13303988.57</v>
      </c>
      <c r="M50" s="407">
        <f>L50/(VLOOKUP($L$43,'Summary - Colar'!$M$39:$N$54,2,FALSE))</f>
        <v>13303988.57</v>
      </c>
      <c r="N50" s="407">
        <f>SUMIFS('Lista contas'!$I:$I,'Lista contas'!$D:$D,Tabelas!$A50,'Lista contas'!$E:$E,Tabelas!N$43)</f>
        <v>105391.54999999999</v>
      </c>
      <c r="O50" s="407">
        <f>N50/(VLOOKUP($N$43,'Summary - Colar'!$M$39:$N$54,2,FALSE))</f>
        <v>112267.96271637816</v>
      </c>
      <c r="P50" s="407"/>
      <c r="Q50" s="407"/>
      <c r="R50" s="407">
        <f>SUMIFS('Lista contas'!$I:$I,'Lista contas'!$D:$D,Tabelas!$A50,'Lista contas'!$E:$E,Tabelas!R$43)</f>
        <v>10000000</v>
      </c>
      <c r="S50" s="407">
        <f>R50/(VLOOKUP($R$43,'Summary - Colar'!$M$39:$N$54,2,FALSE))</f>
        <v>903831.8402784525</v>
      </c>
      <c r="T50" s="407">
        <f>SUMIFS('Lista contas'!$I:$I,'Lista contas'!$D:$D,Tabelas!$A50,'Lista contas'!$E:$E,Tabelas!T$43)</f>
        <v>2100476.5</v>
      </c>
      <c r="U50" s="407">
        <f>T50/(VLOOKUP($T$43,'Summary - Colar'!$M$39:$N$54,2,FALSE))</f>
        <v>432036.79707104369</v>
      </c>
      <c r="V50" s="407">
        <f>SUMIFS('Lista contas'!$I:$I,'Lista contas'!$D:$D,Tabelas!$A50,'Lista contas'!$E:$E,Tabelas!V$43)</f>
        <v>726980.28</v>
      </c>
      <c r="W50" s="407">
        <f>V50/(VLOOKUP($V$43,'Summary - Colar'!$M$39:$N$54,2,FALSE))</f>
        <v>489301.88793538621</v>
      </c>
      <c r="X50" s="407">
        <f>SUMIFS('Lista contas'!$I:$I,'Lista contas'!$D:$D,Tabelas!$A50,'Lista contas'!$E:$E,Tabelas!X$43)</f>
        <v>3688612211</v>
      </c>
      <c r="Y50" s="407">
        <f>X50/(VLOOKUP($X$43,'Summary - Colar'!$M$39:$N$54,2,FALSE))</f>
        <v>216595.30903047445</v>
      </c>
      <c r="Z50" s="407">
        <f>SUMIFS('Lista contas'!$I:$I,'Lista contas'!$D:$D,Tabelas!$A50,'Lista contas'!$E:$E,Tabelas!Z$43)</f>
        <v>0</v>
      </c>
      <c r="AA50" s="407">
        <f>Z50/(VLOOKUP($Z$43,'Summary - Colar'!$M$39:$N$54,2,FALSE))</f>
        <v>0</v>
      </c>
      <c r="AB50" s="407"/>
      <c r="AC50" s="408"/>
    </row>
    <row r="51" spans="1:29">
      <c r="A51" s="482" t="s">
        <v>336</v>
      </c>
      <c r="B51" s="483">
        <f>SUMIFS('Lista contas'!$I:$I,'Lista contas'!$D:$D,Tabelas!$A51,'Lista contas'!$E:$E,Tabelas!B$43)</f>
        <v>3191</v>
      </c>
      <c r="C51" s="407">
        <f>B51/(VLOOKUP($B$43,'Summary - Colar'!$M$39:$N$54,2,FALSE))</f>
        <v>1789.1795846255031</v>
      </c>
      <c r="D51" s="407">
        <f>SUMIFS('Lista contas'!$I:$I,'Lista contas'!$D:$D,Tabelas!$A51,'Lista contas'!$E:$E,Tabelas!D$43)</f>
        <v>123856</v>
      </c>
      <c r="E51" s="407">
        <f>D51/(VLOOKUP($D$43,'Summary - Colar'!$M$39:$N$54,2,FALSE))</f>
        <v>10576.943687185627</v>
      </c>
      <c r="F51" s="407">
        <f>SUMIFS('Lista contas'!$I:$I,'Lista contas'!$D:$D,Tabelas!$A51,'Lista contas'!$E:$E,Tabelas!F$43)</f>
        <v>505677</v>
      </c>
      <c r="G51" s="407">
        <f>F51/(VLOOKUP($F$43,'Summary - Colar'!$M$39:$N$54,2,FALSE))</f>
        <v>67787.846696247841</v>
      </c>
      <c r="H51" s="407">
        <f>SUMIFS('Lista contas'!$I:$I,'Lista contas'!$D:$D,Tabelas!$A51,'Lista contas'!$E:$E,Tabelas!H$43)</f>
        <v>602660</v>
      </c>
      <c r="I51" s="407">
        <f>H51/(VLOOKUP($H$43,'Summary - Colar'!$M$39:$N$54,2,FALSE))</f>
        <v>519176.43004824256</v>
      </c>
      <c r="J51" s="407">
        <f>SUMIFS('Lista contas'!$I:$I,'Lista contas'!$D:$D,Tabelas!$A51,'Lista contas'!$E:$E,Tabelas!J$43)</f>
        <v>4284564</v>
      </c>
      <c r="K51" s="407">
        <f>J51/(VLOOKUP($J$43,'Summary - Colar'!$M$39:$N$54,2,FALSE))</f>
        <v>5024113.5084427763</v>
      </c>
      <c r="L51" s="407">
        <f>SUMIFS('Lista contas'!$I:$I,'Lista contas'!$D:$D,Tabelas!$A51,'Lista contas'!$E:$E,Tabelas!L$43)</f>
        <v>7615350</v>
      </c>
      <c r="M51" s="407">
        <f>L51/(VLOOKUP($L$43,'Summary - Colar'!$M$39:$N$54,2,FALSE))</f>
        <v>7615350</v>
      </c>
      <c r="N51" s="407">
        <f>SUMIFS('Lista contas'!$I:$I,'Lista contas'!$D:$D,Tabelas!$A51,'Lista contas'!$E:$E,Tabelas!N$43)</f>
        <v>35238</v>
      </c>
      <c r="O51" s="407">
        <f>N51/(VLOOKUP($N$43,'Summary - Colar'!$M$39:$N$54,2,FALSE))</f>
        <v>37537.150466045277</v>
      </c>
      <c r="P51" s="407"/>
      <c r="Q51" s="407"/>
      <c r="R51" s="407">
        <f>SUMIFS('Lista contas'!$I:$I,'Lista contas'!$D:$D,Tabelas!$A51,'Lista contas'!$E:$E,Tabelas!R$43)</f>
        <v>47808</v>
      </c>
      <c r="S51" s="407">
        <f>R51/(VLOOKUP($R$43,'Summary - Colar'!$M$39:$N$54,2,FALSE))</f>
        <v>4321.0392620032262</v>
      </c>
      <c r="T51" s="407"/>
      <c r="U51" s="407"/>
      <c r="V51" s="407">
        <f>SUMIFS('Lista contas'!$I:$I,'Lista contas'!$D:$D,Tabelas!$A51,'Lista contas'!$E:$E,Tabelas!V$43)</f>
        <v>548622</v>
      </c>
      <c r="W51" s="407">
        <f>V51/(VLOOKUP($V$43,'Summary - Colar'!$M$39:$N$54,2,FALSE))</f>
        <v>369255.93134780414</v>
      </c>
      <c r="X51" s="407"/>
      <c r="Y51" s="407"/>
      <c r="Z51" s="407">
        <f>SUMIFS('Lista contas'!$I:$I,'Lista contas'!$D:$D,Tabelas!$A51,'Lista contas'!$E:$E,Tabelas!Z$43)</f>
        <v>49909</v>
      </c>
      <c r="AA51" s="407">
        <f>Z51/(VLOOKUP($Z$43,'Summary - Colar'!$M$39:$N$54,2,FALSE))</f>
        <v>33195.211173927499</v>
      </c>
      <c r="AB51" s="407">
        <f>SUMIFS('Lista contas'!$I:$I,'Lista contas'!$D:$D,Tabelas!$A51,'Lista contas'!$E:$E,Tabelas!O$1)</f>
        <v>5547150</v>
      </c>
      <c r="AC51" s="408">
        <f>AB51/(VLOOKUP($AB$43,'Summary - Colar'!$M$39:$N$54,2,FALSE))</f>
        <v>1303142.0684794737</v>
      </c>
    </row>
    <row r="52" spans="1:29">
      <c r="A52" s="482" t="s">
        <v>11</v>
      </c>
      <c r="B52" s="483">
        <f>SUMIFS('Lista contas'!$I:$I,'Lista contas'!$D:$D,Tabelas!$A52,'Lista contas'!$E:$E,Tabelas!B$43)</f>
        <v>110294.84</v>
      </c>
      <c r="C52" s="407">
        <f>B52/(VLOOKUP($B$43,'Summary - Colar'!$M$39:$N$54,2,FALSE))</f>
        <v>61841.828899259264</v>
      </c>
      <c r="D52" s="407"/>
      <c r="E52" s="407"/>
      <c r="F52" s="407">
        <f>SUMIFS('Lista contas'!$I:$I,'Lista contas'!$D:$D,Tabelas!$A52,'Lista contas'!$E:$E,Tabelas!F$43)</f>
        <v>1978284.83</v>
      </c>
      <c r="G52" s="407">
        <f>F52/(VLOOKUP($F$43,'Summary - Colar'!$M$39:$N$54,2,FALSE))</f>
        <v>265196.29877877131</v>
      </c>
      <c r="H52" s="407">
        <f>SUMIFS('Lista contas'!$I:$I,'Lista contas'!$D:$D,Tabelas!$A52,'Lista contas'!$E:$E,Tabelas!H$43)</f>
        <v>57733.05</v>
      </c>
      <c r="I52" s="407">
        <f>H52/(VLOOKUP($H$43,'Summary - Colar'!$M$39:$N$54,2,FALSE))</f>
        <v>49735.570296347345</v>
      </c>
      <c r="J52" s="407">
        <f>SUMIFS('Lista contas'!$I:$I,'Lista contas'!$D:$D,Tabelas!$A52,'Lista contas'!$E:$E,Tabelas!J$43)</f>
        <v>169635.45</v>
      </c>
      <c r="K52" s="407">
        <f>J52/(VLOOKUP($J$43,'Summary - Colar'!$M$39:$N$54,2,FALSE))</f>
        <v>198915.8653846154</v>
      </c>
      <c r="L52" s="407">
        <f>SUMIFS('Lista contas'!$I:$I,'Lista contas'!$D:$D,Tabelas!$A52,'Lista contas'!$E:$E,Tabelas!L$43)</f>
        <v>197263.6</v>
      </c>
      <c r="M52" s="407">
        <f>L52/(VLOOKUP($L$43,'Summary - Colar'!$M$39:$N$54,2,FALSE))</f>
        <v>197263.6</v>
      </c>
      <c r="N52" s="407"/>
      <c r="O52" s="407"/>
      <c r="P52" s="407"/>
      <c r="Q52" s="407"/>
      <c r="R52" s="407">
        <f>SUMIFS('Lista contas'!$I:$I,'Lista contas'!$D:$D,Tabelas!$A52,'Lista contas'!$E:$E,Tabelas!R$43)</f>
        <v>302760.11</v>
      </c>
      <c r="S52" s="407">
        <f>R52/(VLOOKUP($R$43,'Summary - Colar'!$M$39:$N$54,2,FALSE))</f>
        <v>27364.422738420672</v>
      </c>
      <c r="T52" s="407"/>
      <c r="U52" s="407"/>
      <c r="V52" s="407"/>
      <c r="W52" s="407"/>
      <c r="X52" s="407"/>
      <c r="Y52" s="407"/>
      <c r="Z52" s="407"/>
      <c r="AA52" s="407"/>
      <c r="AB52" s="407"/>
      <c r="AC52" s="408"/>
    </row>
    <row r="53" spans="1:29">
      <c r="A53" s="482" t="s">
        <v>461</v>
      </c>
      <c r="B53" s="483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>
        <f>SUMIFS('Lista contas'!$I:$I,'Lista contas'!$D:$D,Tabelas!$A53,'Lista contas'!$E:$E,Tabelas!Z$43)</f>
        <v>914806</v>
      </c>
      <c r="AA53" s="407">
        <f>Z53/(VLOOKUP($Z$43,'Summary - Colar'!$M$39:$N$54,2,FALSE))</f>
        <v>608450.94778849347</v>
      </c>
      <c r="AB53" s="407"/>
      <c r="AC53" s="408"/>
    </row>
    <row r="54" spans="1:29">
      <c r="A54" s="482" t="s">
        <v>462</v>
      </c>
      <c r="B54" s="483"/>
      <c r="C54" s="407"/>
      <c r="D54" s="407"/>
      <c r="E54" s="407"/>
      <c r="F54" s="407"/>
      <c r="G54" s="407"/>
      <c r="H54" s="407"/>
      <c r="I54" s="407"/>
      <c r="J54" s="407"/>
      <c r="K54" s="407"/>
      <c r="L54" s="407">
        <f>SUMIFS('Lista contas'!$I:$I,'Lista contas'!$D:$D,Tabelas!$A54,'Lista contas'!$E:$E,Tabelas!L$43)</f>
        <v>530728</v>
      </c>
      <c r="M54" s="407">
        <f>L54/(VLOOKUP($L$43,'Summary - Colar'!$M$39:$N$54,2,FALSE))</f>
        <v>530728</v>
      </c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8"/>
    </row>
    <row r="55" spans="1:29">
      <c r="A55" s="482" t="s">
        <v>463</v>
      </c>
      <c r="B55" s="483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>
        <f>SUMIFS('Lista contas'!$I:$I,'Lista contas'!$D:$D,Tabelas!$A55,'Lista contas'!$E:$E,Tabelas!N$43)</f>
        <v>109617</v>
      </c>
      <c r="O55" s="407">
        <f>N55/(VLOOKUP($N$43,'Summary - Colar'!$M$39:$N$54,2,FALSE))</f>
        <v>116769.10785619175</v>
      </c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8"/>
    </row>
    <row r="56" spans="1:29">
      <c r="A56" s="482" t="s">
        <v>304</v>
      </c>
      <c r="B56" s="483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>
        <f>SUMIFS('Lista contas'!$I:$I,'Lista contas'!$D:$D,Tabelas!$A56,'Lista contas'!$E:$E,Tabelas!T$43)</f>
        <v>9125</v>
      </c>
      <c r="U56" s="407">
        <f>T56/(VLOOKUP($T$43,'Summary - Colar'!$M$39:$N$54,2,FALSE))</f>
        <v>1876.8768768768771</v>
      </c>
      <c r="V56" s="407">
        <f>SUMIFS('Lista contas'!$I:$I,'Lista contas'!$D:$D,Tabelas!$A56,'Lista contas'!$E:$E,Tabelas!V$43)</f>
        <v>555477</v>
      </c>
      <c r="W56" s="407">
        <f>V56/(VLOOKUP($V$43,'Summary - Colar'!$M$39:$N$54,2,FALSE))</f>
        <v>373869.76274608786</v>
      </c>
      <c r="X56" s="407"/>
      <c r="Y56" s="407"/>
      <c r="Z56" s="407"/>
      <c r="AA56" s="407"/>
      <c r="AB56" s="407"/>
      <c r="AC56" s="408"/>
    </row>
    <row r="57" spans="1:29">
      <c r="A57" s="472" t="s">
        <v>281</v>
      </c>
      <c r="B57" s="484">
        <f>SUM(B44:B56)</f>
        <v>859231.34</v>
      </c>
      <c r="C57" s="485">
        <f>B57/(VLOOKUP($B$43,'Summary - Colar'!$M$39:$N$54,2,FALSE))</f>
        <v>481767.21153193805</v>
      </c>
      <c r="D57" s="485">
        <f>SUM(D44:D56)</f>
        <v>24779990.399999999</v>
      </c>
      <c r="E57" s="485">
        <f>D57/(VLOOKUP($D$43,'Summary - Colar'!$M$39:$N$54,2,FALSE))</f>
        <v>2116139.412138293</v>
      </c>
      <c r="F57" s="485">
        <f>SUM(F44:F56)</f>
        <v>3665893.83</v>
      </c>
      <c r="G57" s="485">
        <f>F57/(VLOOKUP($F$43,'Summary - Colar'!$M$39:$N$54,2,FALSE))</f>
        <v>491426.44208212127</v>
      </c>
      <c r="H57" s="485">
        <f>SUM(H44:H56)</f>
        <v>2247127.0499999998</v>
      </c>
      <c r="I57" s="485">
        <f>H57/(VLOOKUP($H$43,'Summary - Colar'!$M$39:$N$54,2,FALSE))</f>
        <v>1935843.4269469329</v>
      </c>
      <c r="J57" s="485">
        <f>SUM(J44:J56)</f>
        <v>4488086.0200000005</v>
      </c>
      <c r="K57" s="485">
        <f>J57/(VLOOKUP($J$43,'Summary - Colar'!$M$39:$N$54,2,FALSE))</f>
        <v>5262765.0328330211</v>
      </c>
      <c r="L57" s="485">
        <f>SUM(L44:L56)</f>
        <v>21960468.170000002</v>
      </c>
      <c r="M57" s="485">
        <f>L57/(VLOOKUP($L$43,'Summary - Colar'!$M$39:$N$54,2,FALSE))</f>
        <v>21960468.170000002</v>
      </c>
      <c r="N57" s="485">
        <f>SUM(N44:N56)</f>
        <v>467829.55</v>
      </c>
      <c r="O57" s="485">
        <f>N57/(VLOOKUP($N$43,'Summary - Colar'!$M$39:$N$54,2,FALSE))</f>
        <v>498353.71504660451</v>
      </c>
      <c r="P57" s="485">
        <f>SUM(P44:P56)</f>
        <v>5873184</v>
      </c>
      <c r="Q57" s="485">
        <f>P57/(VLOOKUP($P$43,'Summary - Colar'!$M$39:$N$54,2,FALSE))</f>
        <v>303385.71570699464</v>
      </c>
      <c r="R57" s="485">
        <f>SUM(R44:R56)</f>
        <v>51143853.109999999</v>
      </c>
      <c r="S57" s="485">
        <f>R57/(VLOOKUP($R$43,'Summary - Colar'!$M$39:$N$54,2,FALSE))</f>
        <v>4622544.2875342155</v>
      </c>
      <c r="T57" s="485">
        <f>SUM(T44:T56)</f>
        <v>2109601.5</v>
      </c>
      <c r="U57" s="485">
        <f>T57/(VLOOKUP($T$43,'Summary - Colar'!$M$39:$N$54,2,FALSE))</f>
        <v>433913.67394792056</v>
      </c>
      <c r="V57" s="485">
        <f>SUM(V44:V56)</f>
        <v>1831079.28</v>
      </c>
      <c r="W57" s="485">
        <f>V57/(VLOOKUP($V$43,'Summary - Colar'!$M$39:$N$54,2,FALSE))</f>
        <v>1232427.5820292782</v>
      </c>
      <c r="X57" s="485">
        <f>SUM(X44:X56)</f>
        <v>3688612211</v>
      </c>
      <c r="Y57" s="485">
        <f>X57/(VLOOKUP($X$43,'Summary - Colar'!$M$39:$N$54,2,FALSE))</f>
        <v>216595.30903047445</v>
      </c>
      <c r="Z57" s="485">
        <f>SUM(Z44:Z56)</f>
        <v>964715</v>
      </c>
      <c r="AA57" s="485">
        <f>Z57/(VLOOKUP($Z$43,'Summary - Colar'!$M$39:$N$54,2,FALSE))</f>
        <v>641646.158962421</v>
      </c>
      <c r="AB57" s="485">
        <f>SUM(AB44:AB56)</f>
        <v>5547150</v>
      </c>
      <c r="AC57" s="486">
        <f>AB57/(VLOOKUP($AB$43,'Summary - Colar'!$M$39:$N$54,2,FALSE))</f>
        <v>1303142.0684794737</v>
      </c>
    </row>
    <row r="63" spans="1:29">
      <c r="A63" s="16" t="s">
        <v>472</v>
      </c>
    </row>
    <row r="64" spans="1:29">
      <c r="B64" s="15" t="s">
        <v>5</v>
      </c>
      <c r="C64" s="19" t="s">
        <v>464</v>
      </c>
      <c r="D64" s="15" t="s">
        <v>16</v>
      </c>
      <c r="E64" s="19" t="s">
        <v>464</v>
      </c>
      <c r="F64" s="15" t="s">
        <v>6</v>
      </c>
      <c r="G64" s="19" t="s">
        <v>464</v>
      </c>
      <c r="H64" s="15" t="s">
        <v>19</v>
      </c>
      <c r="I64" s="19" t="s">
        <v>464</v>
      </c>
      <c r="J64" s="15" t="s">
        <v>2</v>
      </c>
      <c r="K64" s="19" t="s">
        <v>464</v>
      </c>
      <c r="L64" s="15" t="s">
        <v>9</v>
      </c>
      <c r="M64" s="19" t="s">
        <v>464</v>
      </c>
      <c r="N64" s="15" t="s">
        <v>14</v>
      </c>
      <c r="O64" s="19" t="s">
        <v>464</v>
      </c>
      <c r="P64" s="15" t="s">
        <v>4</v>
      </c>
      <c r="Q64" s="19" t="s">
        <v>464</v>
      </c>
      <c r="R64" s="15" t="s">
        <v>15</v>
      </c>
      <c r="S64" s="19" t="s">
        <v>464</v>
      </c>
      <c r="T64" s="15" t="s">
        <v>3</v>
      </c>
      <c r="U64" s="19" t="s">
        <v>464</v>
      </c>
      <c r="V64" s="15" t="s">
        <v>7</v>
      </c>
      <c r="W64" s="19" t="s">
        <v>464</v>
      </c>
      <c r="X64" s="19" t="s">
        <v>465</v>
      </c>
    </row>
    <row r="65" spans="1:24" s="17" customFormat="1">
      <c r="A65" s="17" t="s">
        <v>306</v>
      </c>
      <c r="B65" s="17">
        <f>SUMIFS('Lista contas'!$I:$I,'Lista contas'!$D:$D,Tabelas!$A65,'Lista contas'!$E:$E,Tabelas!B$64,'Lista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contas'!$D:$D,Tabelas!$A65,'Lista contas'!$E:$E,Tabelas!D$64,'Lista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contas'!$D:$D,Tabelas!$A65,'Lista contas'!$E:$E,Tabelas!F$64,'Lista contas'!$A:$A,'Lista contas'!$A$28)</f>
        <v>10000000</v>
      </c>
      <c r="G65" s="43">
        <f>F65/(VLOOKUP($F$64,'Summary - Colar'!$M$39:$N$54,2,FALSE))</f>
        <v>903831.8402784525</v>
      </c>
      <c r="H65" s="17">
        <f>SUMIFS('Lista contas'!$I:$I,'Lista contas'!$D:$D,Tabelas!$A65,'Lista contas'!$E:$E,Tabelas!H$64,'Lista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contas'!$D:$D,Tabelas!$A65,'Lista contas'!$E:$E,Tabelas!J$64,'Lista contas'!$A:$A,'Lista contas'!$A$28)</f>
        <v>13288388.57</v>
      </c>
      <c r="K65" s="43">
        <f>J65/(VLOOKUP($J$64,'Summary - Colar'!$M$39:$N$54,2,FALSE))</f>
        <v>13288388.57</v>
      </c>
      <c r="L65" s="17">
        <f>SUMIFS('Lista contas'!$I:$I,'Lista contas'!$D:$D,Tabelas!$A65,'Lista contas'!$E:$E,Tabelas!L$64,'Lista contas'!$A:$A,'Lista contas'!$A$28)</f>
        <v>100</v>
      </c>
      <c r="M65" s="43">
        <f>L65/(VLOOKUP($L$64,'Summary - Colar'!$M$39:$N$54,2,FALSE))</f>
        <v>106.52463382157124</v>
      </c>
      <c r="N65" s="17">
        <f>SUMIFS('Lista contas'!$I:$I,'Lista contas'!$D:$D,Tabelas!$A65,'Lista contas'!$E:$E,Tabelas!N$64,'Lista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contas'!$D:$D,Tabelas!$A65,'Lista contas'!$E:$E,Tabelas!P$64,'Lista contas'!$A:$A,'Lista contas'!$A$28)</f>
        <v>0</v>
      </c>
      <c r="Q65" s="43">
        <f>P65/(VLOOKUP($P$64,'Summary - Colar'!$M$39:$N$54,2,FALSE))</f>
        <v>0</v>
      </c>
      <c r="R65" s="17">
        <f>SUMIFS('Lista contas'!$I:$I,'Lista contas'!$D:$D,Tabelas!$A65,'Lista contas'!$E:$E,Tabelas!R$64,'Lista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contas'!$D:$D,Tabelas!$A65,'Lista contas'!$E:$E,Tabelas!T$64,'Lista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contas'!$D:$D,Tabelas!$A65,'Lista contas'!$E:$E,Tabelas!V$64,'Lista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14192326.934912274</v>
      </c>
    </row>
    <row r="66" spans="1:24" s="17" customFormat="1">
      <c r="A66" s="17" t="s">
        <v>336</v>
      </c>
      <c r="B66" s="17">
        <f>SUMIFS('Lista contas'!$I:$I,'Lista contas'!$D:$D,Tabelas!$A66,'Lista contas'!$E:$E,Tabelas!B$64,'Lista contas'!$A:$A,'Lista contas'!$A$28)</f>
        <v>602660</v>
      </c>
      <c r="C66" s="43">
        <f>B66/(VLOOKUP($B$64,'Summary - Colar'!$M$39:$N$54,2,FALSE))</f>
        <v>519176.43004824256</v>
      </c>
      <c r="D66" s="17">
        <f>SUMIFS('Lista contas'!$I:$I,'Lista contas'!$D:$D,Tabelas!$A66,'Lista contas'!$E:$E,Tabelas!D$64,'Lista contas'!$A:$A,'Lista contas'!$A$28)</f>
        <v>548622</v>
      </c>
      <c r="E66" s="43">
        <f>D66/(VLOOKUP($D$64,'Summary - Colar'!$M$39:$N$54,2,FALSE))</f>
        <v>369255.93134780414</v>
      </c>
      <c r="F66" s="17">
        <f>SUMIFS('Lista contas'!$I:$I,'Lista contas'!$D:$D,Tabelas!$A66,'Lista contas'!$E:$E,Tabelas!F$64,'Lista contas'!$A:$A,'Lista contas'!$A$28)</f>
        <v>47808</v>
      </c>
      <c r="G66" s="43">
        <f>F66/(VLOOKUP($F$64,'Summary - Colar'!$M$39:$N$54,2,FALSE))</f>
        <v>4321.0392620032262</v>
      </c>
      <c r="H66" s="17">
        <f>SUMIFS('Lista contas'!$I:$I,'Lista contas'!$D:$D,Tabelas!$A66,'Lista contas'!$E:$E,Tabelas!H$64,'Lista contas'!$A:$A,'Lista contas'!$A$28)</f>
        <v>123856</v>
      </c>
      <c r="I66" s="43">
        <f>H66/(VLOOKUP($H$64,'Summary - Colar'!$M$39:$N$54,2,FALSE))</f>
        <v>10576.943687185627</v>
      </c>
      <c r="J66" s="17">
        <f>SUMIFS('Lista contas'!$I:$I,'Lista contas'!$D:$D,Tabelas!$A66,'Lista contas'!$E:$E,Tabelas!J$64,'Lista contas'!$A:$A,'Lista contas'!$A$28)</f>
        <v>5484032</v>
      </c>
      <c r="K66" s="43">
        <f>J66/(VLOOKUP($J$64,'Summary - Colar'!$M$39:$N$54,2,FALSE))</f>
        <v>5484032</v>
      </c>
      <c r="L66" s="17">
        <f>SUMIFS('Lista contas'!$I:$I,'Lista contas'!$D:$D,Tabelas!$A66,'Lista contas'!$E:$E,Tabelas!L$64,'Lista contas'!$A:$A,'Lista contas'!$A$28)</f>
        <v>35238</v>
      </c>
      <c r="M66" s="43">
        <f>L66/(VLOOKUP($L$64,'Summary - Colar'!$M$39:$N$54,2,FALSE))</f>
        <v>37537.150466045277</v>
      </c>
      <c r="N66" s="17">
        <f>SUMIFS('Lista contas'!$I:$I,'Lista contas'!$D:$D,Tabelas!$A66,'Lista contas'!$E:$E,Tabelas!N$64,'Lista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contas'!$D:$D,Tabelas!$A66,'Lista contas'!$E:$E,Tabelas!P$64,'Lista contas'!$A:$A,'Lista contas'!$A$28)</f>
        <v>4286964</v>
      </c>
      <c r="Q66" s="43">
        <f>P66/(VLOOKUP($P$64,'Summary - Colar'!$M$39:$N$54,2,FALSE))</f>
        <v>5026927.7673545964</v>
      </c>
      <c r="R66" s="17">
        <f>SUMIFS('Lista contas'!$I:$I,'Lista contas'!$D:$D,Tabelas!$A66,'Lista contas'!$E:$E,Tabelas!R$64,'Lista contas'!$A:$A,'Lista contas'!$A$28)</f>
        <v>169687</v>
      </c>
      <c r="S66" s="43">
        <f>R66/(VLOOKUP($R$64,'Summary - Colar'!$M$39:$N$54,2,FALSE))</f>
        <v>39863.041052446111</v>
      </c>
      <c r="T66" s="17">
        <f>SUMIFS('Lista contas'!$I:$I,'Lista contas'!$D:$D,Tabelas!$A66,'Lista contas'!$E:$E,Tabelas!T$64,'Lista contas'!$A:$A,'Lista contas'!$A$28)</f>
        <v>505677</v>
      </c>
      <c r="U66" s="43">
        <f>T66/(VLOOKUP($T$64,'Summary - Colar'!$M$39:$N$54,2,FALSE))</f>
        <v>67787.846696247841</v>
      </c>
      <c r="V66" s="17">
        <f>SUMIFS('Lista contas'!$I:$I,'Lista contas'!$D:$D,Tabelas!$A66,'Lista contas'!$E:$E,Tabelas!V$64,'Lista contas'!$A:$A,'Lista contas'!$A$28)</f>
        <v>3191</v>
      </c>
      <c r="W66" s="43">
        <f>V66/(VLOOKUP($V$64,'Summary - Colar'!$M$39:$N$54,2,FALSE))</f>
        <v>1789.1795846255031</v>
      </c>
      <c r="X66" s="17">
        <f>SUM(C66,E66,G66,I66,K66,M66,O66,Q66,S66,U66,W66)</f>
        <v>11594462.540673124</v>
      </c>
    </row>
    <row r="67" spans="1:24">
      <c r="X67" s="43">
        <f>SUM(X65:X66)</f>
        <v>25786789.475585397</v>
      </c>
    </row>
    <row r="76" spans="1:24">
      <c r="B76" s="741" t="s">
        <v>473</v>
      </c>
      <c r="C76" s="741"/>
      <c r="D76" s="741"/>
    </row>
    <row r="77" spans="1:24" ht="15" customHeight="1">
      <c r="B77" s="738" t="s">
        <v>474</v>
      </c>
      <c r="C77" s="739"/>
      <c r="D77" s="740"/>
    </row>
    <row r="78" spans="1:24" ht="15" customHeight="1">
      <c r="B78" s="38" t="s">
        <v>475</v>
      </c>
      <c r="C78" s="282">
        <f>'Term Deposits'!U5</f>
        <v>15170716.710000001</v>
      </c>
      <c r="D78" s="374"/>
    </row>
    <row r="79" spans="1:24">
      <c r="B79" s="38" t="s">
        <v>311</v>
      </c>
      <c r="C79" s="282">
        <f>SUMIF(Tabelas!$A$44:$A$56,Tabelas!B79,Tabelas!$C$44:$C$56)+SUMIF(Tabelas!$A$44:$A$56,Tabelas!B79,Tabelas!$E$44:$E$56)+SUMIF(Tabelas!$A$44:$A$56,Tabelas!B79,Tabelas!$G$44:$G$56)+SUMIF(Tabelas!$A$44:$A$56,Tabelas!B79,Tabelas!$I$44:$I$56)+SUMIF(Tabelas!$A$44:$A$56,Tabelas!B79,Tabelas!$K$44:$K$56)+SUMIF(Tabelas!$A$44:$A$56,Tabelas!B79,Tabelas!$M$44:$M$56)+SUMIF(Tabelas!$A$44:$A$56,Tabelas!B79,Tabelas!$O$44:$O$56)+SUMIF(Tabelas!$A$44:$A$56,Tabelas!B79,Tabelas!$Q$44:$Q$56)+SUMIF(Tabelas!$A$44:$A$56,Tabelas!B79,Tabelas!$S$44:$S$56)+SUMIF(Tabelas!$A$44:$A$56,Tabelas!B79,Tabelas!$U$44:$U$56)+SUMIF(Tabelas!$A$44:$A$56,Tabelas!B79,Tabelas!$W$44:$W$56)+SUMIF(Tabelas!$A$44:$A$56,Tabelas!B79,Tabelas!$Y$44:$Y$56)+SUMIF(Tabelas!$A$44:$A$56,Tabelas!B79,Tabelas!$AA$44:$AA$56)+SUMIF(Tabelas!$A$44:$A$56,Tabelas!B79,Tabelas!$AC$44:$AC$56)</f>
        <v>510.23297461899335</v>
      </c>
      <c r="D79" s="282"/>
    </row>
    <row r="80" spans="1:24">
      <c r="B80" s="38" t="s">
        <v>457</v>
      </c>
      <c r="C80" s="282">
        <f>SUMIF(Tabelas!$A$44:$A$56,Tabelas!B80,Tabelas!$C$44:$C$56)+SUMIF(Tabelas!$A$44:$A$56,Tabelas!B80,Tabelas!$E$44:$E$56)+SUMIF(Tabelas!$A$44:$A$56,Tabelas!B80,Tabelas!$G$44:$G$56)+SUMIF(Tabelas!$A$44:$A$56,Tabelas!B80,Tabelas!$I$44:$I$56)+SUMIF(Tabelas!$A$44:$A$56,Tabelas!B80,Tabelas!$K$44:$K$56)+SUMIF(Tabelas!$A$44:$A$56,Tabelas!B80,Tabelas!$M$44:$M$56)+SUMIF(Tabelas!$A$44:$A$56,Tabelas!B80,Tabelas!$O$44:$O$56)+SUMIF(Tabelas!$A$44:$A$56,Tabelas!B80,Tabelas!$Q$44:$Q$56)+SUMIF(Tabelas!$A$44:$A$56,Tabelas!B80,Tabelas!$S$44:$S$56)+SUMIF(Tabelas!$A$44:$A$56,Tabelas!B80,Tabelas!$U$44:$U$56)+SUMIF(Tabelas!$A$44:$A$56,Tabelas!B80,Tabelas!$W$44:$W$56)+SUMIF(Tabelas!$A$44:$A$56,Tabelas!B80,Tabelas!$Y$44:$Y$56)+SUMIF(Tabelas!$A$44:$A$56,Tabelas!B80,Tabelas!$AA$44:$AA$56)+SUMIF(Tabelas!$A$44:$A$56,Tabelas!B80,Tabelas!$AC$44:$AC$56)</f>
        <v>2264004.7650582097</v>
      </c>
      <c r="D80" s="282"/>
    </row>
    <row r="81" spans="2:4">
      <c r="B81" s="38" t="s">
        <v>12</v>
      </c>
      <c r="C81" s="282">
        <f>SUMIF(Tabelas!$A$44:$A$56,Tabelas!B81,Tabelas!$C$44:$C$56)+SUMIF(Tabelas!$A$44:$A$56,Tabelas!B81,Tabelas!$E$44:$E$56)+SUMIF(Tabelas!$A$44:$A$56,Tabelas!B81,Tabelas!$G$44:$G$56)+SUMIF(Tabelas!$A$44:$A$56,Tabelas!B81,Tabelas!$I$44:$I$56)+SUMIF(Tabelas!$A$44:$A$56,Tabelas!B81,Tabelas!$K$44:$K$56)+SUMIF(Tabelas!$A$44:$A$56,Tabelas!B81,Tabelas!$M$44:$M$56)+SUMIF(Tabelas!$A$44:$A$56,Tabelas!B81,Tabelas!$O$44:$O$56)+SUMIF(Tabelas!$A$44:$A$56,Tabelas!B81,Tabelas!$Q$44:$Q$56)+SUMIF(Tabelas!$A$44:$A$56,Tabelas!B81,Tabelas!$S$44:$S$56)+SUMIF(Tabelas!$A$44:$A$56,Tabelas!B81,Tabelas!$U$44:$U$56)+SUMIF(Tabelas!$A$44:$A$56,Tabelas!B81,Tabelas!$W$44:$W$56)+SUMIF(Tabelas!$A$44:$A$56,Tabelas!B81,Tabelas!$Y$44:$Y$56)+SUMIF(Tabelas!$A$44:$A$56,Tabelas!B81,Tabelas!$AA$44:$AA$56)+SUMIF(Tabelas!$A$44:$A$56,Tabelas!B81,Tabelas!$AC$44:$AC$56)</f>
        <v>362024.98619879258</v>
      </c>
      <c r="D81" s="282"/>
    </row>
    <row r="82" spans="2:4">
      <c r="B82" s="38" t="s">
        <v>458</v>
      </c>
      <c r="C82" s="282">
        <f>SUMIF(Tabelas!$A$44:$A$56,Tabelas!B82,Tabelas!$C$44:$C$56)+SUMIF(Tabelas!$A$44:$A$56,Tabelas!B82,Tabelas!$E$44:$E$56)+SUMIF(Tabelas!$A$44:$A$56,Tabelas!B82,Tabelas!$G$44:$G$56)+SUMIF(Tabelas!$A$44:$A$56,Tabelas!B82,Tabelas!$I$44:$I$56)+SUMIF(Tabelas!$A$44:$A$56,Tabelas!B82,Tabelas!$K$44:$K$56)+SUMIF(Tabelas!$A$44:$A$56,Tabelas!B82,Tabelas!$M$44:$M$56)+SUMIF(Tabelas!$A$44:$A$56,Tabelas!B82,Tabelas!$O$44:$O$56)+SUMIF(Tabelas!$A$44:$A$56,Tabelas!B82,Tabelas!$Q$44:$Q$56)+SUMIF(Tabelas!$A$44:$A$56,Tabelas!B82,Tabelas!$S$44:$S$56)+SUMIF(Tabelas!$A$44:$A$56,Tabelas!B82,Tabelas!$U$44:$U$56)+SUMIF(Tabelas!$A$44:$A$56,Tabelas!B82,Tabelas!$W$44:$W$56)+SUMIF(Tabelas!$A$44:$A$56,Tabelas!B82,Tabelas!$Y$44:$Y$56)+SUMIF(Tabelas!$A$44:$A$56,Tabelas!B82,Tabelas!$AA$44:$AA$56)+SUMIF(Tabelas!$A$44:$A$56,Tabelas!B82,Tabelas!$AC$44:$AC$56)</f>
        <v>303385.71570699464</v>
      </c>
      <c r="D82" s="282"/>
    </row>
    <row r="83" spans="2:4">
      <c r="B83" s="38" t="s">
        <v>459</v>
      </c>
      <c r="C83" s="282">
        <f>SUMIF(Tabelas!$A$44:$A$56,Tabelas!B83,Tabelas!$C$44:$C$56)+SUMIF(Tabelas!$A$44:$A$56,Tabelas!B83,Tabelas!$E$44:$E$56)+SUMIF(Tabelas!$A$44:$A$56,Tabelas!B83,Tabelas!$G$44:$G$56)+SUMIF(Tabelas!$A$44:$A$56,Tabelas!B83,Tabelas!$I$44:$I$56)+SUMIF(Tabelas!$A$44:$A$56,Tabelas!B83,Tabelas!$K$44:$K$56)+SUMIF(Tabelas!$A$44:$A$56,Tabelas!B83,Tabelas!$M$44:$M$56)+SUMIF(Tabelas!$A$44:$A$56,Tabelas!B83,Tabelas!$O$44:$O$56)+SUMIF(Tabelas!$A$44:$A$56,Tabelas!B83,Tabelas!$Q$44:$Q$56)+SUMIF(Tabelas!$A$44:$A$56,Tabelas!B83,Tabelas!$S$44:$S$56)+SUMIF(Tabelas!$A$44:$A$56,Tabelas!B83,Tabelas!$U$44:$U$56)+SUMIF(Tabelas!$A$44:$A$56,Tabelas!B83,Tabelas!$W$44:$W$56)+SUMIF(Tabelas!$A$44:$A$56,Tabelas!B83,Tabelas!$Y$44:$Y$56)+SUMIF(Tabelas!$A$44:$A$56,Tabelas!B83,Tabelas!$AA$44:$AA$56)+SUMIF(Tabelas!$A$44:$A$56,Tabelas!B83,Tabelas!$AC$44:$AC$56)</f>
        <v>3882243.2781567862</v>
      </c>
      <c r="D83" s="282"/>
    </row>
    <row r="84" spans="2:4">
      <c r="B84" s="38" t="s">
        <v>471</v>
      </c>
      <c r="C84" s="282">
        <f>SUMIF(Tabelas!$A$44:$A$56,Tabelas!B84,Tabelas!$C$44:$C$56)+SUMIF(Tabelas!$A$44:$A$56,Tabelas!B84,Tabelas!$E$44:$E$56)+SUMIF(Tabelas!$A$44:$A$56,Tabelas!B84,Tabelas!$G$44:$G$56)+SUMIF(Tabelas!$A$44:$A$56,Tabelas!B84,Tabelas!$I$44:$I$56)+SUMIF(Tabelas!$A$44:$A$56,Tabelas!B84,Tabelas!$K$44:$K$56)+SUMIF(Tabelas!$A$44:$A$56,Tabelas!B84,Tabelas!$M$44:$M$56)+SUMIF(Tabelas!$A$44:$A$56,Tabelas!B84,Tabelas!$O$44:$O$56)+SUMIF(Tabelas!$A$44:$A$56,Tabelas!B84,Tabelas!$Q$44:$Q$56)+SUMIF(Tabelas!$A$44:$A$56,Tabelas!B84,Tabelas!$S$44:$S$56)+SUMIF(Tabelas!$A$44:$A$56,Tabelas!B84,Tabelas!$U$44:$U$56)+SUMIF(Tabelas!$A$44:$A$56,Tabelas!B84,Tabelas!$W$44:$W$56)+SUMIF(Tabelas!$A$44:$A$56,Tabelas!B84,Tabelas!$Y$44:$Y$56)+SUMIF(Tabelas!$A$44:$A$56,Tabelas!B84,Tabelas!$AA$44:$AA$56)+SUMIF(Tabelas!$A$44:$A$56,Tabelas!B84,Tabelas!$AC$44:$AC$56)</f>
        <v>177608</v>
      </c>
      <c r="D84" s="282"/>
    </row>
    <row r="85" spans="2:4">
      <c r="B85" s="38" t="s">
        <v>306</v>
      </c>
      <c r="C85" s="282">
        <f>SUMIF(Tabelas!$A$44:$A$56,Tabelas!B85,Tabelas!$C$44:$C$56)+SUMIF(Tabelas!$A$44:$A$56,Tabelas!B85,Tabelas!$E$44:$E$56)+SUMIF(Tabelas!$A$44:$A$56,Tabelas!B85,Tabelas!$G$44:$G$56)+SUMIF(Tabelas!$A$44:$A$56,Tabelas!B85,Tabelas!$I$44:$I$56)+SUMIF(Tabelas!$A$44:$A$56,Tabelas!B85,Tabelas!$K$44:$K$56)+SUMIF(Tabelas!$A$44:$A$56,Tabelas!B85,Tabelas!$M$44:$M$56)+SUMIF(Tabelas!$A$44:$A$56,Tabelas!B85,Tabelas!$O$44:$O$56)+SUMIF(Tabelas!$A$44:$A$56,Tabelas!B85,Tabelas!$Q$44:$Q$56)+SUMIF(Tabelas!$A$44:$A$56,Tabelas!B85,Tabelas!$S$44:$S$56)+SUMIF(Tabelas!$A$44:$A$56,Tabelas!B85,Tabelas!$U$44:$U$56)+SUMIF(Tabelas!$A$44:$A$56,Tabelas!B85,Tabelas!$W$44:$W$56)+SUMIF(Tabelas!$A$44:$A$56,Tabelas!B85,Tabelas!$Y$44:$Y$56)+SUMIF(Tabelas!$A$44:$A$56,Tabelas!B85,Tabelas!$AA$44:$AA$56)+SUMIF(Tabelas!$A$44:$A$56,Tabelas!B85,Tabelas!$AC$44:$AC$56)</f>
        <v>17092383.637620889</v>
      </c>
      <c r="D85" s="282">
        <f>SUM(Tabelas!C65,Tabelas!E65,Tabelas!G65,Tabelas!I65,Tabelas!K65,Tabelas!M65,Tabelas!O65,Tabelas!Q65,Tabelas!S65,Tabelas!U65,Tabelas!W65)</f>
        <v>14192326.934912274</v>
      </c>
    </row>
    <row r="86" spans="2:4">
      <c r="B86" s="38" t="s">
        <v>336</v>
      </c>
      <c r="C86" s="282">
        <f>SUMIF(Tabelas!$A$44:$A$56,Tabelas!B86,Tabelas!$C$44:$C$56)+SUMIF(Tabelas!$A$44:$A$56,Tabelas!B86,Tabelas!$E$44:$E$56)+SUMIF(Tabelas!$A$44:$A$56,Tabelas!B86,Tabelas!$G$44:$G$56)+SUMIF(Tabelas!$A$44:$A$56,Tabelas!B86,Tabelas!$I$44:$I$56)+SUMIF(Tabelas!$A$44:$A$56,Tabelas!B86,Tabelas!$K$44:$K$56)+SUMIF(Tabelas!$A$44:$A$56,Tabelas!B86,Tabelas!$M$44:$M$56)+SUMIF(Tabelas!$A$44:$A$56,Tabelas!B86,Tabelas!$O$44:$O$56)+SUMIF(Tabelas!$A$44:$A$56,Tabelas!B86,Tabelas!$Q$44:$Q$56)+SUMIF(Tabelas!$A$44:$A$56,Tabelas!B86,Tabelas!$S$44:$S$56)+SUMIF(Tabelas!$A$44:$A$56,Tabelas!B86,Tabelas!$U$44:$U$56)+SUMIF(Tabelas!$A$44:$A$56,Tabelas!B86,Tabelas!$W$44:$W$56)+SUMIF(Tabelas!$A$44:$A$56,Tabelas!B86,Tabelas!$Y$44:$Y$56)+SUMIF(Tabelas!$A$44:$A$56,Tabelas!B86,Tabelas!$AA$44:$AA$56)+SUMIF(Tabelas!$A$44:$A$56,Tabelas!B86,Tabelas!$AC$44:$AC$56)</f>
        <v>14986245.309188332</v>
      </c>
      <c r="D86" s="282">
        <f>SUM(Tabelas!C66,Tabelas!E66,Tabelas!G66,Tabelas!I66,Tabelas!K66,Tabelas!M66,Tabelas!O66,Tabelas!Q66,Tabelas!S66,Tabelas!U66,Tabelas!W66)</f>
        <v>11594462.540673124</v>
      </c>
    </row>
    <row r="87" spans="2:4">
      <c r="B87" s="38" t="s">
        <v>11</v>
      </c>
      <c r="C87" s="282">
        <f>SUMIF(Tabelas!$A$44:$A$56,Tabelas!B87,Tabelas!$C$44:$C$56)+SUMIF(Tabelas!$A$44:$A$56,Tabelas!B87,Tabelas!$E$44:$E$56)+SUMIF(Tabelas!$A$44:$A$56,Tabelas!B87,Tabelas!$G$44:$G$56)+SUMIF(Tabelas!$A$44:$A$56,Tabelas!B87,Tabelas!$I$44:$I$56)+SUMIF(Tabelas!$A$44:$A$56,Tabelas!B87,Tabelas!$K$44:$K$56)+SUMIF(Tabelas!$A$44:$A$56,Tabelas!B87,Tabelas!$M$44:$M$56)+SUMIF(Tabelas!$A$44:$A$56,Tabelas!B87,Tabelas!$O$44:$O$56)+SUMIF(Tabelas!$A$44:$A$56,Tabelas!B87,Tabelas!$Q$44:$Q$56)+SUMIF(Tabelas!$A$44:$A$56,Tabelas!B87,Tabelas!$S$44:$S$56)+SUMIF(Tabelas!$A$44:$A$56,Tabelas!B87,Tabelas!$U$44:$U$56)+SUMIF(Tabelas!$A$44:$A$56,Tabelas!B87,Tabelas!$W$44:$W$56)+SUMIF(Tabelas!$A$44:$A$56,Tabelas!B87,Tabelas!$Y$44:$Y$56)+SUMIF(Tabelas!$A$44:$A$56,Tabelas!B87,Tabelas!$AA$44:$AA$56)+SUMIF(Tabelas!$A$44:$A$56,Tabelas!B87,Tabelas!$AC$44:$AC$56)</f>
        <v>800317.58609741391</v>
      </c>
      <c r="D87" s="282"/>
    </row>
    <row r="88" spans="2:4">
      <c r="B88" s="38" t="s">
        <v>461</v>
      </c>
      <c r="C88" s="282">
        <f>SUMIF(Tabelas!$A$44:$A$56,Tabelas!B88,Tabelas!$C$44:$C$56)+SUMIF(Tabelas!$A$44:$A$56,Tabelas!B88,Tabelas!$E$44:$E$56)+SUMIF(Tabelas!$A$44:$A$56,Tabelas!B88,Tabelas!$G$44:$G$56)+SUMIF(Tabelas!$A$44:$A$56,Tabelas!B88,Tabelas!$I$44:$I$56)+SUMIF(Tabelas!$A$44:$A$56,Tabelas!B88,Tabelas!$K$44:$K$56)+SUMIF(Tabelas!$A$44:$A$56,Tabelas!B88,Tabelas!$M$44:$M$56)+SUMIF(Tabelas!$A$44:$A$56,Tabelas!B88,Tabelas!$O$44:$O$56)+SUMIF(Tabelas!$A$44:$A$56,Tabelas!B88,Tabelas!$Q$44:$Q$56)+SUMIF(Tabelas!$A$44:$A$56,Tabelas!B88,Tabelas!$S$44:$S$56)+SUMIF(Tabelas!$A$44:$A$56,Tabelas!B88,Tabelas!$U$44:$U$56)+SUMIF(Tabelas!$A$44:$A$56,Tabelas!B88,Tabelas!$W$44:$W$56)+SUMIF(Tabelas!$A$44:$A$56,Tabelas!B88,Tabelas!$Y$44:$Y$56)+SUMIF(Tabelas!$A$44:$A$56,Tabelas!B88,Tabelas!$AA$44:$AA$56)+SUMIF(Tabelas!$A$44:$A$56,Tabelas!B88,Tabelas!$AC$44:$AC$56)</f>
        <v>608450.94778849347</v>
      </c>
      <c r="D88" s="282"/>
    </row>
    <row r="89" spans="2:4">
      <c r="B89" s="38" t="s">
        <v>462</v>
      </c>
      <c r="C89" s="282">
        <f>SUMIF(Tabelas!$A$44:$A$56,Tabelas!B89,Tabelas!$C$44:$C$56)+SUMIF(Tabelas!$A$44:$A$56,Tabelas!B89,Tabelas!$E$44:$E$56)+SUMIF(Tabelas!$A$44:$A$56,Tabelas!B89,Tabelas!$G$44:$G$56)+SUMIF(Tabelas!$A$44:$A$56,Tabelas!B89,Tabelas!$I$44:$I$56)+SUMIF(Tabelas!$A$44:$A$56,Tabelas!B89,Tabelas!$K$44:$K$56)+SUMIF(Tabelas!$A$44:$A$56,Tabelas!B89,Tabelas!$M$44:$M$56)+SUMIF(Tabelas!$A$44:$A$56,Tabelas!B89,Tabelas!$O$44:$O$56)+SUMIF(Tabelas!$A$44:$A$56,Tabelas!B89,Tabelas!$Q$44:$Q$56)+SUMIF(Tabelas!$A$44:$A$56,Tabelas!B89,Tabelas!$S$44:$S$56)+SUMIF(Tabelas!$A$44:$A$56,Tabelas!B89,Tabelas!$U$44:$U$56)+SUMIF(Tabelas!$A$44:$A$56,Tabelas!B89,Tabelas!$W$44:$W$56)+SUMIF(Tabelas!$A$44:$A$56,Tabelas!B89,Tabelas!$Y$44:$Y$56)+SUMIF(Tabelas!$A$44:$A$56,Tabelas!B89,Tabelas!$AA$44:$AA$56)+SUMIF(Tabelas!$A$44:$A$56,Tabelas!B89,Tabelas!$AC$44:$AC$56)</f>
        <v>530728</v>
      </c>
      <c r="D89" s="282"/>
    </row>
    <row r="90" spans="2:4">
      <c r="B90" s="38" t="s">
        <v>463</v>
      </c>
      <c r="C90" s="282">
        <f>SUMIF(Tabelas!$A$44:$A$56,Tabelas!B90,Tabelas!$C$44:$C$56)+SUMIF(Tabelas!$A$44:$A$56,Tabelas!B90,Tabelas!$E$44:$E$56)+SUMIF(Tabelas!$A$44:$A$56,Tabelas!B90,Tabelas!$G$44:$G$56)+SUMIF(Tabelas!$A$44:$A$56,Tabelas!B90,Tabelas!$I$44:$I$56)+SUMIF(Tabelas!$A$44:$A$56,Tabelas!B90,Tabelas!$K$44:$K$56)+SUMIF(Tabelas!$A$44:$A$56,Tabelas!B90,Tabelas!$M$44:$M$56)+SUMIF(Tabelas!$A$44:$A$56,Tabelas!B90,Tabelas!$O$44:$O$56)+SUMIF(Tabelas!$A$44:$A$56,Tabelas!B90,Tabelas!$Q$44:$Q$56)+SUMIF(Tabelas!$A$44:$A$56,Tabelas!B90,Tabelas!$S$44:$S$56)+SUMIF(Tabelas!$A$44:$A$56,Tabelas!B90,Tabelas!$U$44:$U$56)+SUMIF(Tabelas!$A$44:$A$56,Tabelas!B90,Tabelas!$W$44:$W$56)+SUMIF(Tabelas!$A$44:$A$56,Tabelas!B90,Tabelas!$Y$44:$Y$56)+SUMIF(Tabelas!$A$44:$A$56,Tabelas!B90,Tabelas!$AA$44:$AA$56)+SUMIF(Tabelas!$A$44:$A$56,Tabelas!B90,Tabelas!$AC$44:$AC$56)</f>
        <v>116769.10785619175</v>
      </c>
      <c r="D90" s="282"/>
    </row>
    <row r="91" spans="2:4">
      <c r="B91" s="38" t="s">
        <v>304</v>
      </c>
      <c r="C91" s="282">
        <f>SUMIF(Tabelas!$A$44:$A$56,Tabelas!B91,Tabelas!$C$44:$C$56)+SUMIF(Tabelas!$A$44:$A$56,Tabelas!B91,Tabelas!$E$44:$E$56)+SUMIF(Tabelas!$A$44:$A$56,Tabelas!B91,Tabelas!$G$44:$G$56)+SUMIF(Tabelas!$A$44:$A$56,Tabelas!B91,Tabelas!$I$44:$I$56)+SUMIF(Tabelas!$A$44:$A$56,Tabelas!B91,Tabelas!$K$44:$K$56)+SUMIF(Tabelas!$A$44:$A$56,Tabelas!B91,Tabelas!$M$44:$M$56)+SUMIF(Tabelas!$A$44:$A$56,Tabelas!B91,Tabelas!$O$44:$O$56)+SUMIF(Tabelas!$A$44:$A$56,Tabelas!B91,Tabelas!$Q$44:$Q$56)+SUMIF(Tabelas!$A$44:$A$56,Tabelas!B91,Tabelas!$S$44:$S$56)+SUMIF(Tabelas!$A$44:$A$56,Tabelas!B91,Tabelas!$U$44:$U$56)+SUMIF(Tabelas!$A$44:$A$56,Tabelas!B91,Tabelas!$W$44:$W$56)+SUMIF(Tabelas!$A$44:$A$56,Tabelas!B91,Tabelas!$Y$44:$Y$56)+SUMIF(Tabelas!$A$44:$A$56,Tabelas!B91,Tabelas!$AA$44:$AA$56)+SUMIF(Tabelas!$A$44:$A$56,Tabelas!B91,Tabelas!$AC$44:$AC$56)</f>
        <v>375746.63962296472</v>
      </c>
      <c r="D91" s="282"/>
    </row>
    <row r="92" spans="2:4">
      <c r="B92" s="85"/>
      <c r="C92" s="375">
        <f>SUM(C78:C91)</f>
        <v>56671134.916269682</v>
      </c>
      <c r="D92" s="375">
        <f>SUM(D79:D91)</f>
        <v>25786789.475585397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Z118"/>
  <sheetViews>
    <sheetView topLeftCell="GR91" workbookViewId="0">
      <selection activeCell="IY99" sqref="IY99"/>
    </sheetView>
  </sheetViews>
  <sheetFormatPr defaultRowHeight="15"/>
  <cols>
    <col min="1" max="1" width="5.28515625" style="51" bestFit="1" customWidth="1"/>
    <col min="2" max="2" width="27.28515625" style="51" bestFit="1" customWidth="1"/>
    <col min="3" max="3" width="7" style="51" bestFit="1" customWidth="1"/>
    <col min="4" max="4" width="21.5703125" style="51" bestFit="1" customWidth="1"/>
    <col min="5" max="5" width="7.7109375" style="51" bestFit="1" customWidth="1"/>
    <col min="6" max="6" width="26.28515625" style="51" customWidth="1"/>
    <col min="7" max="7" width="22.5703125" style="51" customWidth="1"/>
    <col min="8" max="8" width="32.5703125" style="51" customWidth="1"/>
    <col min="9" max="9" width="11.85546875" style="12" bestFit="1" customWidth="1"/>
    <col min="10" max="10" width="7.28515625" style="12" bestFit="1" customWidth="1"/>
    <col min="11" max="11" width="13.85546875" style="12" customWidth="1"/>
    <col min="12" max="12" width="11.85546875" style="12" bestFit="1" customWidth="1"/>
    <col min="13" max="13" width="7.140625" style="12" bestFit="1" customWidth="1"/>
    <col min="14" max="14" width="13.85546875" style="12" bestFit="1" customWidth="1"/>
    <col min="15" max="15" width="11.85546875" style="12" bestFit="1" customWidth="1"/>
    <col min="16" max="16" width="7.140625" style="12" bestFit="1" customWidth="1"/>
    <col min="17" max="17" width="14.28515625" style="12" customWidth="1"/>
    <col min="18" max="18" width="11.85546875" style="12" bestFit="1" customWidth="1"/>
    <col min="19" max="19" width="7.140625" style="12" bestFit="1" customWidth="1"/>
    <col min="20" max="20" width="13.85546875" style="12" bestFit="1" customWidth="1"/>
    <col min="21" max="21" width="11.85546875" style="12" bestFit="1" customWidth="1"/>
    <col min="22" max="22" width="7.140625" style="12" bestFit="1" customWidth="1"/>
    <col min="23" max="23" width="13.85546875" style="12" bestFit="1" customWidth="1"/>
    <col min="24" max="24" width="11.85546875" style="12" bestFit="1" customWidth="1"/>
    <col min="25" max="25" width="7.140625" style="12" bestFit="1" customWidth="1"/>
    <col min="26" max="26" width="13.85546875" style="12" bestFit="1" customWidth="1"/>
    <col min="27" max="27" width="11.85546875" style="12" bestFit="1" customWidth="1"/>
    <col min="28" max="28" width="7.140625" style="12" bestFit="1" customWidth="1"/>
    <col min="29" max="29" width="14.42578125" style="12" customWidth="1"/>
    <col min="30" max="30" width="11.85546875" style="12" bestFit="1" customWidth="1"/>
    <col min="31" max="31" width="7.140625" style="12" bestFit="1" customWidth="1"/>
    <col min="32" max="32" width="13.85546875" style="12" bestFit="1" customWidth="1"/>
    <col min="33" max="33" width="11.85546875" style="12" bestFit="1" customWidth="1"/>
    <col min="34" max="34" width="7.140625" style="12" bestFit="1" customWidth="1"/>
    <col min="35" max="35" width="13.85546875" style="12" bestFit="1" customWidth="1"/>
    <col min="36" max="36" width="11.85546875" style="12" bestFit="1" customWidth="1"/>
    <col min="37" max="37" width="7.140625" style="12" bestFit="1" customWidth="1"/>
    <col min="38" max="38" width="14" style="12" customWidth="1"/>
    <col min="39" max="39" width="11.85546875" style="12" bestFit="1" customWidth="1"/>
    <col min="40" max="40" width="7.140625" style="12" bestFit="1" customWidth="1"/>
    <col min="41" max="41" width="15.7109375" style="12" customWidth="1"/>
    <col min="42" max="42" width="11.85546875" style="12" bestFit="1" customWidth="1"/>
    <col min="43" max="43" width="7.140625" style="12" bestFit="1" customWidth="1"/>
    <col min="44" max="44" width="13.85546875" style="12" bestFit="1" customWidth="1"/>
    <col min="45" max="45" width="11.85546875" style="12" bestFit="1" customWidth="1"/>
    <col min="46" max="46" width="7.140625" style="12" bestFit="1" customWidth="1"/>
    <col min="47" max="47" width="13.7109375" style="12" bestFit="1" customWidth="1"/>
    <col min="48" max="48" width="11.85546875" style="12" bestFit="1" customWidth="1"/>
    <col min="49" max="49" width="7.140625" style="12" bestFit="1" customWidth="1"/>
    <col min="50" max="50" width="13.7109375" style="12" bestFit="1" customWidth="1"/>
    <col min="51" max="51" width="11.85546875" style="12" bestFit="1" customWidth="1"/>
    <col min="52" max="52" width="7.140625" style="12" bestFit="1" customWidth="1"/>
    <col min="53" max="53" width="13.7109375" style="12" bestFit="1" customWidth="1"/>
    <col min="54" max="54" width="10.140625" customWidth="1"/>
    <col min="56" max="56" width="12.42578125" customWidth="1"/>
    <col min="60" max="60" width="16.5703125" customWidth="1"/>
    <col min="63" max="63" width="11.42578125" customWidth="1"/>
    <col min="64" max="64" width="8.85546875" bestFit="1" customWidth="1"/>
    <col min="67" max="67" width="12.28515625" customWidth="1"/>
    <col min="68" max="68" width="11" customWidth="1"/>
    <col min="127" max="127" width="15.7109375" customWidth="1"/>
    <col min="131" max="131" width="15" customWidth="1"/>
    <col min="135" max="135" width="15.28515625" customWidth="1"/>
    <col min="139" max="139" width="14.7109375" customWidth="1"/>
    <col min="143" max="143" width="14.5703125" customWidth="1"/>
    <col min="147" max="147" width="13.7109375" customWidth="1"/>
    <col min="151" max="151" width="9.7109375" customWidth="1"/>
  </cols>
  <sheetData>
    <row r="1" spans="1:260">
      <c r="K1" s="17">
        <f>+SUM(K3:K133)</f>
        <v>41500418.206269689</v>
      </c>
      <c r="L1" s="742">
        <v>45658</v>
      </c>
      <c r="M1" s="743"/>
      <c r="N1" s="744"/>
      <c r="O1" s="742">
        <v>45660</v>
      </c>
      <c r="P1" s="743"/>
      <c r="Q1" s="744"/>
      <c r="R1" s="742">
        <v>45667</v>
      </c>
      <c r="S1" s="743"/>
      <c r="T1" s="744"/>
      <c r="U1" s="742">
        <v>45674</v>
      </c>
      <c r="V1" s="743"/>
      <c r="W1" s="744"/>
      <c r="X1" s="742">
        <v>45681</v>
      </c>
      <c r="Y1" s="743"/>
      <c r="Z1" s="744"/>
      <c r="AA1" s="742">
        <v>45688</v>
      </c>
      <c r="AB1" s="743"/>
      <c r="AC1" s="744"/>
      <c r="AD1" s="742">
        <v>45695</v>
      </c>
      <c r="AE1" s="743"/>
      <c r="AF1" s="744"/>
      <c r="AG1" s="742">
        <v>45702</v>
      </c>
      <c r="AH1" s="743"/>
      <c r="AI1" s="744"/>
      <c r="AJ1" s="742">
        <v>45709</v>
      </c>
      <c r="AK1" s="743"/>
      <c r="AL1" s="744"/>
      <c r="AM1" s="742">
        <f>+AJ1+7</f>
        <v>45716</v>
      </c>
      <c r="AN1" s="743"/>
      <c r="AO1" s="744"/>
      <c r="AP1" s="742">
        <f>+AM1+7</f>
        <v>45723</v>
      </c>
      <c r="AQ1" s="743"/>
      <c r="AR1" s="744"/>
      <c r="AS1" s="742">
        <f>+AP1+7</f>
        <v>45730</v>
      </c>
      <c r="AT1" s="743"/>
      <c r="AU1" s="744"/>
      <c r="AV1" s="742">
        <v>45737</v>
      </c>
      <c r="AW1" s="743"/>
      <c r="AX1" s="744"/>
      <c r="AY1" s="742">
        <v>45744</v>
      </c>
      <c r="AZ1" s="743"/>
      <c r="BA1" s="744"/>
      <c r="BB1" s="742">
        <v>45747</v>
      </c>
      <c r="BC1" s="743"/>
      <c r="BD1" s="744"/>
      <c r="BE1" s="742">
        <v>45748</v>
      </c>
      <c r="BF1" s="743"/>
      <c r="BG1" s="744"/>
      <c r="BI1" s="742">
        <v>45749</v>
      </c>
      <c r="BJ1" s="743"/>
      <c r="BK1" s="744"/>
      <c r="BM1" s="742" t="s">
        <v>476</v>
      </c>
      <c r="BN1" s="743"/>
      <c r="BO1" s="744"/>
      <c r="BQ1" s="742">
        <v>45751</v>
      </c>
      <c r="BR1" s="743"/>
      <c r="BS1" s="744"/>
      <c r="BT1" s="380"/>
      <c r="BU1" s="742">
        <v>45754</v>
      </c>
      <c r="BV1" s="743"/>
      <c r="BW1" s="744"/>
      <c r="BX1" s="380"/>
      <c r="BY1" s="742">
        <v>45755</v>
      </c>
      <c r="BZ1" s="743"/>
      <c r="CA1" s="744"/>
      <c r="CB1" s="380"/>
      <c r="CC1" s="742">
        <v>45756</v>
      </c>
      <c r="CD1" s="743"/>
      <c r="CE1" s="744"/>
      <c r="CF1" s="380"/>
      <c r="CG1" s="742">
        <v>45757</v>
      </c>
      <c r="CH1" s="743"/>
      <c r="CI1" s="744"/>
      <c r="CJ1" s="380"/>
      <c r="CK1" s="742">
        <v>45758</v>
      </c>
      <c r="CL1" s="743"/>
      <c r="CM1" s="744"/>
      <c r="CN1" s="380"/>
      <c r="CO1" s="742">
        <v>45761</v>
      </c>
      <c r="CP1" s="743"/>
      <c r="CQ1" s="744"/>
      <c r="CR1" s="380"/>
      <c r="CS1" s="742">
        <v>45762</v>
      </c>
      <c r="CT1" s="743"/>
      <c r="CU1" s="744"/>
      <c r="CV1" s="380"/>
      <c r="CW1" s="742">
        <v>45763</v>
      </c>
      <c r="CX1" s="743"/>
      <c r="CY1" s="744"/>
      <c r="CZ1" s="380"/>
      <c r="DA1" s="742">
        <v>45764</v>
      </c>
      <c r="DB1" s="743"/>
      <c r="DC1" s="744"/>
      <c r="DD1" s="380"/>
      <c r="DE1" s="742">
        <v>45768</v>
      </c>
      <c r="DF1" s="743"/>
      <c r="DG1" s="744"/>
      <c r="DH1" s="380"/>
      <c r="DI1" s="742">
        <v>45769</v>
      </c>
      <c r="DJ1" s="743"/>
      <c r="DK1" s="744"/>
      <c r="DL1" s="380"/>
      <c r="DM1" s="742">
        <v>45770</v>
      </c>
      <c r="DN1" s="743"/>
      <c r="DO1" s="744"/>
      <c r="DP1" s="380"/>
      <c r="DQ1" s="742">
        <v>45775</v>
      </c>
      <c r="DR1" s="743"/>
      <c r="DS1" s="744"/>
      <c r="DT1" s="380"/>
      <c r="DU1" s="742">
        <v>45777</v>
      </c>
      <c r="DV1" s="743"/>
      <c r="DW1" s="744"/>
      <c r="DX1" s="380"/>
      <c r="DY1" s="742">
        <v>45779</v>
      </c>
      <c r="DZ1" s="743"/>
      <c r="EA1" s="744"/>
      <c r="EB1" s="380"/>
      <c r="EC1" s="742">
        <v>45782</v>
      </c>
      <c r="ED1" s="743"/>
      <c r="EE1" s="744"/>
      <c r="EF1" s="380"/>
      <c r="EG1" s="742">
        <v>45783</v>
      </c>
      <c r="EH1" s="743"/>
      <c r="EI1" s="744"/>
      <c r="EJ1" s="380"/>
      <c r="EK1" s="742">
        <v>45784</v>
      </c>
      <c r="EL1" s="743"/>
      <c r="EM1" s="744"/>
      <c r="EN1" s="380"/>
      <c r="EO1" s="742">
        <v>45785</v>
      </c>
      <c r="EP1" s="743"/>
      <c r="EQ1" s="744"/>
      <c r="ER1" s="380"/>
      <c r="ES1" s="742">
        <v>45786</v>
      </c>
      <c r="ET1" s="743"/>
      <c r="EU1" s="744"/>
      <c r="EV1" s="380"/>
      <c r="EW1" s="742">
        <v>45789</v>
      </c>
      <c r="EX1" s="743"/>
      <c r="EY1" s="744"/>
      <c r="EZ1" s="380"/>
      <c r="FA1" s="742">
        <v>45790</v>
      </c>
      <c r="FB1" s="743"/>
      <c r="FC1" s="744"/>
      <c r="FD1" s="380"/>
      <c r="FE1" s="742">
        <v>45791</v>
      </c>
      <c r="FF1" s="743"/>
      <c r="FG1" s="744"/>
      <c r="FH1" s="380"/>
      <c r="FI1" s="742">
        <v>45792</v>
      </c>
      <c r="FJ1" s="743"/>
      <c r="FK1" s="744"/>
      <c r="FL1" s="380"/>
      <c r="FM1" s="742">
        <v>45796</v>
      </c>
      <c r="FN1" s="743"/>
      <c r="FO1" s="744"/>
      <c r="FP1" s="380"/>
      <c r="FQ1" s="742">
        <v>45797</v>
      </c>
      <c r="FR1" s="743"/>
      <c r="FS1" s="744"/>
      <c r="FT1" s="380"/>
      <c r="FU1" s="742">
        <v>45798</v>
      </c>
      <c r="FV1" s="743"/>
      <c r="FW1" s="744"/>
      <c r="FX1" s="380"/>
      <c r="FY1" s="742">
        <v>45800</v>
      </c>
      <c r="FZ1" s="743"/>
      <c r="GA1" s="744"/>
      <c r="GB1" s="380"/>
      <c r="GC1" s="742">
        <v>45803</v>
      </c>
      <c r="GD1" s="743"/>
      <c r="GE1" s="744"/>
      <c r="GF1" s="380"/>
      <c r="GG1" s="742">
        <v>45804</v>
      </c>
      <c r="GH1" s="743"/>
      <c r="GI1" s="744"/>
      <c r="GJ1" s="380"/>
      <c r="GK1" s="742">
        <v>45805</v>
      </c>
      <c r="GL1" s="743"/>
      <c r="GM1" s="744"/>
      <c r="GN1" s="380"/>
      <c r="GO1" s="742">
        <v>45806</v>
      </c>
      <c r="GP1" s="743"/>
      <c r="GQ1" s="744"/>
      <c r="GR1" s="380"/>
      <c r="GS1" s="742">
        <v>45807</v>
      </c>
      <c r="GT1" s="743"/>
      <c r="GU1" s="744"/>
      <c r="GV1" s="380"/>
      <c r="GW1" s="742">
        <v>45810</v>
      </c>
      <c r="GX1" s="743"/>
      <c r="GY1" s="744"/>
      <c r="GZ1" s="380"/>
      <c r="HA1" s="742">
        <v>45811</v>
      </c>
      <c r="HB1" s="743"/>
      <c r="HC1" s="744"/>
      <c r="HD1" s="380"/>
      <c r="HE1" s="742">
        <v>45812</v>
      </c>
      <c r="HF1" s="743"/>
      <c r="HG1" s="744"/>
      <c r="HH1" s="380"/>
      <c r="HI1" s="742">
        <v>45813</v>
      </c>
      <c r="HJ1" s="743"/>
      <c r="HK1" s="744"/>
      <c r="HL1" s="380"/>
      <c r="HM1" s="742">
        <v>45814</v>
      </c>
      <c r="HN1" s="743"/>
      <c r="HO1" s="744"/>
      <c r="HP1" s="380"/>
      <c r="HQ1" s="742">
        <v>45818</v>
      </c>
      <c r="HR1" s="743"/>
      <c r="HS1" s="744"/>
      <c r="HT1" s="380"/>
      <c r="HU1" s="742">
        <v>45819</v>
      </c>
      <c r="HV1" s="743"/>
      <c r="HW1" s="744"/>
      <c r="HX1" s="380"/>
      <c r="HY1" s="742">
        <v>45821</v>
      </c>
      <c r="HZ1" s="743"/>
      <c r="IA1" s="744"/>
      <c r="IB1" s="380"/>
      <c r="IC1" s="742">
        <v>45824</v>
      </c>
      <c r="ID1" s="743"/>
      <c r="IE1" s="744"/>
      <c r="IF1" s="380"/>
      <c r="IG1" s="742">
        <v>45825</v>
      </c>
      <c r="IH1" s="743"/>
      <c r="II1" s="744"/>
      <c r="IJ1" s="380"/>
      <c r="IK1" s="742">
        <v>45827</v>
      </c>
      <c r="IL1" s="743"/>
      <c r="IM1" s="744"/>
      <c r="IN1" s="380"/>
      <c r="IO1" s="742">
        <v>45828</v>
      </c>
      <c r="IP1" s="743"/>
      <c r="IQ1" s="744"/>
      <c r="IR1" s="380"/>
      <c r="IS1" s="742">
        <v>45831</v>
      </c>
      <c r="IT1" s="743"/>
      <c r="IU1" s="744"/>
      <c r="IV1" s="380"/>
      <c r="IW1" s="742">
        <v>45832</v>
      </c>
      <c r="IX1" s="743"/>
      <c r="IY1" s="744"/>
      <c r="IZ1" s="380"/>
    </row>
    <row r="2" spans="1:260" ht="30.75">
      <c r="A2" s="46" t="s">
        <v>477</v>
      </c>
      <c r="B2" s="47" t="s">
        <v>478</v>
      </c>
      <c r="C2" s="48" t="s">
        <v>25</v>
      </c>
      <c r="D2" s="48" t="s">
        <v>404</v>
      </c>
      <c r="E2" s="48" t="s">
        <v>26</v>
      </c>
      <c r="F2" s="48" t="s">
        <v>479</v>
      </c>
      <c r="G2" s="48" t="s">
        <v>24</v>
      </c>
      <c r="H2" s="48" t="s">
        <v>480</v>
      </c>
      <c r="I2" s="18" t="s">
        <v>481</v>
      </c>
      <c r="J2" s="18" t="s">
        <v>482</v>
      </c>
      <c r="K2" s="18" t="s">
        <v>483</v>
      </c>
      <c r="L2" s="55" t="s">
        <v>481</v>
      </c>
      <c r="M2" s="52" t="s">
        <v>482</v>
      </c>
      <c r="N2" s="56" t="s">
        <v>483</v>
      </c>
      <c r="O2" s="55" t="s">
        <v>481</v>
      </c>
      <c r="P2" s="52" t="s">
        <v>482</v>
      </c>
      <c r="Q2" s="56" t="s">
        <v>483</v>
      </c>
      <c r="R2" s="55" t="s">
        <v>481</v>
      </c>
      <c r="S2" s="52" t="s">
        <v>482</v>
      </c>
      <c r="T2" s="56" t="s">
        <v>483</v>
      </c>
      <c r="U2" s="55" t="s">
        <v>481</v>
      </c>
      <c r="V2" s="52" t="s">
        <v>482</v>
      </c>
      <c r="W2" s="56" t="s">
        <v>483</v>
      </c>
      <c r="X2" s="55" t="s">
        <v>481</v>
      </c>
      <c r="Y2" s="52" t="s">
        <v>482</v>
      </c>
      <c r="Z2" s="56" t="s">
        <v>483</v>
      </c>
      <c r="AA2" s="55" t="s">
        <v>481</v>
      </c>
      <c r="AB2" s="52" t="s">
        <v>482</v>
      </c>
      <c r="AC2" s="56" t="s">
        <v>483</v>
      </c>
      <c r="AD2" s="55" t="s">
        <v>481</v>
      </c>
      <c r="AE2" s="52" t="s">
        <v>482</v>
      </c>
      <c r="AF2" s="56" t="s">
        <v>483</v>
      </c>
      <c r="AG2" s="55" t="s">
        <v>481</v>
      </c>
      <c r="AH2" s="52" t="s">
        <v>482</v>
      </c>
      <c r="AI2" s="56" t="s">
        <v>483</v>
      </c>
      <c r="AJ2" s="55" t="s">
        <v>481</v>
      </c>
      <c r="AK2" s="52" t="s">
        <v>482</v>
      </c>
      <c r="AL2" s="56" t="s">
        <v>483</v>
      </c>
      <c r="AM2" s="55" t="s">
        <v>481</v>
      </c>
      <c r="AN2" s="52" t="s">
        <v>482</v>
      </c>
      <c r="AO2" s="56" t="s">
        <v>483</v>
      </c>
      <c r="AP2" s="55" t="s">
        <v>481</v>
      </c>
      <c r="AQ2" s="52" t="s">
        <v>482</v>
      </c>
      <c r="AR2" s="56" t="s">
        <v>483</v>
      </c>
      <c r="AS2" s="55" t="s">
        <v>481</v>
      </c>
      <c r="AT2" s="52" t="s">
        <v>482</v>
      </c>
      <c r="AU2" s="56" t="s">
        <v>483</v>
      </c>
      <c r="AV2" s="55" t="s">
        <v>481</v>
      </c>
      <c r="AW2" s="52" t="s">
        <v>482</v>
      </c>
      <c r="AX2" s="56" t="s">
        <v>483</v>
      </c>
      <c r="AY2" s="55" t="s">
        <v>481</v>
      </c>
      <c r="AZ2" s="52" t="s">
        <v>482</v>
      </c>
      <c r="BA2" s="56" t="s">
        <v>483</v>
      </c>
      <c r="BB2" s="55" t="s">
        <v>481</v>
      </c>
      <c r="BC2" s="52" t="s">
        <v>482</v>
      </c>
      <c r="BD2" s="56" t="s">
        <v>483</v>
      </c>
      <c r="BE2" s="55" t="s">
        <v>481</v>
      </c>
      <c r="BF2" s="52" t="s">
        <v>482</v>
      </c>
      <c r="BG2" s="56" t="s">
        <v>483</v>
      </c>
      <c r="BH2" s="131" t="s">
        <v>484</v>
      </c>
      <c r="BI2" s="55" t="s">
        <v>481</v>
      </c>
      <c r="BJ2" s="52" t="s">
        <v>482</v>
      </c>
      <c r="BK2" s="56" t="s">
        <v>483</v>
      </c>
      <c r="BL2" s="131" t="s">
        <v>484</v>
      </c>
      <c r="BM2" s="55" t="s">
        <v>481</v>
      </c>
      <c r="BN2" s="52" t="s">
        <v>482</v>
      </c>
      <c r="BO2" s="56" t="s">
        <v>483</v>
      </c>
      <c r="BP2" s="131" t="s">
        <v>484</v>
      </c>
      <c r="BQ2" s="55" t="s">
        <v>481</v>
      </c>
      <c r="BR2" s="52" t="s">
        <v>482</v>
      </c>
      <c r="BS2" s="56" t="s">
        <v>483</v>
      </c>
      <c r="BT2" s="381" t="s">
        <v>484</v>
      </c>
      <c r="BU2" s="55" t="s">
        <v>481</v>
      </c>
      <c r="BV2" s="52" t="s">
        <v>482</v>
      </c>
      <c r="BW2" s="56" t="s">
        <v>483</v>
      </c>
      <c r="BX2" s="381" t="s">
        <v>484</v>
      </c>
      <c r="BY2" s="55" t="s">
        <v>481</v>
      </c>
      <c r="BZ2" s="52" t="s">
        <v>482</v>
      </c>
      <c r="CA2" s="56" t="s">
        <v>483</v>
      </c>
      <c r="CB2" s="381" t="s">
        <v>484</v>
      </c>
      <c r="CC2" s="55" t="s">
        <v>481</v>
      </c>
      <c r="CD2" s="52" t="s">
        <v>482</v>
      </c>
      <c r="CE2" s="56" t="s">
        <v>483</v>
      </c>
      <c r="CF2" s="381" t="s">
        <v>484</v>
      </c>
      <c r="CG2" s="55" t="s">
        <v>481</v>
      </c>
      <c r="CH2" s="52" t="s">
        <v>482</v>
      </c>
      <c r="CI2" s="56" t="s">
        <v>483</v>
      </c>
      <c r="CJ2" s="381" t="s">
        <v>484</v>
      </c>
      <c r="CK2" s="55" t="s">
        <v>481</v>
      </c>
      <c r="CL2" s="52" t="s">
        <v>482</v>
      </c>
      <c r="CM2" s="56" t="s">
        <v>483</v>
      </c>
      <c r="CN2" s="381" t="s">
        <v>484</v>
      </c>
      <c r="CO2" s="55" t="s">
        <v>481</v>
      </c>
      <c r="CP2" s="52" t="s">
        <v>482</v>
      </c>
      <c r="CQ2" s="56" t="s">
        <v>483</v>
      </c>
      <c r="CR2" s="381" t="s">
        <v>484</v>
      </c>
      <c r="CS2" s="55" t="s">
        <v>481</v>
      </c>
      <c r="CT2" s="52" t="s">
        <v>482</v>
      </c>
      <c r="CU2" s="56" t="s">
        <v>483</v>
      </c>
      <c r="CV2" s="381" t="s">
        <v>484</v>
      </c>
      <c r="CW2" s="55" t="s">
        <v>481</v>
      </c>
      <c r="CX2" s="52" t="s">
        <v>482</v>
      </c>
      <c r="CY2" s="56" t="s">
        <v>483</v>
      </c>
      <c r="CZ2" s="381" t="s">
        <v>484</v>
      </c>
      <c r="DA2" s="55" t="s">
        <v>481</v>
      </c>
      <c r="DB2" s="52" t="s">
        <v>482</v>
      </c>
      <c r="DC2" s="56" t="s">
        <v>483</v>
      </c>
      <c r="DD2" s="381" t="s">
        <v>484</v>
      </c>
      <c r="DE2" s="55" t="s">
        <v>481</v>
      </c>
      <c r="DF2" s="52" t="s">
        <v>482</v>
      </c>
      <c r="DG2" s="56" t="s">
        <v>483</v>
      </c>
      <c r="DH2" s="381" t="s">
        <v>484</v>
      </c>
      <c r="DI2" s="55" t="s">
        <v>481</v>
      </c>
      <c r="DJ2" s="52" t="s">
        <v>482</v>
      </c>
      <c r="DK2" s="56" t="s">
        <v>483</v>
      </c>
      <c r="DL2" s="381" t="s">
        <v>484</v>
      </c>
      <c r="DM2" s="55" t="s">
        <v>481</v>
      </c>
      <c r="DN2" s="52" t="s">
        <v>482</v>
      </c>
      <c r="DO2" s="56" t="s">
        <v>483</v>
      </c>
      <c r="DP2" s="381" t="s">
        <v>484</v>
      </c>
      <c r="DQ2" s="55" t="s">
        <v>481</v>
      </c>
      <c r="DR2" s="52" t="s">
        <v>482</v>
      </c>
      <c r="DS2" s="56" t="s">
        <v>483</v>
      </c>
      <c r="DT2" s="381" t="s">
        <v>484</v>
      </c>
      <c r="DU2" s="55" t="s">
        <v>481</v>
      </c>
      <c r="DV2" s="52" t="s">
        <v>482</v>
      </c>
      <c r="DW2" s="56" t="s">
        <v>483</v>
      </c>
      <c r="DX2" s="381" t="s">
        <v>484</v>
      </c>
      <c r="DY2" s="55" t="s">
        <v>481</v>
      </c>
      <c r="DZ2" s="52" t="s">
        <v>482</v>
      </c>
      <c r="EA2" s="56" t="s">
        <v>483</v>
      </c>
      <c r="EB2" s="381" t="s">
        <v>484</v>
      </c>
      <c r="EC2" s="55" t="s">
        <v>481</v>
      </c>
      <c r="ED2" s="52" t="s">
        <v>482</v>
      </c>
      <c r="EE2" s="56" t="s">
        <v>483</v>
      </c>
      <c r="EF2" s="381" t="s">
        <v>484</v>
      </c>
      <c r="EG2" s="55" t="s">
        <v>481</v>
      </c>
      <c r="EH2" s="52" t="s">
        <v>482</v>
      </c>
      <c r="EI2" s="56" t="s">
        <v>483</v>
      </c>
      <c r="EJ2" s="381" t="s">
        <v>484</v>
      </c>
      <c r="EK2" s="55" t="s">
        <v>481</v>
      </c>
      <c r="EL2" s="52" t="s">
        <v>482</v>
      </c>
      <c r="EM2" s="56" t="s">
        <v>483</v>
      </c>
      <c r="EN2" s="381" t="s">
        <v>484</v>
      </c>
      <c r="EO2" s="55" t="s">
        <v>481</v>
      </c>
      <c r="EP2" s="52" t="s">
        <v>482</v>
      </c>
      <c r="EQ2" s="56" t="s">
        <v>483</v>
      </c>
      <c r="ER2" s="381" t="s">
        <v>484</v>
      </c>
      <c r="ES2" s="55" t="s">
        <v>481</v>
      </c>
      <c r="ET2" s="52" t="s">
        <v>482</v>
      </c>
      <c r="EU2" s="56" t="s">
        <v>483</v>
      </c>
      <c r="EV2" s="381" t="s">
        <v>484</v>
      </c>
      <c r="EW2" s="55" t="s">
        <v>481</v>
      </c>
      <c r="EX2" s="52" t="s">
        <v>482</v>
      </c>
      <c r="EY2" s="56" t="s">
        <v>483</v>
      </c>
      <c r="EZ2" s="381" t="s">
        <v>484</v>
      </c>
      <c r="FA2" s="55" t="s">
        <v>481</v>
      </c>
      <c r="FB2" s="52" t="s">
        <v>482</v>
      </c>
      <c r="FC2" s="56" t="s">
        <v>483</v>
      </c>
      <c r="FD2" s="381" t="s">
        <v>484</v>
      </c>
      <c r="FE2" s="55" t="s">
        <v>481</v>
      </c>
      <c r="FF2" s="52" t="s">
        <v>482</v>
      </c>
      <c r="FG2" s="56" t="s">
        <v>483</v>
      </c>
      <c r="FH2" s="381" t="s">
        <v>484</v>
      </c>
      <c r="FI2" s="55" t="s">
        <v>481</v>
      </c>
      <c r="FJ2" s="52" t="s">
        <v>482</v>
      </c>
      <c r="FK2" s="56" t="s">
        <v>483</v>
      </c>
      <c r="FL2" s="381" t="s">
        <v>484</v>
      </c>
      <c r="FM2" s="55" t="s">
        <v>481</v>
      </c>
      <c r="FN2" s="52" t="s">
        <v>482</v>
      </c>
      <c r="FO2" s="56" t="s">
        <v>483</v>
      </c>
      <c r="FP2" s="381" t="s">
        <v>484</v>
      </c>
      <c r="FQ2" s="55" t="s">
        <v>481</v>
      </c>
      <c r="FR2" s="52" t="s">
        <v>482</v>
      </c>
      <c r="FS2" s="56" t="s">
        <v>483</v>
      </c>
      <c r="FT2" s="381" t="s">
        <v>484</v>
      </c>
      <c r="FU2" s="55" t="s">
        <v>481</v>
      </c>
      <c r="FV2" s="52" t="s">
        <v>482</v>
      </c>
      <c r="FW2" s="56" t="s">
        <v>483</v>
      </c>
      <c r="FX2" s="381" t="s">
        <v>484</v>
      </c>
      <c r="FY2" s="55" t="s">
        <v>481</v>
      </c>
      <c r="FZ2" s="52" t="s">
        <v>482</v>
      </c>
      <c r="GA2" s="56" t="s">
        <v>483</v>
      </c>
      <c r="GB2" s="381" t="s">
        <v>484</v>
      </c>
      <c r="GC2" s="55" t="s">
        <v>481</v>
      </c>
      <c r="GD2" s="52" t="s">
        <v>482</v>
      </c>
      <c r="GE2" s="56" t="s">
        <v>483</v>
      </c>
      <c r="GF2" s="381" t="s">
        <v>484</v>
      </c>
      <c r="GG2" s="55" t="s">
        <v>481</v>
      </c>
      <c r="GH2" s="52" t="s">
        <v>482</v>
      </c>
      <c r="GI2" s="56" t="s">
        <v>483</v>
      </c>
      <c r="GJ2" s="381" t="s">
        <v>484</v>
      </c>
      <c r="GK2" s="55" t="s">
        <v>481</v>
      </c>
      <c r="GL2" s="52" t="s">
        <v>482</v>
      </c>
      <c r="GM2" s="56" t="s">
        <v>483</v>
      </c>
      <c r="GN2" s="381" t="s">
        <v>484</v>
      </c>
      <c r="GO2" s="55" t="s">
        <v>481</v>
      </c>
      <c r="GP2" s="52" t="s">
        <v>482</v>
      </c>
      <c r="GQ2" s="56" t="s">
        <v>483</v>
      </c>
      <c r="GR2" s="381" t="s">
        <v>484</v>
      </c>
      <c r="GS2" s="55" t="s">
        <v>481</v>
      </c>
      <c r="GT2" s="52" t="s">
        <v>482</v>
      </c>
      <c r="GU2" s="56" t="s">
        <v>483</v>
      </c>
      <c r="GV2" s="381" t="s">
        <v>484</v>
      </c>
      <c r="GW2" s="55" t="s">
        <v>481</v>
      </c>
      <c r="GX2" s="52" t="s">
        <v>482</v>
      </c>
      <c r="GY2" s="56" t="s">
        <v>483</v>
      </c>
      <c r="GZ2" s="381" t="s">
        <v>484</v>
      </c>
      <c r="HA2" s="55" t="s">
        <v>481</v>
      </c>
      <c r="HB2" s="52" t="s">
        <v>482</v>
      </c>
      <c r="HC2" s="56" t="s">
        <v>483</v>
      </c>
      <c r="HD2" s="381" t="s">
        <v>484</v>
      </c>
      <c r="HE2" s="55" t="s">
        <v>481</v>
      </c>
      <c r="HF2" s="52" t="s">
        <v>482</v>
      </c>
      <c r="HG2" s="56" t="s">
        <v>483</v>
      </c>
      <c r="HH2" s="381" t="s">
        <v>484</v>
      </c>
      <c r="HI2" s="55" t="s">
        <v>481</v>
      </c>
      <c r="HJ2" s="52" t="s">
        <v>482</v>
      </c>
      <c r="HK2" s="56" t="s">
        <v>483</v>
      </c>
      <c r="HL2" s="381" t="s">
        <v>484</v>
      </c>
      <c r="HM2" s="55" t="s">
        <v>481</v>
      </c>
      <c r="HN2" s="52" t="s">
        <v>482</v>
      </c>
      <c r="HO2" s="56" t="s">
        <v>483</v>
      </c>
      <c r="HP2" s="381" t="s">
        <v>484</v>
      </c>
      <c r="HQ2" s="55" t="s">
        <v>481</v>
      </c>
      <c r="HR2" s="52" t="s">
        <v>482</v>
      </c>
      <c r="HS2" s="56" t="s">
        <v>483</v>
      </c>
      <c r="HT2" s="381" t="s">
        <v>484</v>
      </c>
      <c r="HU2" s="55" t="s">
        <v>481</v>
      </c>
      <c r="HV2" s="52" t="s">
        <v>482</v>
      </c>
      <c r="HW2" s="56" t="s">
        <v>483</v>
      </c>
      <c r="HX2" s="381" t="s">
        <v>484</v>
      </c>
      <c r="HY2" s="55" t="s">
        <v>481</v>
      </c>
      <c r="HZ2" s="52" t="s">
        <v>482</v>
      </c>
      <c r="IA2" s="56" t="s">
        <v>483</v>
      </c>
      <c r="IB2" s="381" t="s">
        <v>484</v>
      </c>
      <c r="IC2" s="55" t="s">
        <v>481</v>
      </c>
      <c r="ID2" s="52" t="s">
        <v>482</v>
      </c>
      <c r="IE2" s="56" t="s">
        <v>483</v>
      </c>
      <c r="IF2" s="381" t="s">
        <v>484</v>
      </c>
      <c r="IG2" s="55" t="s">
        <v>481</v>
      </c>
      <c r="IH2" s="52" t="s">
        <v>482</v>
      </c>
      <c r="II2" s="56" t="s">
        <v>483</v>
      </c>
      <c r="IJ2" s="381" t="s">
        <v>484</v>
      </c>
      <c r="IK2" s="55" t="s">
        <v>481</v>
      </c>
      <c r="IL2" s="52" t="s">
        <v>482</v>
      </c>
      <c r="IM2" s="56" t="s">
        <v>483</v>
      </c>
      <c r="IN2" s="381" t="s">
        <v>484</v>
      </c>
      <c r="IO2" s="55" t="s">
        <v>481</v>
      </c>
      <c r="IP2" s="52" t="s">
        <v>482</v>
      </c>
      <c r="IQ2" s="56" t="s">
        <v>483</v>
      </c>
      <c r="IR2" s="381" t="s">
        <v>484</v>
      </c>
      <c r="IS2" s="55" t="s">
        <v>481</v>
      </c>
      <c r="IT2" s="52" t="s">
        <v>482</v>
      </c>
      <c r="IU2" s="56" t="s">
        <v>483</v>
      </c>
      <c r="IV2" s="381" t="s">
        <v>484</v>
      </c>
      <c r="IW2" s="55" t="s">
        <v>481</v>
      </c>
      <c r="IX2" s="52" t="s">
        <v>482</v>
      </c>
      <c r="IY2" s="56" t="s">
        <v>483</v>
      </c>
      <c r="IZ2" s="381" t="s">
        <v>484</v>
      </c>
    </row>
    <row r="3" spans="1:260">
      <c r="A3" s="13" t="s">
        <v>485</v>
      </c>
      <c r="B3" s="13" t="s">
        <v>486</v>
      </c>
      <c r="C3" s="13" t="s">
        <v>411</v>
      </c>
      <c r="D3" s="13" t="s">
        <v>311</v>
      </c>
      <c r="E3" s="13" t="s">
        <v>7</v>
      </c>
      <c r="F3" s="13">
        <v>10355052</v>
      </c>
      <c r="G3" s="13"/>
      <c r="H3" s="49" t="s">
        <v>487</v>
      </c>
      <c r="I3" s="14">
        <f>+'Summary - Colar'!L14</f>
        <v>910</v>
      </c>
      <c r="J3" s="14">
        <f>+VLOOKUP(E3,'Summary - Colar'!$M$39:$N$54,2,FALSE)</f>
        <v>1.7834989999999999</v>
      </c>
      <c r="K3" s="54">
        <f>+I3/J3</f>
        <v>510.23297461899335</v>
      </c>
      <c r="L3" s="506">
        <v>670258.53</v>
      </c>
      <c r="M3" s="53">
        <v>1.6762506216136279</v>
      </c>
      <c r="N3" s="507">
        <v>399855.79802785191</v>
      </c>
      <c r="O3" s="506">
        <v>670258.53</v>
      </c>
      <c r="P3" s="53">
        <v>1.6552497749305537</v>
      </c>
      <c r="Q3" s="507">
        <v>404928.9358931469</v>
      </c>
      <c r="R3" s="506">
        <v>338050.67</v>
      </c>
      <c r="S3" s="53">
        <v>1.6652497894963976</v>
      </c>
      <c r="T3" s="507">
        <v>203002.9801728621</v>
      </c>
      <c r="U3" s="506">
        <v>337996.55</v>
      </c>
      <c r="V3" s="53">
        <v>1.6640511135285163</v>
      </c>
      <c r="W3" s="507">
        <v>203116.6874936308</v>
      </c>
      <c r="X3" s="506">
        <v>337996.55</v>
      </c>
      <c r="Y3" s="53">
        <v>1.6601001793653798</v>
      </c>
      <c r="Z3" s="507">
        <v>203600.09245298</v>
      </c>
      <c r="AA3" s="506">
        <v>337996.55</v>
      </c>
      <c r="AB3" s="53">
        <v>1.6702004061495201</v>
      </c>
      <c r="AC3" s="507">
        <v>202368.85870433788</v>
      </c>
      <c r="AD3" s="506">
        <v>337996.55</v>
      </c>
      <c r="AE3" s="53">
        <v>1.6520495602796699</v>
      </c>
      <c r="AF3" s="507">
        <v>204592.25808139902</v>
      </c>
      <c r="AG3" s="506">
        <v>724619.27</v>
      </c>
      <c r="AH3" s="53">
        <v>1.6506494529864222</v>
      </c>
      <c r="AI3" s="507">
        <v>438990.40386133431</v>
      </c>
      <c r="AJ3" s="506">
        <v>1678387.57</v>
      </c>
      <c r="AK3" s="53">
        <v>1.6388502142715724</v>
      </c>
      <c r="AL3" s="507">
        <v>1024125.0575459094</v>
      </c>
      <c r="AM3" s="506">
        <v>1678841.32</v>
      </c>
      <c r="AN3" s="53">
        <v>1.6741504676220269</v>
      </c>
      <c r="AO3" s="507">
        <v>1002801.9299750495</v>
      </c>
      <c r="AP3" s="506">
        <v>841.32</v>
      </c>
      <c r="AQ3" s="53">
        <v>1.7255616520623482</v>
      </c>
      <c r="AR3" s="507">
        <v>487.56299086414873</v>
      </c>
      <c r="AS3" s="506">
        <v>1167198</v>
      </c>
      <c r="AT3" s="53">
        <v>1.7235389999999999</v>
      </c>
      <c r="AU3" s="507">
        <v>677210.08924080047</v>
      </c>
      <c r="AV3" s="506">
        <v>102910.22</v>
      </c>
      <c r="AW3" s="53">
        <v>1.7237537342788192</v>
      </c>
      <c r="AX3" s="507">
        <v>59701.231071186274</v>
      </c>
      <c r="AY3" s="506">
        <v>102910.22</v>
      </c>
      <c r="AZ3" s="53">
        <v>1.7116525557924964</v>
      </c>
      <c r="BA3" s="507">
        <v>60123.311621704961</v>
      </c>
      <c r="BB3" s="506">
        <v>102910.22</v>
      </c>
      <c r="BC3" s="53">
        <v>1.7315000060341603</v>
      </c>
      <c r="BD3" s="507">
        <v>59434.14359882463</v>
      </c>
      <c r="BE3" s="506">
        <v>102910.22</v>
      </c>
      <c r="BF3" s="53">
        <v>1.7252485914481352</v>
      </c>
      <c r="BG3" s="507">
        <v>59649.502402212922</v>
      </c>
      <c r="BH3" s="380">
        <f t="shared" ref="BH3:BH66" si="0">IF(BG3="-",0,BG3-BC3)</f>
        <v>59647.770902206888</v>
      </c>
      <c r="BI3" s="506">
        <v>102910.22</v>
      </c>
      <c r="BJ3" s="53">
        <v>1.7131536405228069</v>
      </c>
      <c r="BK3" s="507">
        <v>60070.630891339468</v>
      </c>
      <c r="BL3" s="380">
        <f t="shared" ref="BL3:BL66" si="1">IF(BK3="-",0,BK3-BG3)</f>
        <v>421.1284891265459</v>
      </c>
      <c r="BM3" s="506">
        <v>102910.22</v>
      </c>
      <c r="BN3" s="53">
        <v>1.7436491500325124</v>
      </c>
      <c r="BO3" s="507">
        <v>59020.027049639612</v>
      </c>
      <c r="BP3">
        <v>-21323.127570859971</v>
      </c>
      <c r="BQ3" s="506">
        <v>102910.22</v>
      </c>
      <c r="BR3" s="53">
        <v>1.8094492832516784</v>
      </c>
      <c r="BS3" s="507">
        <v>56873.779747539957</v>
      </c>
      <c r="BT3" s="380">
        <f t="shared" ref="BT3:BT66" si="2">IF(BS3="-",0,BS3-BO3)</f>
        <v>-2146.2473020996549</v>
      </c>
      <c r="BU3" s="506">
        <v>102910.22</v>
      </c>
      <c r="BV3" s="53">
        <v>1.8155542532672582</v>
      </c>
      <c r="BW3" s="507">
        <v>56682.536374114694</v>
      </c>
      <c r="BX3" s="380">
        <f t="shared" ref="BX3:BX66" si="3">IF(BW3="-",0,BW3-BS3)</f>
        <v>-191.24337342526269</v>
      </c>
      <c r="BY3" s="506">
        <v>102910.22</v>
      </c>
      <c r="BZ3" s="53">
        <v>1.8062025595888356</v>
      </c>
      <c r="CA3" s="507">
        <v>56976.012714446886</v>
      </c>
      <c r="CB3" s="380">
        <f t="shared" ref="CB3:CB66" si="4">IF(CA3="-",0,CA3-BW3)</f>
        <v>293.47634033219219</v>
      </c>
      <c r="CC3" s="506">
        <v>102910.22</v>
      </c>
      <c r="CD3" s="53">
        <v>1.8386526150814457</v>
      </c>
      <c r="CE3" s="507">
        <v>55970.453121968036</v>
      </c>
      <c r="CF3" s="380">
        <f t="shared" ref="CF3:CF66" si="5">IF(CE3="-",0,CE3-CA3)</f>
        <v>-1005.5595924788504</v>
      </c>
      <c r="CG3" s="506">
        <v>102910.22</v>
      </c>
      <c r="CH3" s="53">
        <v>1.7905037650517905</v>
      </c>
      <c r="CI3" s="507">
        <v>57475.567495957381</v>
      </c>
      <c r="CJ3" s="380">
        <f t="shared" ref="CJ3:CJ66" si="6">IF(CI3="-",0,CI3-CE3)</f>
        <v>1505.114373989345</v>
      </c>
      <c r="CK3" s="506">
        <v>102910.22</v>
      </c>
      <c r="CL3" s="53">
        <v>1.8159985431036445</v>
      </c>
      <c r="CM3" s="507">
        <v>56668.66881078032</v>
      </c>
      <c r="CN3" s="380">
        <f t="shared" ref="CN3:CN66" si="7">IF(CM3="-",0,CM3-CI3)</f>
        <v>-806.89868517706054</v>
      </c>
      <c r="CO3" s="506">
        <v>102910.22</v>
      </c>
      <c r="CP3" s="53">
        <v>1.8035483159911603</v>
      </c>
      <c r="CQ3" s="507">
        <v>57059.863097398935</v>
      </c>
      <c r="CR3" s="380">
        <f t="shared" ref="CR3:CR66" si="8">IF(CQ3="-",0,CQ3-CM3)</f>
        <v>391.19428661861457</v>
      </c>
      <c r="CS3" s="506">
        <v>102909.72</v>
      </c>
      <c r="CT3" s="53">
        <v>1.7815469477539443</v>
      </c>
      <c r="CU3" s="507">
        <v>57764.24816070198</v>
      </c>
      <c r="CV3" s="380">
        <f t="shared" ref="CV3:CV66" si="9">IF(CU3="-",0,CU3-CQ3)</f>
        <v>704.38506330304517</v>
      </c>
      <c r="CW3" s="506">
        <v>102909.72</v>
      </c>
      <c r="CX3" s="53">
        <v>1.7830501276800232</v>
      </c>
      <c r="CY3" s="507">
        <v>57715.55067489815</v>
      </c>
      <c r="CZ3" s="380">
        <f t="shared" ref="CZ3:CZ66" si="10">IF(CY3="-",0,CY3-CU3)</f>
        <v>-48.697485803830205</v>
      </c>
      <c r="DA3" s="506">
        <v>102909.72</v>
      </c>
      <c r="DB3" s="53">
        <v>1.7781022060503398</v>
      </c>
      <c r="DC3" s="507">
        <v>57876.155628078966</v>
      </c>
      <c r="DD3" s="380">
        <f t="shared" ref="DD3:DD66" si="11">IF(DC3="-",0,DC3-CY3)</f>
        <v>160.60495318081666</v>
      </c>
      <c r="DE3" s="506">
        <v>102909.72</v>
      </c>
      <c r="DF3" s="53">
        <v>1.7969467110412831</v>
      </c>
      <c r="DG3" s="507">
        <v>57269.210805014103</v>
      </c>
      <c r="DH3" s="380">
        <f t="shared" ref="DH3:DH66" si="12">IF(DG3="-",0,DG3-DC3)</f>
        <v>-606.94482306486316</v>
      </c>
      <c r="DI3" s="506">
        <v>102909.72</v>
      </c>
      <c r="DJ3" s="53">
        <v>1.7959454743975056</v>
      </c>
      <c r="DK3" s="507">
        <v>57301.138295706674</v>
      </c>
      <c r="DL3" s="380">
        <f t="shared" ref="DL3:DL66" si="13">IF(DK3="-",0,DK3-DG3)</f>
        <v>31.927490692571155</v>
      </c>
      <c r="DM3" s="506">
        <v>102909.72</v>
      </c>
      <c r="DN3" s="53">
        <v>1.7790042928025869</v>
      </c>
      <c r="DO3" s="507">
        <v>57846.808136634281</v>
      </c>
      <c r="DP3" s="380">
        <f t="shared" ref="DP3:DP66" si="14">IF(DO3="-",0,DO3-DK3)</f>
        <v>545.66984092760686</v>
      </c>
      <c r="DQ3" s="506">
        <v>102909.72</v>
      </c>
      <c r="DR3" s="53">
        <v>1.7750458919730767</v>
      </c>
      <c r="DS3" s="507">
        <v>57975.808099028516</v>
      </c>
      <c r="DT3" s="380">
        <f t="shared" ref="DT3:DT66" si="15">IF(DS3="-",0,DS3-DO3)</f>
        <v>128.9999623942349</v>
      </c>
      <c r="DU3" s="506">
        <v>102909.72</v>
      </c>
      <c r="DV3" s="53">
        <v>1.7711542197430132</v>
      </c>
      <c r="DW3" s="507">
        <v>58103.195561892826</v>
      </c>
      <c r="DX3" s="380">
        <f t="shared" ref="DX3:DX66" si="16">IF(DW3="-",0,DW3-DS3)</f>
        <v>127.38746286430978</v>
      </c>
      <c r="DY3" s="506">
        <v>102910</v>
      </c>
      <c r="DZ3" s="53">
        <v>1.7635000000000001</v>
      </c>
      <c r="EA3" s="507">
        <v>58355.542954352139</v>
      </c>
      <c r="EB3" s="380">
        <f t="shared" ref="EB3:EB66" si="17">IF(EA3="-",0,EA3-DW3)</f>
        <v>252.34739245931269</v>
      </c>
      <c r="EC3" s="506">
        <v>102910</v>
      </c>
      <c r="ED3" s="53">
        <v>1.749452</v>
      </c>
      <c r="EE3" s="507">
        <v>58824.13464330545</v>
      </c>
      <c r="EF3" s="380">
        <f t="shared" ref="EF3:EF66" si="18">IF(EE3="-",0,EE3-EA3)</f>
        <v>468.59168895331095</v>
      </c>
      <c r="EG3" s="506">
        <v>102910</v>
      </c>
      <c r="EH3" s="53">
        <v>1.75295</v>
      </c>
      <c r="EI3" s="507">
        <v>58706.751476083176</v>
      </c>
      <c r="EJ3" s="380">
        <f t="shared" ref="EJ3:EJ66" si="19">IF(EI3="-",0,EI3-EE3)</f>
        <v>-117.38316722227319</v>
      </c>
      <c r="EK3" s="506">
        <v>102910</v>
      </c>
      <c r="EL3" s="53">
        <v>1.754453</v>
      </c>
      <c r="EM3" s="507">
        <v>58656.458736711669</v>
      </c>
      <c r="EN3" s="380">
        <f t="shared" ref="EN3:EN66" si="20">IF(EM3="-",0,EM3-EI3)</f>
        <v>-50.292739371507196</v>
      </c>
      <c r="EO3" s="506">
        <v>102910</v>
      </c>
      <c r="EP3" s="53">
        <v>1.760348</v>
      </c>
      <c r="EQ3" s="507">
        <v>58460.031766446176</v>
      </c>
      <c r="ER3" s="380">
        <f t="shared" ref="ER3:ER66" si="21">IF(EQ3="-",0,EQ3-EM3)</f>
        <v>-196.42697026549286</v>
      </c>
      <c r="ES3" s="506">
        <v>102910</v>
      </c>
      <c r="ET3" s="53">
        <v>1.7571490000000001</v>
      </c>
      <c r="EU3" s="507">
        <v>58566.461922124989</v>
      </c>
      <c r="EV3" s="380">
        <f t="shared" ref="EV3:EV66" si="22">IF(EU3="-",0,EU3-EQ3)</f>
        <v>106.4301556788123</v>
      </c>
      <c r="EW3" s="506">
        <v>102910</v>
      </c>
      <c r="EX3" s="53">
        <v>1.7376480000000001</v>
      </c>
      <c r="EY3" s="507">
        <v>59223.732309420549</v>
      </c>
      <c r="EZ3" s="380">
        <f t="shared" ref="EZ3:EZ66" si="23">IF(EY3="-",0,EY3-EU3)</f>
        <v>657.27038729556079</v>
      </c>
      <c r="FA3" s="506">
        <v>102910</v>
      </c>
      <c r="FB3" s="53">
        <v>1.733052</v>
      </c>
      <c r="FC3" s="507">
        <v>59380.791805439192</v>
      </c>
      <c r="FD3" s="380">
        <f t="shared" ref="FD3:FD66" si="24">IF(FC3="-",0,FC3-EY3)</f>
        <v>157.05949601864268</v>
      </c>
      <c r="FE3" s="506">
        <v>102910</v>
      </c>
      <c r="FF3" s="53">
        <v>1.7327980000000001</v>
      </c>
      <c r="FG3" s="507">
        <v>59389.496063591949</v>
      </c>
      <c r="FH3" s="380">
        <f t="shared" ref="FH3:FH66" si="25">IF(FG3="-",0,FG3-FC3)</f>
        <v>8.7042581527566654</v>
      </c>
      <c r="FI3" s="506">
        <v>102910</v>
      </c>
      <c r="FJ3" s="53">
        <v>1.7445550000000001</v>
      </c>
      <c r="FK3" s="507">
        <v>58989.255139562811</v>
      </c>
      <c r="FL3" s="380">
        <f t="shared" ref="FL3:FL66" si="26">IF(FK3="-",0,FK3-FG3)</f>
        <v>-400.24092402913811</v>
      </c>
      <c r="FM3" s="506">
        <v>102910</v>
      </c>
      <c r="FN3" s="53">
        <v>1.7476499999999999</v>
      </c>
      <c r="FO3" s="507">
        <v>58884.788144079197</v>
      </c>
      <c r="FP3" s="380">
        <f t="shared" ref="FP3:FP66" si="27">IF(FO3="-",0,FO3-FK3)</f>
        <v>-104.46699548361357</v>
      </c>
      <c r="FQ3" s="506">
        <v>102910</v>
      </c>
      <c r="FR3" s="53">
        <v>1.7536529999999999</v>
      </c>
      <c r="FS3" s="507">
        <v>58683.217261339618</v>
      </c>
      <c r="FT3" s="380">
        <f t="shared" ref="FT3:FT66" si="28">IF(FS3="-",0,FS3-FO3)</f>
        <v>-201.57088273957925</v>
      </c>
      <c r="FU3" s="506">
        <v>102910</v>
      </c>
      <c r="FV3" s="53">
        <v>1.7570520000000001</v>
      </c>
      <c r="FW3" s="507">
        <v>58569.695148464583</v>
      </c>
      <c r="FX3" s="380">
        <f t="shared" ref="FX3:FX66" si="29">IF(FW3="-",0,FW3-FS3)</f>
        <v>-113.52211287503451</v>
      </c>
      <c r="FY3" s="506">
        <v>102910</v>
      </c>
      <c r="FZ3" s="53">
        <v>1.7579499999999999</v>
      </c>
      <c r="GA3" s="507">
        <v>58539.776444153707</v>
      </c>
      <c r="GB3" s="380">
        <f t="shared" ref="GB3:GB66" si="30">IF(GA3="-",0,GA3-FW3)</f>
        <v>-29.91870431087591</v>
      </c>
      <c r="GC3" s="506">
        <v>102910</v>
      </c>
      <c r="GD3" s="53">
        <v>1.7475499999999999</v>
      </c>
      <c r="GE3" s="507">
        <v>58888.157706503393</v>
      </c>
      <c r="GF3" s="380">
        <f t="shared" ref="GF3:GF66" si="31">IF(GE3="-",0,GE3-GA3)</f>
        <v>348.38126234968513</v>
      </c>
      <c r="GG3" s="506">
        <v>102910</v>
      </c>
      <c r="GH3" s="53">
        <v>1.7613000000000001</v>
      </c>
      <c r="GI3" s="507">
        <v>58428.433543405437</v>
      </c>
      <c r="GJ3" s="380">
        <f t="shared" ref="GJ3:GJ66" si="32">IF(GI3="-",0,GI3-GE3)</f>
        <v>-459.72416309795517</v>
      </c>
      <c r="GK3" s="506">
        <v>102910</v>
      </c>
      <c r="GL3" s="53">
        <v>1.7583009999999999</v>
      </c>
      <c r="GM3" s="507">
        <v>58528.090469151757</v>
      </c>
      <c r="GN3" s="380">
        <f t="shared" ref="GN3:GN66" si="33">IF(GM3="-",0,GM3-GI3)</f>
        <v>99.656925746319757</v>
      </c>
      <c r="GO3" s="506">
        <v>102910</v>
      </c>
      <c r="GP3" s="53">
        <v>1.7518530000000001</v>
      </c>
      <c r="GQ3" s="507">
        <v>58743.51329706316</v>
      </c>
      <c r="GR3" s="380">
        <f t="shared" ref="GR3:GR66" si="34">IF(GQ3="-",0,GQ3-GM3)</f>
        <v>215.42282791140315</v>
      </c>
      <c r="GS3" s="506">
        <v>102910</v>
      </c>
      <c r="GT3" s="53">
        <v>1.7654510000000001</v>
      </c>
      <c r="GU3" s="507">
        <v>58291.054240531172</v>
      </c>
      <c r="GV3" s="380">
        <f t="shared" ref="GV3:GV66" si="35">IF(GU3="-",0,GU3-GQ3)</f>
        <v>-452.45905653198861</v>
      </c>
      <c r="GW3" s="506">
        <v>102910</v>
      </c>
      <c r="GX3" s="53">
        <v>1.761747</v>
      </c>
      <c r="GY3" s="507">
        <v>58413.608764482073</v>
      </c>
      <c r="GZ3" s="380">
        <f t="shared" ref="GZ3:GZ66" si="36">IF(GY3="-",0,GY3-GU3)</f>
        <v>122.55452395090106</v>
      </c>
      <c r="HA3" s="506">
        <v>102910</v>
      </c>
      <c r="HB3" s="53">
        <v>1.7637529999999999</v>
      </c>
      <c r="HC3" s="507">
        <v>58347.17219474609</v>
      </c>
      <c r="HD3" s="380">
        <f t="shared" ref="HD3:HD66" si="37">IF(HC3="-",0,HC3-GY3)</f>
        <v>-66.43656973598263</v>
      </c>
      <c r="HE3" s="506">
        <v>102910</v>
      </c>
      <c r="HF3" s="53">
        <v>1.7546459999999999</v>
      </c>
      <c r="HG3" s="507">
        <v>58650.00689597788</v>
      </c>
      <c r="HH3" s="380">
        <f t="shared" ref="HH3:HH66" si="38">IF(HG3="-",0,HG3-HC3)</f>
        <v>302.83470123178995</v>
      </c>
      <c r="HI3" s="506">
        <v>102910</v>
      </c>
      <c r="HJ3" s="53">
        <v>1.7553510000000001</v>
      </c>
      <c r="HK3" s="507">
        <v>58626.451347907052</v>
      </c>
      <c r="HL3" s="380">
        <f t="shared" ref="HL3:HL66" si="39">IF(HK3="-",0,HK3-HG3)</f>
        <v>-23.555548070828081</v>
      </c>
      <c r="HM3" s="506">
        <v>910</v>
      </c>
      <c r="HN3" s="53">
        <v>1.75865</v>
      </c>
      <c r="HO3" s="507">
        <v>517.4423563528843</v>
      </c>
      <c r="HP3" s="380">
        <f t="shared" ref="HP3:HP66" si="40">IF(HO3="-",0,HO3-HK3)</f>
        <v>-58109.008991554168</v>
      </c>
      <c r="HQ3" s="506">
        <v>910</v>
      </c>
      <c r="HR3" s="53">
        <v>1.7524489999999999</v>
      </c>
      <c r="HS3" s="507">
        <v>519.27331408788507</v>
      </c>
      <c r="HT3" s="380">
        <f t="shared" ref="HT3:HT66" si="41">IF(HS3="-",0,HS3-HO3)</f>
        <v>1.8309577350007658</v>
      </c>
      <c r="HU3" s="506">
        <v>910</v>
      </c>
      <c r="HV3" s="53">
        <v>1.757449</v>
      </c>
      <c r="HW3" s="507">
        <v>517.79596449171493</v>
      </c>
      <c r="HX3" s="380">
        <f t="shared" ref="HX3:HX66" si="42">IF(HW3="-",0,HW3-HS3)</f>
        <v>-1.4773495961701428</v>
      </c>
      <c r="HY3" s="506">
        <v>910</v>
      </c>
      <c r="HZ3" s="53">
        <v>1.77735</v>
      </c>
      <c r="IA3" s="507">
        <v>511.99819956677078</v>
      </c>
      <c r="IB3" s="380">
        <f t="shared" ref="IB3:IB66" si="43">IF(IA3="-",0,IA3-HW3)</f>
        <v>-5.797764924944147</v>
      </c>
      <c r="IC3" s="506">
        <v>910</v>
      </c>
      <c r="ID3" s="53">
        <v>1.77735</v>
      </c>
      <c r="IE3" s="507">
        <v>511.99819956677078</v>
      </c>
      <c r="IF3" s="380">
        <f t="shared" ref="IF3:IF66" si="44">IF(IE3="-",0,IE3-IA3)</f>
        <v>0</v>
      </c>
      <c r="IG3" s="506">
        <v>910</v>
      </c>
      <c r="IH3" s="53">
        <v>1.77735</v>
      </c>
      <c r="II3" s="507">
        <v>511.99819956677078</v>
      </c>
      <c r="IJ3" s="380">
        <f t="shared" ref="IJ3:IJ66" si="45">IF(II3="-",0,II3-IE3)</f>
        <v>0</v>
      </c>
      <c r="IK3" s="506">
        <v>910</v>
      </c>
      <c r="IL3" s="53">
        <v>1.77735</v>
      </c>
      <c r="IM3" s="507">
        <v>511.99819956677078</v>
      </c>
      <c r="IN3" s="380">
        <f t="shared" ref="IN3:IN66" si="46">IF(IM3="-",0,IM3-II3)</f>
        <v>0</v>
      </c>
      <c r="IO3" s="506">
        <v>910</v>
      </c>
      <c r="IP3" s="53">
        <v>1.77735</v>
      </c>
      <c r="IQ3" s="507">
        <v>511.99819956677078</v>
      </c>
      <c r="IR3" s="380">
        <f t="shared" ref="IR3:IR66" si="47">IF(IQ3="-",0,IQ3-IM3)</f>
        <v>0</v>
      </c>
      <c r="IS3" s="506">
        <v>910</v>
      </c>
      <c r="IT3" s="53">
        <v>1.77735</v>
      </c>
      <c r="IU3" s="507">
        <v>511.99819956677078</v>
      </c>
      <c r="IV3" s="380">
        <f t="shared" ref="IV3:IV66" si="48">IF(IU3="-",0,IU3-IQ3)</f>
        <v>0</v>
      </c>
      <c r="IW3" s="506">
        <v>910</v>
      </c>
      <c r="IX3" s="53">
        <v>1.7834989999999999</v>
      </c>
      <c r="IY3" s="507">
        <v>510.23297461899335</v>
      </c>
      <c r="IZ3" s="380">
        <f t="shared" ref="IZ3:IZ66" si="49">IF(IY3="-",0,IY3-IU3)</f>
        <v>-1.7652249477774262</v>
      </c>
    </row>
    <row r="4" spans="1:260">
      <c r="A4" s="13">
        <v>29</v>
      </c>
      <c r="B4" s="13" t="s">
        <v>488</v>
      </c>
      <c r="C4" s="13" t="s">
        <v>143</v>
      </c>
      <c r="D4" s="13" t="s">
        <v>457</v>
      </c>
      <c r="E4" s="13" t="s">
        <v>19</v>
      </c>
      <c r="F4" s="13" t="s">
        <v>489</v>
      </c>
      <c r="G4" s="13" t="s">
        <v>490</v>
      </c>
      <c r="H4" s="49" t="s">
        <v>491</v>
      </c>
      <c r="I4" s="14">
        <f>+'Summary - Colar'!L16+'Summary - Colar'!E49</f>
        <v>24656134.399999999</v>
      </c>
      <c r="J4" s="14">
        <f>+VLOOKUP(E4,'Summary - Colar'!$M$39:$N$54,2,FALSE)</f>
        <v>11.709999</v>
      </c>
      <c r="K4" s="54">
        <f t="shared" ref="K4:K67" si="50">+I4/J4</f>
        <v>2105562.4684511074</v>
      </c>
      <c r="L4" s="506">
        <v>77502623.609999999</v>
      </c>
      <c r="M4" s="53">
        <v>11.785999410466696</v>
      </c>
      <c r="N4" s="507">
        <v>6575821.100175254</v>
      </c>
      <c r="O4" s="506">
        <v>93473025.510000005</v>
      </c>
      <c r="P4" s="53">
        <v>11.703550411188427</v>
      </c>
      <c r="Q4" s="507">
        <v>7986723.8765974063</v>
      </c>
      <c r="R4" s="506">
        <v>84378503.040000007</v>
      </c>
      <c r="S4" s="53">
        <v>11.743499009792057</v>
      </c>
      <c r="T4" s="507">
        <v>7185124.5501568876</v>
      </c>
      <c r="U4" s="506">
        <v>92270514.349999994</v>
      </c>
      <c r="V4" s="53">
        <v>11.747497669811418</v>
      </c>
      <c r="W4" s="507">
        <v>7854482.4560481235</v>
      </c>
      <c r="X4" s="506">
        <v>91828141.340000004</v>
      </c>
      <c r="Y4" s="53">
        <v>11.749502062955756</v>
      </c>
      <c r="Z4" s="507">
        <v>7815492.1670697015</v>
      </c>
      <c r="AA4" s="506">
        <v>103617363.37</v>
      </c>
      <c r="AB4" s="53">
        <v>11.733002368191622</v>
      </c>
      <c r="AC4" s="507">
        <v>8831274.3932370208</v>
      </c>
      <c r="AD4" s="506">
        <v>38531874.939999998</v>
      </c>
      <c r="AE4" s="53">
        <v>11.627499067232772</v>
      </c>
      <c r="AF4" s="507">
        <v>3313857.4956833082</v>
      </c>
      <c r="AG4" s="506">
        <v>34336032.789999999</v>
      </c>
      <c r="AH4" s="53">
        <v>11.643996899091613</v>
      </c>
      <c r="AI4" s="507">
        <v>2948818.4416021844</v>
      </c>
      <c r="AJ4" s="506">
        <v>56489724.729999997</v>
      </c>
      <c r="AK4" s="53">
        <v>11.62049709008984</v>
      </c>
      <c r="AL4" s="507">
        <v>4861214.1367149781</v>
      </c>
      <c r="AM4" s="506">
        <v>57433823.670000002</v>
      </c>
      <c r="AN4" s="53">
        <v>11.726500808872606</v>
      </c>
      <c r="AO4" s="507">
        <v>4897780.2164601339</v>
      </c>
      <c r="AP4" s="506">
        <v>38219700.130000003</v>
      </c>
      <c r="AQ4" s="53">
        <v>11.756749444616933</v>
      </c>
      <c r="AR4" s="507">
        <v>3250873.0674276357</v>
      </c>
      <c r="AS4" s="506">
        <v>43675635</v>
      </c>
      <c r="AT4" s="53">
        <v>11.610503</v>
      </c>
      <c r="AU4" s="507">
        <v>3761734.9567025648</v>
      </c>
      <c r="AV4" s="506">
        <v>41290174.549999997</v>
      </c>
      <c r="AW4" s="53">
        <v>11.392497223232125</v>
      </c>
      <c r="AX4" s="507">
        <v>3624330.4466907484</v>
      </c>
      <c r="AY4" s="506">
        <v>30778670.629999999</v>
      </c>
      <c r="AZ4" s="53">
        <v>11.295049266589858</v>
      </c>
      <c r="BA4" s="507">
        <v>2724970.0203647302</v>
      </c>
      <c r="BB4" s="506">
        <v>35034070.189999998</v>
      </c>
      <c r="BC4" s="53">
        <v>11.408997532863422</v>
      </c>
      <c r="BD4" s="507">
        <v>3070740.4475358119</v>
      </c>
      <c r="BE4" s="506">
        <v>33930761.740000002</v>
      </c>
      <c r="BF4" s="53">
        <v>11.317002475075295</v>
      </c>
      <c r="BG4" s="507">
        <v>2998211.0381905041</v>
      </c>
      <c r="BH4" s="380">
        <f t="shared" si="0"/>
        <v>2998199.6291929712</v>
      </c>
      <c r="BI4" s="506">
        <v>35967670.759999998</v>
      </c>
      <c r="BJ4" s="53">
        <v>11.267000584532196</v>
      </c>
      <c r="BK4" s="507">
        <v>3192302.200585478</v>
      </c>
      <c r="BL4" s="380">
        <f t="shared" si="1"/>
        <v>194091.16239497392</v>
      </c>
      <c r="BM4" s="506">
        <v>34185529.740000002</v>
      </c>
      <c r="BN4" s="53">
        <v>11.417497717359922</v>
      </c>
      <c r="BO4" s="507">
        <v>2994135.0185708427</v>
      </c>
      <c r="BP4">
        <v>500000</v>
      </c>
      <c r="BQ4" s="506">
        <v>34531358.170000002</v>
      </c>
      <c r="BR4" s="53">
        <v>11.696498238722574</v>
      </c>
      <c r="BS4" s="507">
        <v>2952281.7398185083</v>
      </c>
      <c r="BT4" s="380">
        <f t="shared" si="2"/>
        <v>-41853.278752334416</v>
      </c>
      <c r="BU4" s="506">
        <v>36331863.899999999</v>
      </c>
      <c r="BV4" s="53">
        <v>11.945000441527094</v>
      </c>
      <c r="BW4" s="507">
        <v>3041595.860783007</v>
      </c>
      <c r="BX4" s="380">
        <f t="shared" si="3"/>
        <v>89314.120964498725</v>
      </c>
      <c r="BY4" s="506">
        <v>32487449.850000001</v>
      </c>
      <c r="BZ4" s="53">
        <v>11.953000572967035</v>
      </c>
      <c r="CA4" s="507">
        <v>2717932.5937182484</v>
      </c>
      <c r="CB4" s="380">
        <f t="shared" si="4"/>
        <v>-323663.26706475858</v>
      </c>
      <c r="CC4" s="506">
        <v>17021874.399999999</v>
      </c>
      <c r="CD4" s="53">
        <v>12.138995899756635</v>
      </c>
      <c r="CE4" s="507">
        <v>1402247.3144044192</v>
      </c>
      <c r="CF4" s="380">
        <f t="shared" si="5"/>
        <v>-1315685.2793138293</v>
      </c>
      <c r="CG4" s="506">
        <v>17696052</v>
      </c>
      <c r="CH4" s="53">
        <v>11.969747513196003</v>
      </c>
      <c r="CI4" s="507">
        <v>1478398.1015882795</v>
      </c>
      <c r="CJ4" s="380">
        <f t="shared" si="6"/>
        <v>76150.787183860317</v>
      </c>
      <c r="CK4" s="506">
        <v>30235801.84</v>
      </c>
      <c r="CL4" s="53">
        <v>12.073497534852091</v>
      </c>
      <c r="CM4" s="507">
        <v>2504311.7582721575</v>
      </c>
      <c r="CN4" s="380">
        <f t="shared" si="7"/>
        <v>1025913.656683878</v>
      </c>
      <c r="CO4" s="506">
        <v>33282385.68</v>
      </c>
      <c r="CP4" s="53">
        <v>12.007247076195393</v>
      </c>
      <c r="CQ4" s="507">
        <v>2771858.1510647009</v>
      </c>
      <c r="CR4" s="380">
        <f t="shared" si="8"/>
        <v>267546.3927925434</v>
      </c>
      <c r="CS4" s="506">
        <v>34158404.710000001</v>
      </c>
      <c r="CT4" s="53">
        <v>11.980500309987502</v>
      </c>
      <c r="CU4" s="507">
        <v>2851166.7982282816</v>
      </c>
      <c r="CV4" s="380">
        <f t="shared" si="9"/>
        <v>79308.647163580637</v>
      </c>
      <c r="CW4" s="506">
        <v>36833459.439999998</v>
      </c>
      <c r="CX4" s="53">
        <v>12.08250155250002</v>
      </c>
      <c r="CY4" s="507">
        <v>3048496.1479172083</v>
      </c>
      <c r="CZ4" s="380">
        <f t="shared" si="10"/>
        <v>197329.34968892671</v>
      </c>
      <c r="DA4" s="506">
        <v>36833459.439999998</v>
      </c>
      <c r="DB4" s="53">
        <v>11.912498890449054</v>
      </c>
      <c r="DC4" s="507">
        <v>3092001.080439263</v>
      </c>
      <c r="DD4" s="380">
        <f t="shared" si="11"/>
        <v>43504.932522054762</v>
      </c>
      <c r="DE4" s="506">
        <v>36833459.439999998</v>
      </c>
      <c r="DF4" s="53">
        <v>11.997501798507978</v>
      </c>
      <c r="DG4" s="507">
        <v>3070094.0961376349</v>
      </c>
      <c r="DH4" s="380">
        <f t="shared" si="12"/>
        <v>-21906.984301628079</v>
      </c>
      <c r="DI4" s="506">
        <v>46301177.539999999</v>
      </c>
      <c r="DJ4" s="53">
        <v>11.888999411964532</v>
      </c>
      <c r="DK4" s="507">
        <v>3894455.3646293115</v>
      </c>
      <c r="DL4" s="380">
        <f t="shared" si="13"/>
        <v>824361.26849167654</v>
      </c>
      <c r="DM4" s="506">
        <v>49630499.600000001</v>
      </c>
      <c r="DN4" s="53">
        <v>11.873999406436402</v>
      </c>
      <c r="DO4" s="507">
        <v>4179762.6815693933</v>
      </c>
      <c r="DP4" s="380">
        <f t="shared" si="14"/>
        <v>285307.31694008177</v>
      </c>
      <c r="DQ4" s="506">
        <v>44760982.960000001</v>
      </c>
      <c r="DR4" s="53">
        <v>11.869500996558356</v>
      </c>
      <c r="DS4" s="507">
        <v>3771092.228138214</v>
      </c>
      <c r="DT4" s="380">
        <f t="shared" si="15"/>
        <v>-408670.45343117928</v>
      </c>
      <c r="DU4" s="506">
        <v>47253548.07</v>
      </c>
      <c r="DV4" s="53">
        <v>11.801499914140267</v>
      </c>
      <c r="DW4" s="507">
        <v>4004029.0144290864</v>
      </c>
      <c r="DX4" s="380">
        <f t="shared" si="16"/>
        <v>232936.78629087238</v>
      </c>
      <c r="DY4" s="506">
        <v>49497256</v>
      </c>
      <c r="DZ4" s="53">
        <v>11.762504</v>
      </c>
      <c r="EA4" s="507">
        <v>4208054.3394501712</v>
      </c>
      <c r="EB4" s="380">
        <f t="shared" si="17"/>
        <v>204025.32502108486</v>
      </c>
      <c r="EC4" s="506">
        <v>51879659</v>
      </c>
      <c r="ED4" s="53">
        <v>11.773001000000001</v>
      </c>
      <c r="EE4" s="507">
        <v>4406663.9423542051</v>
      </c>
      <c r="EF4" s="380">
        <f t="shared" si="18"/>
        <v>198609.60290403385</v>
      </c>
      <c r="EG4" s="506">
        <v>52210864</v>
      </c>
      <c r="EH4" s="53">
        <v>11.708503</v>
      </c>
      <c r="EI4" s="507">
        <v>4459226.2563369544</v>
      </c>
      <c r="EJ4" s="380">
        <f t="shared" si="19"/>
        <v>52562.313982749358</v>
      </c>
      <c r="EK4" s="506">
        <v>54170787</v>
      </c>
      <c r="EL4" s="53">
        <v>11.664</v>
      </c>
      <c r="EM4" s="507">
        <v>4644271.8621399179</v>
      </c>
      <c r="EN4" s="380">
        <f t="shared" si="20"/>
        <v>185045.60580296349</v>
      </c>
      <c r="EO4" s="506">
        <v>55677294</v>
      </c>
      <c r="EP4" s="53">
        <v>11.691001999999999</v>
      </c>
      <c r="EQ4" s="507">
        <v>4762405.6517995633</v>
      </c>
      <c r="ER4" s="380">
        <f t="shared" si="21"/>
        <v>118133.78965964541</v>
      </c>
      <c r="ES4" s="506">
        <v>57173636</v>
      </c>
      <c r="ET4" s="53">
        <v>11.669549999999999</v>
      </c>
      <c r="EU4" s="507">
        <v>4899386.5230450192</v>
      </c>
      <c r="EV4" s="380">
        <f t="shared" si="22"/>
        <v>136980.87124545593</v>
      </c>
      <c r="EW4" s="506">
        <v>49584965</v>
      </c>
      <c r="EX4" s="53">
        <v>11.581996</v>
      </c>
      <c r="EY4" s="507">
        <v>4281210.6825110279</v>
      </c>
      <c r="EZ4" s="380">
        <f t="shared" si="23"/>
        <v>-618175.84053399134</v>
      </c>
      <c r="FA4" s="506">
        <v>40373202</v>
      </c>
      <c r="FB4" s="53">
        <v>11.556098</v>
      </c>
      <c r="FC4" s="507">
        <v>3493670.7874924564</v>
      </c>
      <c r="FD4" s="380">
        <f t="shared" si="24"/>
        <v>-787539.89501857152</v>
      </c>
      <c r="FE4" s="506">
        <v>40422050</v>
      </c>
      <c r="FF4" s="53">
        <v>11.556803</v>
      </c>
      <c r="FG4" s="507">
        <v>3497684.4374694279</v>
      </c>
      <c r="FH4" s="380">
        <f t="shared" si="25"/>
        <v>4013.6499769715592</v>
      </c>
      <c r="FI4" s="506">
        <v>41633135</v>
      </c>
      <c r="FJ4" s="53">
        <v>11.626453</v>
      </c>
      <c r="FK4" s="507">
        <v>3580897.3725692611</v>
      </c>
      <c r="FL4" s="380">
        <f t="shared" si="26"/>
        <v>83212.935099833179</v>
      </c>
      <c r="FM4" s="506">
        <v>41769863</v>
      </c>
      <c r="FN4" s="53">
        <v>11.591504</v>
      </c>
      <c r="FO4" s="507">
        <v>3603489.5040367497</v>
      </c>
      <c r="FP4" s="380">
        <f t="shared" si="27"/>
        <v>22592.131467488594</v>
      </c>
      <c r="FQ4" s="506">
        <v>41779180</v>
      </c>
      <c r="FR4" s="53">
        <v>11.586499999999999</v>
      </c>
      <c r="FS4" s="507">
        <v>3605849.9115349762</v>
      </c>
      <c r="FT4" s="380">
        <f t="shared" si="28"/>
        <v>2360.407498226501</v>
      </c>
      <c r="FU4" s="506">
        <v>41555066</v>
      </c>
      <c r="FV4" s="53">
        <v>11.493002000000001</v>
      </c>
      <c r="FW4" s="507">
        <v>3615684.2224511923</v>
      </c>
      <c r="FX4" s="380">
        <f t="shared" si="29"/>
        <v>9834.3109162161127</v>
      </c>
      <c r="FY4" s="506">
        <v>36881994</v>
      </c>
      <c r="FZ4" s="53">
        <v>11.503</v>
      </c>
      <c r="GA4" s="507">
        <v>3206293.4886551336</v>
      </c>
      <c r="GB4" s="380">
        <f t="shared" si="30"/>
        <v>-409390.73379605869</v>
      </c>
      <c r="GC4" s="506">
        <v>37027284</v>
      </c>
      <c r="GD4" s="53">
        <v>11.478999</v>
      </c>
      <c r="GE4" s="507">
        <v>3225654.4320632834</v>
      </c>
      <c r="GF4" s="380">
        <f t="shared" si="31"/>
        <v>19360.94340814976</v>
      </c>
      <c r="GG4" s="506">
        <v>37048762</v>
      </c>
      <c r="GH4" s="53">
        <v>11.500299</v>
      </c>
      <c r="GI4" s="507">
        <v>3221547.7180202012</v>
      </c>
      <c r="GJ4" s="380">
        <f t="shared" si="32"/>
        <v>-4106.7140430822037</v>
      </c>
      <c r="GK4" s="506">
        <v>36245744</v>
      </c>
      <c r="GL4" s="53">
        <v>11.497498999999999</v>
      </c>
      <c r="GM4" s="507">
        <v>3152489.4240042986</v>
      </c>
      <c r="GN4" s="380">
        <f t="shared" si="33"/>
        <v>-69058.29401590256</v>
      </c>
      <c r="GO4" s="506">
        <v>36245744</v>
      </c>
      <c r="GP4" s="53">
        <v>11.486503000000001</v>
      </c>
      <c r="GQ4" s="507">
        <v>3155507.2940824549</v>
      </c>
      <c r="GR4" s="380">
        <f t="shared" si="34"/>
        <v>3017.8700781562366</v>
      </c>
      <c r="GS4" s="506">
        <v>37992791</v>
      </c>
      <c r="GT4" s="53">
        <v>11.520502</v>
      </c>
      <c r="GU4" s="507">
        <v>3297841.6218321039</v>
      </c>
      <c r="GV4" s="380">
        <f t="shared" si="35"/>
        <v>142334.32774964906</v>
      </c>
      <c r="GW4" s="506">
        <v>38189477</v>
      </c>
      <c r="GX4" s="53">
        <v>11.514502</v>
      </c>
      <c r="GY4" s="507">
        <v>3316641.6576244459</v>
      </c>
      <c r="GZ4" s="380">
        <f t="shared" si="36"/>
        <v>18800.035792341921</v>
      </c>
      <c r="HA4" s="506">
        <v>38911823</v>
      </c>
      <c r="HB4" s="53">
        <v>11.531499999999999</v>
      </c>
      <c r="HC4" s="507">
        <v>3374393.8776395093</v>
      </c>
      <c r="HD4" s="380">
        <f t="shared" si="37"/>
        <v>57752.220015063416</v>
      </c>
      <c r="HE4" s="506">
        <v>38500091</v>
      </c>
      <c r="HF4" s="53">
        <v>11.508001999999999</v>
      </c>
      <c r="HG4" s="507">
        <v>3345506.1095748856</v>
      </c>
      <c r="HH4" s="380">
        <f t="shared" si="38"/>
        <v>-28887.768064623699</v>
      </c>
      <c r="HI4" s="506">
        <v>39293345</v>
      </c>
      <c r="HJ4" s="53">
        <v>11.519996000000001</v>
      </c>
      <c r="HK4" s="507">
        <v>3410881.8266950785</v>
      </c>
      <c r="HL4" s="380">
        <f t="shared" si="39"/>
        <v>65375.717120192945</v>
      </c>
      <c r="HM4" s="506">
        <v>37324866</v>
      </c>
      <c r="HN4" s="53">
        <v>11.524997000000001</v>
      </c>
      <c r="HO4" s="507">
        <v>3238600.9297876605</v>
      </c>
      <c r="HP4" s="380">
        <f t="shared" si="40"/>
        <v>-172280.89690741803</v>
      </c>
      <c r="HQ4" s="506">
        <v>31711012</v>
      </c>
      <c r="HR4" s="53">
        <v>11.505749</v>
      </c>
      <c r="HS4" s="507">
        <v>2756101.4932621946</v>
      </c>
      <c r="HT4" s="380">
        <f t="shared" si="41"/>
        <v>-482499.43652546592</v>
      </c>
      <c r="HU4" s="506">
        <v>31927351</v>
      </c>
      <c r="HV4" s="53">
        <v>11.562754</v>
      </c>
      <c r="HW4" s="507">
        <v>2761223.7534414381</v>
      </c>
      <c r="HX4" s="380">
        <f t="shared" si="42"/>
        <v>5122.2601792435162</v>
      </c>
      <c r="HY4" s="506">
        <v>21557601</v>
      </c>
      <c r="HZ4" s="53">
        <v>11.441503000000001</v>
      </c>
      <c r="IA4" s="507">
        <v>1884158.1390137291</v>
      </c>
      <c r="IB4" s="380">
        <f t="shared" si="43"/>
        <v>-877065.61442770902</v>
      </c>
      <c r="IC4" s="506">
        <v>22222708.399999999</v>
      </c>
      <c r="ID4" s="53">
        <v>11.4415</v>
      </c>
      <c r="IE4" s="507">
        <v>1942289.7696980292</v>
      </c>
      <c r="IF4" s="380">
        <f t="shared" si="44"/>
        <v>58131.630684300093</v>
      </c>
      <c r="IG4" s="506">
        <v>22563339.399999999</v>
      </c>
      <c r="IH4" s="53">
        <v>11.4415</v>
      </c>
      <c r="II4" s="507">
        <v>1972061.3031508105</v>
      </c>
      <c r="IJ4" s="380">
        <f t="shared" si="45"/>
        <v>29771.533452781383</v>
      </c>
      <c r="IK4" s="506">
        <v>23079161.399999999</v>
      </c>
      <c r="IL4" s="53">
        <v>11.4415</v>
      </c>
      <c r="IM4" s="507">
        <v>2017144.7275269851</v>
      </c>
      <c r="IN4" s="380">
        <f t="shared" si="46"/>
        <v>45083.424376174575</v>
      </c>
      <c r="IO4" s="506">
        <v>23673498.399999999</v>
      </c>
      <c r="IP4" s="53">
        <v>11.4415</v>
      </c>
      <c r="IQ4" s="507">
        <v>2069090.4514268234</v>
      </c>
      <c r="IR4" s="380">
        <f t="shared" si="47"/>
        <v>51945.723899838282</v>
      </c>
      <c r="IS4" s="506">
        <v>24278709.399999999</v>
      </c>
      <c r="IT4" s="53">
        <v>11.4415</v>
      </c>
      <c r="IU4" s="507">
        <v>2121986.5751868198</v>
      </c>
      <c r="IV4" s="380">
        <f t="shared" si="48"/>
        <v>52896.123759996379</v>
      </c>
      <c r="IW4" s="506">
        <v>24656134.399999999</v>
      </c>
      <c r="IX4" s="53">
        <v>11.709999</v>
      </c>
      <c r="IY4" s="507">
        <v>2105562.4684511074</v>
      </c>
      <c r="IZ4" s="380">
        <f t="shared" si="49"/>
        <v>-16424.106735712383</v>
      </c>
    </row>
    <row r="5" spans="1:260">
      <c r="A5" s="13">
        <v>29</v>
      </c>
      <c r="B5" s="13" t="s">
        <v>488</v>
      </c>
      <c r="C5" s="13" t="s">
        <v>143</v>
      </c>
      <c r="D5" s="13" t="s">
        <v>457</v>
      </c>
      <c r="E5" s="13" t="s">
        <v>19</v>
      </c>
      <c r="F5" s="13" t="s">
        <v>492</v>
      </c>
      <c r="G5" s="13" t="s">
        <v>493</v>
      </c>
      <c r="H5" s="49" t="s">
        <v>491</v>
      </c>
      <c r="I5" s="14" t="s">
        <v>494</v>
      </c>
      <c r="J5" s="14">
        <f>+VLOOKUP(E5,'Summary - Colar'!$M$39:$N$54,2,FALSE)</f>
        <v>11.709999</v>
      </c>
      <c r="K5" s="54"/>
      <c r="L5" s="506" t="s">
        <v>494</v>
      </c>
      <c r="M5" s="53">
        <v>11.785999410466696</v>
      </c>
      <c r="N5" s="507"/>
      <c r="O5" s="506" t="s">
        <v>494</v>
      </c>
      <c r="P5" s="53">
        <v>11.703550411188427</v>
      </c>
      <c r="Q5" s="507"/>
      <c r="R5" s="506" t="s">
        <v>494</v>
      </c>
      <c r="S5" s="53">
        <v>11.743499009792057</v>
      </c>
      <c r="T5" s="507"/>
      <c r="U5" s="506" t="s">
        <v>494</v>
      </c>
      <c r="V5" s="53">
        <v>11.747497669811418</v>
      </c>
      <c r="W5" s="507"/>
      <c r="X5" s="506" t="s">
        <v>494</v>
      </c>
      <c r="Y5" s="53">
        <v>11.749502062955756</v>
      </c>
      <c r="Z5" s="507"/>
      <c r="AA5" s="506" t="s">
        <v>494</v>
      </c>
      <c r="AB5" s="53">
        <v>11.733002368191622</v>
      </c>
      <c r="AC5" s="507"/>
      <c r="AD5" s="506" t="s">
        <v>494</v>
      </c>
      <c r="AE5" s="53">
        <v>11.627499067232772</v>
      </c>
      <c r="AF5" s="507"/>
      <c r="AG5" s="506" t="s">
        <v>494</v>
      </c>
      <c r="AH5" s="53">
        <v>11.643996899091613</v>
      </c>
      <c r="AI5" s="507"/>
      <c r="AJ5" s="506" t="s">
        <v>494</v>
      </c>
      <c r="AK5" s="53">
        <v>11.62049709008984</v>
      </c>
      <c r="AL5" s="507"/>
      <c r="AM5" s="506" t="s">
        <v>494</v>
      </c>
      <c r="AN5" s="53">
        <v>11.726500808872606</v>
      </c>
      <c r="AO5" s="507"/>
      <c r="AP5" s="506" t="s">
        <v>494</v>
      </c>
      <c r="AQ5" s="53">
        <v>11.756749444616933</v>
      </c>
      <c r="AR5" s="507"/>
      <c r="AS5" s="506" t="s">
        <v>494</v>
      </c>
      <c r="AT5" s="53">
        <v>11.610503</v>
      </c>
      <c r="AU5" s="507"/>
      <c r="AV5" s="506" t="s">
        <v>494</v>
      </c>
      <c r="AW5" s="53">
        <v>11.392497223232125</v>
      </c>
      <c r="AX5" s="507"/>
      <c r="AY5" s="506" t="s">
        <v>494</v>
      </c>
      <c r="AZ5" s="53">
        <v>11.295049266589858</v>
      </c>
      <c r="BA5" s="507"/>
      <c r="BB5" s="506" t="s">
        <v>494</v>
      </c>
      <c r="BC5" s="53">
        <v>11.408997532863422</v>
      </c>
      <c r="BD5" s="507"/>
      <c r="BE5" s="506" t="s">
        <v>494</v>
      </c>
      <c r="BF5" s="53">
        <v>11.317002475075295</v>
      </c>
      <c r="BG5" s="507"/>
      <c r="BH5" s="380">
        <f t="shared" si="0"/>
        <v>-11.408997532863422</v>
      </c>
      <c r="BI5" s="506" t="s">
        <v>494</v>
      </c>
      <c r="BJ5" s="53">
        <v>11.267000584532196</v>
      </c>
      <c r="BK5" s="507"/>
      <c r="BL5" s="380">
        <f t="shared" si="1"/>
        <v>0</v>
      </c>
      <c r="BM5" s="506" t="s">
        <v>494</v>
      </c>
      <c r="BN5" s="53">
        <v>11.417497717359922</v>
      </c>
      <c r="BO5" s="507"/>
      <c r="BP5">
        <v>5000000</v>
      </c>
      <c r="BQ5" s="506" t="s">
        <v>494</v>
      </c>
      <c r="BR5" s="53">
        <v>11.696498238722574</v>
      </c>
      <c r="BS5" s="507"/>
      <c r="BT5" s="380">
        <f t="shared" si="2"/>
        <v>0</v>
      </c>
      <c r="BU5" s="506" t="s">
        <v>494</v>
      </c>
      <c r="BV5" s="53">
        <v>11.945000441527094</v>
      </c>
      <c r="BW5" s="507"/>
      <c r="BX5" s="380">
        <f t="shared" si="3"/>
        <v>0</v>
      </c>
      <c r="BY5" s="506" t="s">
        <v>494</v>
      </c>
      <c r="BZ5" s="53">
        <v>11.953000572967035</v>
      </c>
      <c r="CA5" s="507"/>
      <c r="CB5" s="380">
        <f t="shared" si="4"/>
        <v>0</v>
      </c>
      <c r="CC5" s="506" t="s">
        <v>494</v>
      </c>
      <c r="CD5" s="53">
        <v>12.138995899756635</v>
      </c>
      <c r="CE5" s="507"/>
      <c r="CF5" s="380">
        <f t="shared" si="5"/>
        <v>0</v>
      </c>
      <c r="CG5" s="506" t="s">
        <v>494</v>
      </c>
      <c r="CH5" s="53">
        <v>11.969747513196003</v>
      </c>
      <c r="CI5" s="507"/>
      <c r="CJ5" s="380">
        <f t="shared" si="6"/>
        <v>0</v>
      </c>
      <c r="CK5" s="506" t="s">
        <v>494</v>
      </c>
      <c r="CL5" s="53">
        <v>12.073497534852091</v>
      </c>
      <c r="CM5" s="507"/>
      <c r="CN5" s="380">
        <f t="shared" si="7"/>
        <v>0</v>
      </c>
      <c r="CO5" s="506" t="s">
        <v>494</v>
      </c>
      <c r="CP5" s="53">
        <v>12.007247076195393</v>
      </c>
      <c r="CQ5" s="507"/>
      <c r="CR5" s="380">
        <f t="shared" si="8"/>
        <v>0</v>
      </c>
      <c r="CS5" s="506" t="s">
        <v>494</v>
      </c>
      <c r="CT5" s="53">
        <v>11.980500309987502</v>
      </c>
      <c r="CU5" s="507"/>
      <c r="CV5" s="380">
        <f t="shared" si="9"/>
        <v>0</v>
      </c>
      <c r="CW5" s="506" t="s">
        <v>494</v>
      </c>
      <c r="CX5" s="53">
        <v>12.08250155250002</v>
      </c>
      <c r="CY5" s="507"/>
      <c r="CZ5" s="380">
        <f t="shared" si="10"/>
        <v>0</v>
      </c>
      <c r="DA5" s="506" t="s">
        <v>494</v>
      </c>
      <c r="DB5" s="53">
        <v>11.912498890449054</v>
      </c>
      <c r="DC5" s="507"/>
      <c r="DD5" s="380">
        <f t="shared" si="11"/>
        <v>0</v>
      </c>
      <c r="DE5" s="506" t="s">
        <v>494</v>
      </c>
      <c r="DF5" s="53">
        <v>11.997501798507978</v>
      </c>
      <c r="DG5" s="507"/>
      <c r="DH5" s="380">
        <f t="shared" si="12"/>
        <v>0</v>
      </c>
      <c r="DI5" s="506" t="s">
        <v>494</v>
      </c>
      <c r="DJ5" s="53">
        <v>11.888999411964532</v>
      </c>
      <c r="DK5" s="507"/>
      <c r="DL5" s="380">
        <f t="shared" si="13"/>
        <v>0</v>
      </c>
      <c r="DM5" s="506" t="s">
        <v>494</v>
      </c>
      <c r="DN5" s="53">
        <v>11.873999406436402</v>
      </c>
      <c r="DO5" s="507"/>
      <c r="DP5" s="380">
        <f t="shared" si="14"/>
        <v>0</v>
      </c>
      <c r="DQ5" s="506" t="s">
        <v>494</v>
      </c>
      <c r="DR5" s="53">
        <v>11.869500996558356</v>
      </c>
      <c r="DS5" s="507"/>
      <c r="DT5" s="380">
        <f t="shared" si="15"/>
        <v>0</v>
      </c>
      <c r="DU5" s="506" t="s">
        <v>494</v>
      </c>
      <c r="DV5" s="53">
        <v>11.801499914140267</v>
      </c>
      <c r="DW5" s="507"/>
      <c r="DX5" s="380">
        <f t="shared" si="16"/>
        <v>0</v>
      </c>
      <c r="DY5" s="506" t="s">
        <v>494</v>
      </c>
      <c r="DZ5" s="53">
        <v>11.762504</v>
      </c>
      <c r="EA5" s="507"/>
      <c r="EB5" s="380">
        <f t="shared" si="17"/>
        <v>0</v>
      </c>
      <c r="EC5" s="506" t="s">
        <v>494</v>
      </c>
      <c r="ED5" s="53">
        <v>11.773001000000001</v>
      </c>
      <c r="EE5" s="507"/>
      <c r="EF5" s="380">
        <f t="shared" si="18"/>
        <v>0</v>
      </c>
      <c r="EG5" s="506" t="s">
        <v>494</v>
      </c>
      <c r="EH5" s="53">
        <v>11.708503</v>
      </c>
      <c r="EI5" s="507"/>
      <c r="EJ5" s="380">
        <f t="shared" si="19"/>
        <v>0</v>
      </c>
      <c r="EK5" s="506" t="s">
        <v>494</v>
      </c>
      <c r="EL5" s="53">
        <v>11.664</v>
      </c>
      <c r="EM5" s="507"/>
      <c r="EN5" s="380">
        <f t="shared" si="20"/>
        <v>0</v>
      </c>
      <c r="EO5" s="506" t="s">
        <v>494</v>
      </c>
      <c r="EP5" s="53">
        <v>11.691001999999999</v>
      </c>
      <c r="EQ5" s="507"/>
      <c r="ER5" s="380">
        <f t="shared" si="21"/>
        <v>0</v>
      </c>
      <c r="ES5" s="506" t="s">
        <v>494</v>
      </c>
      <c r="ET5" s="53">
        <v>11.669549999999999</v>
      </c>
      <c r="EU5" s="507"/>
      <c r="EV5" s="380">
        <f t="shared" si="22"/>
        <v>0</v>
      </c>
      <c r="EW5" s="506" t="s">
        <v>494</v>
      </c>
      <c r="EX5" s="53">
        <v>11.581996</v>
      </c>
      <c r="EY5" s="507"/>
      <c r="EZ5" s="380">
        <f t="shared" si="23"/>
        <v>0</v>
      </c>
      <c r="FA5" s="506" t="s">
        <v>494</v>
      </c>
      <c r="FB5" s="53">
        <v>11.556098</v>
      </c>
      <c r="FC5" s="507"/>
      <c r="FD5" s="380">
        <f t="shared" si="24"/>
        <v>0</v>
      </c>
      <c r="FE5" s="506" t="s">
        <v>494</v>
      </c>
      <c r="FF5" s="53">
        <v>11.556803</v>
      </c>
      <c r="FG5" s="507"/>
      <c r="FH5" s="380">
        <f t="shared" si="25"/>
        <v>0</v>
      </c>
      <c r="FI5" s="506" t="s">
        <v>494</v>
      </c>
      <c r="FJ5" s="53">
        <v>11.626453</v>
      </c>
      <c r="FK5" s="507"/>
      <c r="FL5" s="380">
        <f t="shared" si="26"/>
        <v>0</v>
      </c>
      <c r="FM5" s="506" t="s">
        <v>494</v>
      </c>
      <c r="FN5" s="53">
        <v>11.591504</v>
      </c>
      <c r="FO5" s="507"/>
      <c r="FP5" s="380">
        <f t="shared" si="27"/>
        <v>0</v>
      </c>
      <c r="FQ5" s="506" t="s">
        <v>494</v>
      </c>
      <c r="FR5" s="53">
        <v>11.586499999999999</v>
      </c>
      <c r="FS5" s="507"/>
      <c r="FT5" s="380">
        <f t="shared" si="28"/>
        <v>0</v>
      </c>
      <c r="FU5" s="506" t="s">
        <v>494</v>
      </c>
      <c r="FV5" s="53">
        <v>11.493002000000001</v>
      </c>
      <c r="FW5" s="507"/>
      <c r="FX5" s="380">
        <f t="shared" si="29"/>
        <v>0</v>
      </c>
      <c r="FY5" s="506" t="s">
        <v>494</v>
      </c>
      <c r="FZ5" s="53">
        <v>11.503</v>
      </c>
      <c r="GA5" s="507"/>
      <c r="GB5" s="380">
        <f t="shared" si="30"/>
        <v>0</v>
      </c>
      <c r="GC5" s="506" t="s">
        <v>494</v>
      </c>
      <c r="GD5" s="53">
        <v>11.478999</v>
      </c>
      <c r="GE5" s="507"/>
      <c r="GF5" s="380">
        <f t="shared" si="31"/>
        <v>0</v>
      </c>
      <c r="GG5" s="506" t="s">
        <v>494</v>
      </c>
      <c r="GH5" s="53">
        <v>11.500299</v>
      </c>
      <c r="GI5" s="507"/>
      <c r="GJ5" s="380">
        <f t="shared" si="32"/>
        <v>0</v>
      </c>
      <c r="GK5" s="506" t="s">
        <v>494</v>
      </c>
      <c r="GL5" s="53">
        <v>11.497498999999999</v>
      </c>
      <c r="GM5" s="507"/>
      <c r="GN5" s="380">
        <f t="shared" si="33"/>
        <v>0</v>
      </c>
      <c r="GO5" s="506" t="s">
        <v>494</v>
      </c>
      <c r="GP5" s="53">
        <v>11.486503000000001</v>
      </c>
      <c r="GQ5" s="507"/>
      <c r="GR5" s="380">
        <f t="shared" si="34"/>
        <v>0</v>
      </c>
      <c r="GS5" s="506" t="s">
        <v>494</v>
      </c>
      <c r="GT5" s="53">
        <v>11.520502</v>
      </c>
      <c r="GU5" s="507"/>
      <c r="GV5" s="380">
        <f t="shared" si="35"/>
        <v>0</v>
      </c>
      <c r="GW5" s="506" t="s">
        <v>494</v>
      </c>
      <c r="GX5" s="53">
        <v>11.514502</v>
      </c>
      <c r="GY5" s="507"/>
      <c r="GZ5" s="380">
        <f t="shared" si="36"/>
        <v>0</v>
      </c>
      <c r="HA5" s="506" t="s">
        <v>494</v>
      </c>
      <c r="HB5" s="53">
        <v>11.531499999999999</v>
      </c>
      <c r="HC5" s="507"/>
      <c r="HD5" s="380">
        <f t="shared" si="37"/>
        <v>0</v>
      </c>
      <c r="HE5" s="506" t="s">
        <v>494</v>
      </c>
      <c r="HF5" s="53">
        <v>11.508001999999999</v>
      </c>
      <c r="HG5" s="507"/>
      <c r="HH5" s="380">
        <f t="shared" si="38"/>
        <v>0</v>
      </c>
      <c r="HI5" s="506" t="s">
        <v>494</v>
      </c>
      <c r="HJ5" s="53">
        <v>11.519996000000001</v>
      </c>
      <c r="HK5" s="507"/>
      <c r="HL5" s="380">
        <f t="shared" si="39"/>
        <v>0</v>
      </c>
      <c r="HM5" s="506" t="s">
        <v>494</v>
      </c>
      <c r="HN5" s="53">
        <v>11.524997000000001</v>
      </c>
      <c r="HO5" s="507"/>
      <c r="HP5" s="380">
        <f t="shared" si="40"/>
        <v>0</v>
      </c>
      <c r="HQ5" s="506" t="s">
        <v>494</v>
      </c>
      <c r="HR5" s="53">
        <v>11.505749</v>
      </c>
      <c r="HS5" s="507"/>
      <c r="HT5" s="380">
        <f t="shared" si="41"/>
        <v>0</v>
      </c>
      <c r="HU5" s="506" t="s">
        <v>494</v>
      </c>
      <c r="HV5" s="53">
        <v>11.562754</v>
      </c>
      <c r="HW5" s="507"/>
      <c r="HX5" s="380">
        <f t="shared" si="42"/>
        <v>0</v>
      </c>
      <c r="HY5" s="506" t="s">
        <v>494</v>
      </c>
      <c r="HZ5" s="53">
        <v>11.441503000000001</v>
      </c>
      <c r="IA5" s="507"/>
      <c r="IB5" s="380">
        <f t="shared" si="43"/>
        <v>0</v>
      </c>
      <c r="IC5" s="506" t="s">
        <v>494</v>
      </c>
      <c r="ID5" s="53">
        <v>11.4415</v>
      </c>
      <c r="IE5" s="507"/>
      <c r="IF5" s="380">
        <f t="shared" si="44"/>
        <v>0</v>
      </c>
      <c r="IG5" s="506" t="s">
        <v>494</v>
      </c>
      <c r="IH5" s="53">
        <v>11.4415</v>
      </c>
      <c r="II5" s="507"/>
      <c r="IJ5" s="380">
        <f t="shared" si="45"/>
        <v>0</v>
      </c>
      <c r="IK5" s="506" t="s">
        <v>494</v>
      </c>
      <c r="IL5" s="53">
        <v>11.4415</v>
      </c>
      <c r="IM5" s="507"/>
      <c r="IN5" s="380">
        <f t="shared" si="46"/>
        <v>0</v>
      </c>
      <c r="IO5" s="506" t="s">
        <v>494</v>
      </c>
      <c r="IP5" s="53">
        <v>11.4415</v>
      </c>
      <c r="IQ5" s="507"/>
      <c r="IR5" s="380">
        <f t="shared" si="47"/>
        <v>0</v>
      </c>
      <c r="IS5" s="506" t="s">
        <v>494</v>
      </c>
      <c r="IT5" s="53">
        <v>11.4415</v>
      </c>
      <c r="IU5" s="507"/>
      <c r="IV5" s="380">
        <f t="shared" si="48"/>
        <v>0</v>
      </c>
      <c r="IW5" s="506" t="s">
        <v>494</v>
      </c>
      <c r="IX5" s="53">
        <v>11.709999</v>
      </c>
      <c r="IY5" s="507"/>
      <c r="IZ5" s="380">
        <f t="shared" si="49"/>
        <v>0</v>
      </c>
    </row>
    <row r="6" spans="1:260">
      <c r="A6" s="13">
        <v>29</v>
      </c>
      <c r="B6" s="13" t="s">
        <v>488</v>
      </c>
      <c r="C6" s="13" t="s">
        <v>143</v>
      </c>
      <c r="D6" s="13" t="s">
        <v>457</v>
      </c>
      <c r="E6" s="13" t="s">
        <v>19</v>
      </c>
      <c r="F6" s="13" t="s">
        <v>495</v>
      </c>
      <c r="G6" s="13" t="s">
        <v>496</v>
      </c>
      <c r="H6" s="49" t="s">
        <v>491</v>
      </c>
      <c r="I6" s="14" t="s">
        <v>494</v>
      </c>
      <c r="J6" s="14">
        <f>+VLOOKUP(E6,'Summary - Colar'!$M$39:$N$54,2,FALSE)</f>
        <v>11.709999</v>
      </c>
      <c r="K6" s="54"/>
      <c r="L6" s="506" t="s">
        <v>494</v>
      </c>
      <c r="M6" s="53">
        <v>11.785999410466696</v>
      </c>
      <c r="N6" s="507"/>
      <c r="O6" s="506" t="s">
        <v>494</v>
      </c>
      <c r="P6" s="53">
        <v>11.703550411188427</v>
      </c>
      <c r="Q6" s="507"/>
      <c r="R6" s="506" t="s">
        <v>494</v>
      </c>
      <c r="S6" s="53">
        <v>11.743499009792057</v>
      </c>
      <c r="T6" s="507"/>
      <c r="U6" s="506" t="s">
        <v>494</v>
      </c>
      <c r="V6" s="53">
        <v>11.747497669811418</v>
      </c>
      <c r="W6" s="507"/>
      <c r="X6" s="506" t="s">
        <v>494</v>
      </c>
      <c r="Y6" s="53">
        <v>11.749502062955756</v>
      </c>
      <c r="Z6" s="507"/>
      <c r="AA6" s="506" t="s">
        <v>494</v>
      </c>
      <c r="AB6" s="53">
        <v>11.733002368191622</v>
      </c>
      <c r="AC6" s="507"/>
      <c r="AD6" s="506" t="s">
        <v>494</v>
      </c>
      <c r="AE6" s="53">
        <v>11.627499067232772</v>
      </c>
      <c r="AF6" s="507"/>
      <c r="AG6" s="506" t="s">
        <v>494</v>
      </c>
      <c r="AH6" s="53">
        <v>11.643996899091613</v>
      </c>
      <c r="AI6" s="507"/>
      <c r="AJ6" s="506" t="s">
        <v>494</v>
      </c>
      <c r="AK6" s="53">
        <v>11.62049709008984</v>
      </c>
      <c r="AL6" s="507"/>
      <c r="AM6" s="506" t="s">
        <v>494</v>
      </c>
      <c r="AN6" s="53">
        <v>11.726500808872606</v>
      </c>
      <c r="AO6" s="507"/>
      <c r="AP6" s="506" t="s">
        <v>494</v>
      </c>
      <c r="AQ6" s="53">
        <v>11.756749444616933</v>
      </c>
      <c r="AR6" s="507"/>
      <c r="AS6" s="506" t="s">
        <v>494</v>
      </c>
      <c r="AT6" s="53">
        <v>11.610503</v>
      </c>
      <c r="AU6" s="507"/>
      <c r="AV6" s="506" t="s">
        <v>494</v>
      </c>
      <c r="AW6" s="53">
        <v>11.392497223232125</v>
      </c>
      <c r="AX6" s="507"/>
      <c r="AY6" s="506" t="s">
        <v>494</v>
      </c>
      <c r="AZ6" s="53">
        <v>11.295049266589858</v>
      </c>
      <c r="BA6" s="507"/>
      <c r="BB6" s="506" t="s">
        <v>494</v>
      </c>
      <c r="BC6" s="53">
        <v>11.408997532863422</v>
      </c>
      <c r="BD6" s="507"/>
      <c r="BE6" s="506" t="s">
        <v>494</v>
      </c>
      <c r="BF6" s="53">
        <v>11.317002475075295</v>
      </c>
      <c r="BG6" s="507"/>
      <c r="BH6" s="380">
        <f t="shared" si="0"/>
        <v>-11.408997532863422</v>
      </c>
      <c r="BI6" s="506" t="s">
        <v>494</v>
      </c>
      <c r="BJ6" s="53">
        <v>11.267000584532196</v>
      </c>
      <c r="BK6" s="507"/>
      <c r="BL6" s="380">
        <f t="shared" si="1"/>
        <v>0</v>
      </c>
      <c r="BM6" s="506" t="s">
        <v>494</v>
      </c>
      <c r="BN6" s="53">
        <v>11.417497717359922</v>
      </c>
      <c r="BO6" s="507"/>
      <c r="BP6">
        <v>0</v>
      </c>
      <c r="BQ6" s="506" t="s">
        <v>494</v>
      </c>
      <c r="BR6" s="53">
        <v>11.696498238722574</v>
      </c>
      <c r="BS6" s="507"/>
      <c r="BT6" s="380">
        <f t="shared" si="2"/>
        <v>0</v>
      </c>
      <c r="BU6" s="506" t="s">
        <v>494</v>
      </c>
      <c r="BV6" s="53">
        <v>11.945000441527094</v>
      </c>
      <c r="BW6" s="507"/>
      <c r="BX6" s="380">
        <f t="shared" si="3"/>
        <v>0</v>
      </c>
      <c r="BY6" s="506" t="s">
        <v>494</v>
      </c>
      <c r="BZ6" s="53">
        <v>11.953000572967035</v>
      </c>
      <c r="CA6" s="507"/>
      <c r="CB6" s="380">
        <f t="shared" si="4"/>
        <v>0</v>
      </c>
      <c r="CC6" s="506" t="s">
        <v>494</v>
      </c>
      <c r="CD6" s="53">
        <v>12.138995899756635</v>
      </c>
      <c r="CE6" s="507"/>
      <c r="CF6" s="380">
        <f t="shared" si="5"/>
        <v>0</v>
      </c>
      <c r="CG6" s="506" t="s">
        <v>494</v>
      </c>
      <c r="CH6" s="53">
        <v>11.969747513196003</v>
      </c>
      <c r="CI6" s="507"/>
      <c r="CJ6" s="380">
        <f t="shared" si="6"/>
        <v>0</v>
      </c>
      <c r="CK6" s="506" t="s">
        <v>494</v>
      </c>
      <c r="CL6" s="53">
        <v>12.073497534852091</v>
      </c>
      <c r="CM6" s="507"/>
      <c r="CN6" s="380">
        <f t="shared" si="7"/>
        <v>0</v>
      </c>
      <c r="CO6" s="506" t="s">
        <v>494</v>
      </c>
      <c r="CP6" s="53">
        <v>12.007247076195393</v>
      </c>
      <c r="CQ6" s="507"/>
      <c r="CR6" s="380">
        <f t="shared" si="8"/>
        <v>0</v>
      </c>
      <c r="CS6" s="506" t="s">
        <v>494</v>
      </c>
      <c r="CT6" s="53">
        <v>11.980500309987502</v>
      </c>
      <c r="CU6" s="507"/>
      <c r="CV6" s="380">
        <f t="shared" si="9"/>
        <v>0</v>
      </c>
      <c r="CW6" s="506" t="s">
        <v>494</v>
      </c>
      <c r="CX6" s="53">
        <v>12.08250155250002</v>
      </c>
      <c r="CY6" s="507"/>
      <c r="CZ6" s="380">
        <f t="shared" si="10"/>
        <v>0</v>
      </c>
      <c r="DA6" s="506" t="s">
        <v>494</v>
      </c>
      <c r="DB6" s="53">
        <v>11.912498890449054</v>
      </c>
      <c r="DC6" s="507"/>
      <c r="DD6" s="380">
        <f t="shared" si="11"/>
        <v>0</v>
      </c>
      <c r="DE6" s="506" t="s">
        <v>494</v>
      </c>
      <c r="DF6" s="53">
        <v>11.997501798507978</v>
      </c>
      <c r="DG6" s="507"/>
      <c r="DH6" s="380">
        <f t="shared" si="12"/>
        <v>0</v>
      </c>
      <c r="DI6" s="506" t="s">
        <v>494</v>
      </c>
      <c r="DJ6" s="53">
        <v>11.888999411964532</v>
      </c>
      <c r="DK6" s="507"/>
      <c r="DL6" s="380">
        <f t="shared" si="13"/>
        <v>0</v>
      </c>
      <c r="DM6" s="506" t="s">
        <v>494</v>
      </c>
      <c r="DN6" s="53">
        <v>11.873999406436402</v>
      </c>
      <c r="DO6" s="507"/>
      <c r="DP6" s="380">
        <f t="shared" si="14"/>
        <v>0</v>
      </c>
      <c r="DQ6" s="506" t="s">
        <v>494</v>
      </c>
      <c r="DR6" s="53">
        <v>11.869500996558356</v>
      </c>
      <c r="DS6" s="507"/>
      <c r="DT6" s="380">
        <f t="shared" si="15"/>
        <v>0</v>
      </c>
      <c r="DU6" s="506" t="s">
        <v>494</v>
      </c>
      <c r="DV6" s="53">
        <v>11.801499914140267</v>
      </c>
      <c r="DW6" s="507"/>
      <c r="DX6" s="380">
        <f t="shared" si="16"/>
        <v>0</v>
      </c>
      <c r="DY6" s="506" t="s">
        <v>494</v>
      </c>
      <c r="DZ6" s="53">
        <v>11.762504</v>
      </c>
      <c r="EA6" s="507"/>
      <c r="EB6" s="380">
        <f t="shared" si="17"/>
        <v>0</v>
      </c>
      <c r="EC6" s="506" t="s">
        <v>494</v>
      </c>
      <c r="ED6" s="53">
        <v>11.773001000000001</v>
      </c>
      <c r="EE6" s="507"/>
      <c r="EF6" s="380">
        <f t="shared" si="18"/>
        <v>0</v>
      </c>
      <c r="EG6" s="506" t="s">
        <v>494</v>
      </c>
      <c r="EH6" s="53">
        <v>11.708503</v>
      </c>
      <c r="EI6" s="507"/>
      <c r="EJ6" s="380">
        <f t="shared" si="19"/>
        <v>0</v>
      </c>
      <c r="EK6" s="506" t="s">
        <v>494</v>
      </c>
      <c r="EL6" s="53">
        <v>11.664</v>
      </c>
      <c r="EM6" s="507"/>
      <c r="EN6" s="380">
        <f t="shared" si="20"/>
        <v>0</v>
      </c>
      <c r="EO6" s="506" t="s">
        <v>494</v>
      </c>
      <c r="EP6" s="53">
        <v>11.691001999999999</v>
      </c>
      <c r="EQ6" s="507"/>
      <c r="ER6" s="380">
        <f t="shared" si="21"/>
        <v>0</v>
      </c>
      <c r="ES6" s="506" t="s">
        <v>494</v>
      </c>
      <c r="ET6" s="53">
        <v>11.669549999999999</v>
      </c>
      <c r="EU6" s="507"/>
      <c r="EV6" s="380">
        <f t="shared" si="22"/>
        <v>0</v>
      </c>
      <c r="EW6" s="506" t="s">
        <v>494</v>
      </c>
      <c r="EX6" s="53">
        <v>11.581996</v>
      </c>
      <c r="EY6" s="507"/>
      <c r="EZ6" s="380">
        <f t="shared" si="23"/>
        <v>0</v>
      </c>
      <c r="FA6" s="506" t="s">
        <v>494</v>
      </c>
      <c r="FB6" s="53">
        <v>11.556098</v>
      </c>
      <c r="FC6" s="507"/>
      <c r="FD6" s="380">
        <f t="shared" si="24"/>
        <v>0</v>
      </c>
      <c r="FE6" s="506" t="s">
        <v>494</v>
      </c>
      <c r="FF6" s="53">
        <v>11.556803</v>
      </c>
      <c r="FG6" s="507"/>
      <c r="FH6" s="380">
        <f t="shared" si="25"/>
        <v>0</v>
      </c>
      <c r="FI6" s="506" t="s">
        <v>494</v>
      </c>
      <c r="FJ6" s="53">
        <v>11.626453</v>
      </c>
      <c r="FK6" s="507"/>
      <c r="FL6" s="380">
        <f t="shared" si="26"/>
        <v>0</v>
      </c>
      <c r="FM6" s="506" t="s">
        <v>494</v>
      </c>
      <c r="FN6" s="53">
        <v>11.591504</v>
      </c>
      <c r="FO6" s="507"/>
      <c r="FP6" s="380">
        <f t="shared" si="27"/>
        <v>0</v>
      </c>
      <c r="FQ6" s="506" t="s">
        <v>494</v>
      </c>
      <c r="FR6" s="53">
        <v>11.586499999999999</v>
      </c>
      <c r="FS6" s="507"/>
      <c r="FT6" s="380">
        <f t="shared" si="28"/>
        <v>0</v>
      </c>
      <c r="FU6" s="506" t="s">
        <v>494</v>
      </c>
      <c r="FV6" s="53">
        <v>11.493002000000001</v>
      </c>
      <c r="FW6" s="507"/>
      <c r="FX6" s="380">
        <f t="shared" si="29"/>
        <v>0</v>
      </c>
      <c r="FY6" s="506" t="s">
        <v>494</v>
      </c>
      <c r="FZ6" s="53">
        <v>11.503</v>
      </c>
      <c r="GA6" s="507"/>
      <c r="GB6" s="380">
        <f t="shared" si="30"/>
        <v>0</v>
      </c>
      <c r="GC6" s="506" t="s">
        <v>494</v>
      </c>
      <c r="GD6" s="53">
        <v>11.478999</v>
      </c>
      <c r="GE6" s="507"/>
      <c r="GF6" s="380">
        <f t="shared" si="31"/>
        <v>0</v>
      </c>
      <c r="GG6" s="506" t="s">
        <v>494</v>
      </c>
      <c r="GH6" s="53">
        <v>11.500299</v>
      </c>
      <c r="GI6" s="507"/>
      <c r="GJ6" s="380">
        <f t="shared" si="32"/>
        <v>0</v>
      </c>
      <c r="GK6" s="506" t="s">
        <v>494</v>
      </c>
      <c r="GL6" s="53">
        <v>11.497498999999999</v>
      </c>
      <c r="GM6" s="507"/>
      <c r="GN6" s="380">
        <f t="shared" si="33"/>
        <v>0</v>
      </c>
      <c r="GO6" s="506" t="s">
        <v>494</v>
      </c>
      <c r="GP6" s="53">
        <v>11.486503000000001</v>
      </c>
      <c r="GQ6" s="507"/>
      <c r="GR6" s="380">
        <f t="shared" si="34"/>
        <v>0</v>
      </c>
      <c r="GS6" s="506" t="s">
        <v>494</v>
      </c>
      <c r="GT6" s="53">
        <v>11.520502</v>
      </c>
      <c r="GU6" s="507"/>
      <c r="GV6" s="380">
        <f t="shared" si="35"/>
        <v>0</v>
      </c>
      <c r="GW6" s="506" t="s">
        <v>494</v>
      </c>
      <c r="GX6" s="53">
        <v>11.514502</v>
      </c>
      <c r="GY6" s="507"/>
      <c r="GZ6" s="380">
        <f t="shared" si="36"/>
        <v>0</v>
      </c>
      <c r="HA6" s="506" t="s">
        <v>494</v>
      </c>
      <c r="HB6" s="53">
        <v>11.531499999999999</v>
      </c>
      <c r="HC6" s="507"/>
      <c r="HD6" s="380">
        <f t="shared" si="37"/>
        <v>0</v>
      </c>
      <c r="HE6" s="506" t="s">
        <v>494</v>
      </c>
      <c r="HF6" s="53">
        <v>11.508001999999999</v>
      </c>
      <c r="HG6" s="507"/>
      <c r="HH6" s="380">
        <f t="shared" si="38"/>
        <v>0</v>
      </c>
      <c r="HI6" s="506" t="s">
        <v>494</v>
      </c>
      <c r="HJ6" s="53">
        <v>11.519996000000001</v>
      </c>
      <c r="HK6" s="507"/>
      <c r="HL6" s="380">
        <f t="shared" si="39"/>
        <v>0</v>
      </c>
      <c r="HM6" s="506" t="s">
        <v>494</v>
      </c>
      <c r="HN6" s="53">
        <v>11.524997000000001</v>
      </c>
      <c r="HO6" s="507"/>
      <c r="HP6" s="380">
        <f t="shared" si="40"/>
        <v>0</v>
      </c>
      <c r="HQ6" s="506" t="s">
        <v>494</v>
      </c>
      <c r="HR6" s="53">
        <v>11.505749</v>
      </c>
      <c r="HS6" s="507"/>
      <c r="HT6" s="380">
        <f t="shared" si="41"/>
        <v>0</v>
      </c>
      <c r="HU6" s="506" t="s">
        <v>494</v>
      </c>
      <c r="HV6" s="53">
        <v>11.562754</v>
      </c>
      <c r="HW6" s="507"/>
      <c r="HX6" s="380">
        <f t="shared" si="42"/>
        <v>0</v>
      </c>
      <c r="HY6" s="506" t="s">
        <v>494</v>
      </c>
      <c r="HZ6" s="53">
        <v>11.441503000000001</v>
      </c>
      <c r="IA6" s="507"/>
      <c r="IB6" s="380">
        <f t="shared" si="43"/>
        <v>0</v>
      </c>
      <c r="IC6" s="506" t="s">
        <v>494</v>
      </c>
      <c r="ID6" s="53">
        <v>11.4415</v>
      </c>
      <c r="IE6" s="507"/>
      <c r="IF6" s="380">
        <f t="shared" si="44"/>
        <v>0</v>
      </c>
      <c r="IG6" s="506" t="s">
        <v>494</v>
      </c>
      <c r="IH6" s="53">
        <v>11.4415</v>
      </c>
      <c r="II6" s="507"/>
      <c r="IJ6" s="380">
        <f t="shared" si="45"/>
        <v>0</v>
      </c>
      <c r="IK6" s="506" t="s">
        <v>494</v>
      </c>
      <c r="IL6" s="53">
        <v>11.4415</v>
      </c>
      <c r="IM6" s="507"/>
      <c r="IN6" s="380">
        <f t="shared" si="46"/>
        <v>0</v>
      </c>
      <c r="IO6" s="506" t="s">
        <v>494</v>
      </c>
      <c r="IP6" s="53">
        <v>11.4415</v>
      </c>
      <c r="IQ6" s="507"/>
      <c r="IR6" s="380">
        <f t="shared" si="47"/>
        <v>0</v>
      </c>
      <c r="IS6" s="506" t="s">
        <v>494</v>
      </c>
      <c r="IT6" s="53">
        <v>11.4415</v>
      </c>
      <c r="IU6" s="507"/>
      <c r="IV6" s="380">
        <f t="shared" si="48"/>
        <v>0</v>
      </c>
      <c r="IW6" s="506" t="s">
        <v>494</v>
      </c>
      <c r="IX6" s="53">
        <v>11.709999</v>
      </c>
      <c r="IY6" s="507"/>
      <c r="IZ6" s="380">
        <f t="shared" si="49"/>
        <v>0</v>
      </c>
    </row>
    <row r="7" spans="1:260">
      <c r="A7" s="13">
        <v>29</v>
      </c>
      <c r="B7" s="13" t="s">
        <v>488</v>
      </c>
      <c r="C7" s="13" t="s">
        <v>143</v>
      </c>
      <c r="D7" s="13" t="s">
        <v>457</v>
      </c>
      <c r="E7" s="13" t="s">
        <v>19</v>
      </c>
      <c r="F7" s="13" t="s">
        <v>497</v>
      </c>
      <c r="G7" s="13" t="s">
        <v>498</v>
      </c>
      <c r="H7" s="49" t="s">
        <v>499</v>
      </c>
      <c r="I7" s="14" t="s">
        <v>494</v>
      </c>
      <c r="J7" s="14">
        <f>+VLOOKUP(E7,'Summary - Colar'!$M$39:$N$54,2,FALSE)</f>
        <v>11.709999</v>
      </c>
      <c r="K7" s="54"/>
      <c r="L7" s="506" t="s">
        <v>494</v>
      </c>
      <c r="M7" s="53">
        <v>11.785999410466696</v>
      </c>
      <c r="N7" s="507"/>
      <c r="O7" s="506" t="s">
        <v>494</v>
      </c>
      <c r="P7" s="53">
        <v>11.703550411188427</v>
      </c>
      <c r="Q7" s="507"/>
      <c r="R7" s="506" t="s">
        <v>494</v>
      </c>
      <c r="S7" s="53">
        <v>11.743499009792057</v>
      </c>
      <c r="T7" s="507"/>
      <c r="U7" s="506" t="s">
        <v>494</v>
      </c>
      <c r="V7" s="53">
        <v>11.747497669811418</v>
      </c>
      <c r="W7" s="507"/>
      <c r="X7" s="506" t="s">
        <v>494</v>
      </c>
      <c r="Y7" s="53">
        <v>11.749502062955756</v>
      </c>
      <c r="Z7" s="507"/>
      <c r="AA7" s="506" t="s">
        <v>494</v>
      </c>
      <c r="AB7" s="53">
        <v>11.733002368191622</v>
      </c>
      <c r="AC7" s="507"/>
      <c r="AD7" s="506" t="s">
        <v>494</v>
      </c>
      <c r="AE7" s="53">
        <v>11.627499067232772</v>
      </c>
      <c r="AF7" s="507"/>
      <c r="AG7" s="506" t="s">
        <v>494</v>
      </c>
      <c r="AH7" s="53">
        <v>11.643996899091613</v>
      </c>
      <c r="AI7" s="507"/>
      <c r="AJ7" s="506" t="s">
        <v>494</v>
      </c>
      <c r="AK7" s="53">
        <v>11.62049709008984</v>
      </c>
      <c r="AL7" s="507"/>
      <c r="AM7" s="506" t="s">
        <v>494</v>
      </c>
      <c r="AN7" s="53">
        <v>11.726500808872606</v>
      </c>
      <c r="AO7" s="507"/>
      <c r="AP7" s="506" t="s">
        <v>494</v>
      </c>
      <c r="AQ7" s="53">
        <v>11.756749444616933</v>
      </c>
      <c r="AR7" s="507"/>
      <c r="AS7" s="506" t="s">
        <v>494</v>
      </c>
      <c r="AT7" s="53">
        <v>11.610503</v>
      </c>
      <c r="AU7" s="507"/>
      <c r="AV7" s="506" t="s">
        <v>494</v>
      </c>
      <c r="AW7" s="53">
        <v>11.392497223232125</v>
      </c>
      <c r="AX7" s="507"/>
      <c r="AY7" s="506" t="s">
        <v>494</v>
      </c>
      <c r="AZ7" s="53">
        <v>11.295049266589858</v>
      </c>
      <c r="BA7" s="507"/>
      <c r="BB7" s="506" t="s">
        <v>494</v>
      </c>
      <c r="BC7" s="53">
        <v>11.408997532863422</v>
      </c>
      <c r="BD7" s="507"/>
      <c r="BE7" s="506" t="s">
        <v>494</v>
      </c>
      <c r="BF7" s="53">
        <v>11.317002475075295</v>
      </c>
      <c r="BG7" s="507"/>
      <c r="BH7" s="380">
        <f t="shared" si="0"/>
        <v>-11.408997532863422</v>
      </c>
      <c r="BI7" s="506" t="s">
        <v>494</v>
      </c>
      <c r="BJ7" s="53">
        <v>11.267000584532196</v>
      </c>
      <c r="BK7" s="507"/>
      <c r="BL7" s="380">
        <f t="shared" si="1"/>
        <v>0</v>
      </c>
      <c r="BM7" s="506" t="s">
        <v>494</v>
      </c>
      <c r="BN7" s="53">
        <v>11.417497717359922</v>
      </c>
      <c r="BO7" s="507"/>
      <c r="BP7">
        <v>0</v>
      </c>
      <c r="BQ7" s="506" t="s">
        <v>494</v>
      </c>
      <c r="BR7" s="53">
        <v>11.696498238722574</v>
      </c>
      <c r="BS7" s="507"/>
      <c r="BT7" s="380">
        <f t="shared" si="2"/>
        <v>0</v>
      </c>
      <c r="BU7" s="506" t="s">
        <v>494</v>
      </c>
      <c r="BV7" s="53">
        <v>11.945000441527094</v>
      </c>
      <c r="BW7" s="507"/>
      <c r="BX7" s="380">
        <f t="shared" si="3"/>
        <v>0</v>
      </c>
      <c r="BY7" s="506" t="s">
        <v>494</v>
      </c>
      <c r="BZ7" s="53">
        <v>11.953000572967035</v>
      </c>
      <c r="CA7" s="507"/>
      <c r="CB7" s="380">
        <f t="shared" si="4"/>
        <v>0</v>
      </c>
      <c r="CC7" s="506" t="s">
        <v>494</v>
      </c>
      <c r="CD7" s="53">
        <v>12.138995899756635</v>
      </c>
      <c r="CE7" s="507"/>
      <c r="CF7" s="380">
        <f t="shared" si="5"/>
        <v>0</v>
      </c>
      <c r="CG7" s="506" t="s">
        <v>494</v>
      </c>
      <c r="CH7" s="53">
        <v>11.969747513196003</v>
      </c>
      <c r="CI7" s="507"/>
      <c r="CJ7" s="380">
        <f t="shared" si="6"/>
        <v>0</v>
      </c>
      <c r="CK7" s="506" t="s">
        <v>494</v>
      </c>
      <c r="CL7" s="53">
        <v>12.073497534852091</v>
      </c>
      <c r="CM7" s="507"/>
      <c r="CN7" s="380">
        <f t="shared" si="7"/>
        <v>0</v>
      </c>
      <c r="CO7" s="506" t="s">
        <v>494</v>
      </c>
      <c r="CP7" s="53">
        <v>12.007247076195393</v>
      </c>
      <c r="CQ7" s="507"/>
      <c r="CR7" s="380">
        <f t="shared" si="8"/>
        <v>0</v>
      </c>
      <c r="CS7" s="506" t="s">
        <v>494</v>
      </c>
      <c r="CT7" s="53">
        <v>11.980500309987502</v>
      </c>
      <c r="CU7" s="507"/>
      <c r="CV7" s="380">
        <f t="shared" si="9"/>
        <v>0</v>
      </c>
      <c r="CW7" s="506" t="s">
        <v>494</v>
      </c>
      <c r="CX7" s="53">
        <v>12.08250155250002</v>
      </c>
      <c r="CY7" s="507"/>
      <c r="CZ7" s="380">
        <f t="shared" si="10"/>
        <v>0</v>
      </c>
      <c r="DA7" s="506" t="s">
        <v>494</v>
      </c>
      <c r="DB7" s="53">
        <v>11.912498890449054</v>
      </c>
      <c r="DC7" s="507"/>
      <c r="DD7" s="380">
        <f t="shared" si="11"/>
        <v>0</v>
      </c>
      <c r="DE7" s="506" t="s">
        <v>494</v>
      </c>
      <c r="DF7" s="53">
        <v>11.997501798507978</v>
      </c>
      <c r="DG7" s="507"/>
      <c r="DH7" s="380">
        <f t="shared" si="12"/>
        <v>0</v>
      </c>
      <c r="DI7" s="506" t="s">
        <v>494</v>
      </c>
      <c r="DJ7" s="53">
        <v>11.888999411964532</v>
      </c>
      <c r="DK7" s="507"/>
      <c r="DL7" s="380">
        <f t="shared" si="13"/>
        <v>0</v>
      </c>
      <c r="DM7" s="506" t="s">
        <v>494</v>
      </c>
      <c r="DN7" s="53">
        <v>11.873999406436402</v>
      </c>
      <c r="DO7" s="507"/>
      <c r="DP7" s="380">
        <f t="shared" si="14"/>
        <v>0</v>
      </c>
      <c r="DQ7" s="506" t="s">
        <v>494</v>
      </c>
      <c r="DR7" s="53">
        <v>11.869500996558356</v>
      </c>
      <c r="DS7" s="507"/>
      <c r="DT7" s="380">
        <f t="shared" si="15"/>
        <v>0</v>
      </c>
      <c r="DU7" s="506" t="s">
        <v>494</v>
      </c>
      <c r="DV7" s="53">
        <v>11.801499914140267</v>
      </c>
      <c r="DW7" s="507"/>
      <c r="DX7" s="380">
        <f t="shared" si="16"/>
        <v>0</v>
      </c>
      <c r="DY7" s="506" t="s">
        <v>494</v>
      </c>
      <c r="DZ7" s="53">
        <v>11.762504</v>
      </c>
      <c r="EA7" s="507"/>
      <c r="EB7" s="380">
        <f t="shared" si="17"/>
        <v>0</v>
      </c>
      <c r="EC7" s="506" t="s">
        <v>494</v>
      </c>
      <c r="ED7" s="53">
        <v>11.773001000000001</v>
      </c>
      <c r="EE7" s="507"/>
      <c r="EF7" s="380">
        <f t="shared" si="18"/>
        <v>0</v>
      </c>
      <c r="EG7" s="506" t="s">
        <v>494</v>
      </c>
      <c r="EH7" s="53">
        <v>11.708503</v>
      </c>
      <c r="EI7" s="507"/>
      <c r="EJ7" s="380">
        <f t="shared" si="19"/>
        <v>0</v>
      </c>
      <c r="EK7" s="506" t="s">
        <v>494</v>
      </c>
      <c r="EL7" s="53">
        <v>11.664</v>
      </c>
      <c r="EM7" s="507"/>
      <c r="EN7" s="380">
        <f t="shared" si="20"/>
        <v>0</v>
      </c>
      <c r="EO7" s="506" t="s">
        <v>494</v>
      </c>
      <c r="EP7" s="53">
        <v>11.691001999999999</v>
      </c>
      <c r="EQ7" s="507"/>
      <c r="ER7" s="380">
        <f t="shared" si="21"/>
        <v>0</v>
      </c>
      <c r="ES7" s="506" t="s">
        <v>494</v>
      </c>
      <c r="ET7" s="53">
        <v>11.669549999999999</v>
      </c>
      <c r="EU7" s="507"/>
      <c r="EV7" s="380">
        <f t="shared" si="22"/>
        <v>0</v>
      </c>
      <c r="EW7" s="506" t="s">
        <v>494</v>
      </c>
      <c r="EX7" s="53">
        <v>11.581996</v>
      </c>
      <c r="EY7" s="507"/>
      <c r="EZ7" s="380">
        <f t="shared" si="23"/>
        <v>0</v>
      </c>
      <c r="FA7" s="506" t="s">
        <v>494</v>
      </c>
      <c r="FB7" s="53">
        <v>11.556098</v>
      </c>
      <c r="FC7" s="507"/>
      <c r="FD7" s="380">
        <f t="shared" si="24"/>
        <v>0</v>
      </c>
      <c r="FE7" s="506" t="s">
        <v>494</v>
      </c>
      <c r="FF7" s="53">
        <v>11.556803</v>
      </c>
      <c r="FG7" s="507"/>
      <c r="FH7" s="380">
        <f t="shared" si="25"/>
        <v>0</v>
      </c>
      <c r="FI7" s="506" t="s">
        <v>494</v>
      </c>
      <c r="FJ7" s="53">
        <v>11.626453</v>
      </c>
      <c r="FK7" s="507"/>
      <c r="FL7" s="380">
        <f t="shared" si="26"/>
        <v>0</v>
      </c>
      <c r="FM7" s="506" t="s">
        <v>494</v>
      </c>
      <c r="FN7" s="53">
        <v>11.591504</v>
      </c>
      <c r="FO7" s="507"/>
      <c r="FP7" s="380">
        <f t="shared" si="27"/>
        <v>0</v>
      </c>
      <c r="FQ7" s="506" t="s">
        <v>494</v>
      </c>
      <c r="FR7" s="53">
        <v>11.586499999999999</v>
      </c>
      <c r="FS7" s="507"/>
      <c r="FT7" s="380">
        <f t="shared" si="28"/>
        <v>0</v>
      </c>
      <c r="FU7" s="506" t="s">
        <v>494</v>
      </c>
      <c r="FV7" s="53">
        <v>11.493002000000001</v>
      </c>
      <c r="FW7" s="507"/>
      <c r="FX7" s="380">
        <f t="shared" si="29"/>
        <v>0</v>
      </c>
      <c r="FY7" s="506" t="s">
        <v>494</v>
      </c>
      <c r="FZ7" s="53">
        <v>11.503</v>
      </c>
      <c r="GA7" s="507"/>
      <c r="GB7" s="380">
        <f t="shared" si="30"/>
        <v>0</v>
      </c>
      <c r="GC7" s="506" t="s">
        <v>494</v>
      </c>
      <c r="GD7" s="53">
        <v>11.478999</v>
      </c>
      <c r="GE7" s="507"/>
      <c r="GF7" s="380">
        <f t="shared" si="31"/>
        <v>0</v>
      </c>
      <c r="GG7" s="506" t="s">
        <v>494</v>
      </c>
      <c r="GH7" s="53">
        <v>11.500299</v>
      </c>
      <c r="GI7" s="507"/>
      <c r="GJ7" s="380">
        <f t="shared" si="32"/>
        <v>0</v>
      </c>
      <c r="GK7" s="506" t="s">
        <v>494</v>
      </c>
      <c r="GL7" s="53">
        <v>11.497498999999999</v>
      </c>
      <c r="GM7" s="507"/>
      <c r="GN7" s="380">
        <f t="shared" si="33"/>
        <v>0</v>
      </c>
      <c r="GO7" s="506" t="s">
        <v>494</v>
      </c>
      <c r="GP7" s="53">
        <v>11.486503000000001</v>
      </c>
      <c r="GQ7" s="507"/>
      <c r="GR7" s="380">
        <f t="shared" si="34"/>
        <v>0</v>
      </c>
      <c r="GS7" s="506" t="s">
        <v>494</v>
      </c>
      <c r="GT7" s="53">
        <v>11.520502</v>
      </c>
      <c r="GU7" s="507"/>
      <c r="GV7" s="380">
        <f t="shared" si="35"/>
        <v>0</v>
      </c>
      <c r="GW7" s="506" t="s">
        <v>494</v>
      </c>
      <c r="GX7" s="53">
        <v>11.514502</v>
      </c>
      <c r="GY7" s="507"/>
      <c r="GZ7" s="380">
        <f t="shared" si="36"/>
        <v>0</v>
      </c>
      <c r="HA7" s="506" t="s">
        <v>494</v>
      </c>
      <c r="HB7" s="53">
        <v>11.531499999999999</v>
      </c>
      <c r="HC7" s="507"/>
      <c r="HD7" s="380">
        <f t="shared" si="37"/>
        <v>0</v>
      </c>
      <c r="HE7" s="506" t="s">
        <v>494</v>
      </c>
      <c r="HF7" s="53">
        <v>11.508001999999999</v>
      </c>
      <c r="HG7" s="507"/>
      <c r="HH7" s="380">
        <f t="shared" si="38"/>
        <v>0</v>
      </c>
      <c r="HI7" s="506" t="s">
        <v>494</v>
      </c>
      <c r="HJ7" s="53">
        <v>11.519996000000001</v>
      </c>
      <c r="HK7" s="507"/>
      <c r="HL7" s="380">
        <f t="shared" si="39"/>
        <v>0</v>
      </c>
      <c r="HM7" s="506" t="s">
        <v>494</v>
      </c>
      <c r="HN7" s="53">
        <v>11.524997000000001</v>
      </c>
      <c r="HO7" s="507"/>
      <c r="HP7" s="380">
        <f t="shared" si="40"/>
        <v>0</v>
      </c>
      <c r="HQ7" s="506" t="s">
        <v>494</v>
      </c>
      <c r="HR7" s="53">
        <v>11.505749</v>
      </c>
      <c r="HS7" s="507"/>
      <c r="HT7" s="380">
        <f t="shared" si="41"/>
        <v>0</v>
      </c>
      <c r="HU7" s="506" t="s">
        <v>494</v>
      </c>
      <c r="HV7" s="53">
        <v>11.562754</v>
      </c>
      <c r="HW7" s="507"/>
      <c r="HX7" s="380">
        <f t="shared" si="42"/>
        <v>0</v>
      </c>
      <c r="HY7" s="506" t="s">
        <v>494</v>
      </c>
      <c r="HZ7" s="53">
        <v>11.441503000000001</v>
      </c>
      <c r="IA7" s="507"/>
      <c r="IB7" s="380">
        <f t="shared" si="43"/>
        <v>0</v>
      </c>
      <c r="IC7" s="506" t="s">
        <v>494</v>
      </c>
      <c r="ID7" s="53">
        <v>11.4415</v>
      </c>
      <c r="IE7" s="507"/>
      <c r="IF7" s="380">
        <f t="shared" si="44"/>
        <v>0</v>
      </c>
      <c r="IG7" s="506" t="s">
        <v>494</v>
      </c>
      <c r="IH7" s="53">
        <v>11.4415</v>
      </c>
      <c r="II7" s="507"/>
      <c r="IJ7" s="380">
        <f t="shared" si="45"/>
        <v>0</v>
      </c>
      <c r="IK7" s="506" t="s">
        <v>494</v>
      </c>
      <c r="IL7" s="53">
        <v>11.4415</v>
      </c>
      <c r="IM7" s="507"/>
      <c r="IN7" s="380">
        <f t="shared" si="46"/>
        <v>0</v>
      </c>
      <c r="IO7" s="506" t="s">
        <v>494</v>
      </c>
      <c r="IP7" s="53">
        <v>11.4415</v>
      </c>
      <c r="IQ7" s="507"/>
      <c r="IR7" s="380">
        <f t="shared" si="47"/>
        <v>0</v>
      </c>
      <c r="IS7" s="506" t="s">
        <v>494</v>
      </c>
      <c r="IT7" s="53">
        <v>11.4415</v>
      </c>
      <c r="IU7" s="507"/>
      <c r="IV7" s="380">
        <f t="shared" si="48"/>
        <v>0</v>
      </c>
      <c r="IW7" s="506" t="s">
        <v>494</v>
      </c>
      <c r="IX7" s="53">
        <v>11.709999</v>
      </c>
      <c r="IY7" s="507"/>
      <c r="IZ7" s="380">
        <f t="shared" si="49"/>
        <v>0</v>
      </c>
    </row>
    <row r="8" spans="1:260">
      <c r="A8" s="13">
        <v>29</v>
      </c>
      <c r="B8" s="13" t="s">
        <v>488</v>
      </c>
      <c r="C8" s="13" t="s">
        <v>143</v>
      </c>
      <c r="D8" s="13" t="s">
        <v>457</v>
      </c>
      <c r="E8" s="13" t="s">
        <v>19</v>
      </c>
      <c r="F8" s="13" t="s">
        <v>500</v>
      </c>
      <c r="G8" s="13"/>
      <c r="H8" s="49" t="s">
        <v>491</v>
      </c>
      <c r="I8" s="14" t="s">
        <v>494</v>
      </c>
      <c r="J8" s="14">
        <f>+VLOOKUP(E8,'Summary - Colar'!$M$39:$N$54,2,FALSE)</f>
        <v>11.709999</v>
      </c>
      <c r="K8" s="54"/>
      <c r="L8" s="506" t="s">
        <v>494</v>
      </c>
      <c r="M8" s="53">
        <v>11.785999410466696</v>
      </c>
      <c r="N8" s="507"/>
      <c r="O8" s="506" t="s">
        <v>494</v>
      </c>
      <c r="P8" s="53">
        <v>11.703550411188427</v>
      </c>
      <c r="Q8" s="507"/>
      <c r="R8" s="506" t="s">
        <v>494</v>
      </c>
      <c r="S8" s="53">
        <v>11.743499009792057</v>
      </c>
      <c r="T8" s="507"/>
      <c r="U8" s="506" t="s">
        <v>494</v>
      </c>
      <c r="V8" s="53">
        <v>11.747497669811418</v>
      </c>
      <c r="W8" s="507"/>
      <c r="X8" s="506" t="s">
        <v>494</v>
      </c>
      <c r="Y8" s="53">
        <v>11.749502062955756</v>
      </c>
      <c r="Z8" s="507"/>
      <c r="AA8" s="506" t="s">
        <v>494</v>
      </c>
      <c r="AB8" s="53">
        <v>11.733002368191622</v>
      </c>
      <c r="AC8" s="507"/>
      <c r="AD8" s="506" t="s">
        <v>494</v>
      </c>
      <c r="AE8" s="53">
        <v>11.627499067232772</v>
      </c>
      <c r="AF8" s="507"/>
      <c r="AG8" s="506" t="s">
        <v>494</v>
      </c>
      <c r="AH8" s="53">
        <v>11.643996899091613</v>
      </c>
      <c r="AI8" s="507"/>
      <c r="AJ8" s="506" t="s">
        <v>494</v>
      </c>
      <c r="AK8" s="53">
        <v>11.62049709008984</v>
      </c>
      <c r="AL8" s="507"/>
      <c r="AM8" s="506" t="s">
        <v>494</v>
      </c>
      <c r="AN8" s="53">
        <v>11.726500808872606</v>
      </c>
      <c r="AO8" s="507"/>
      <c r="AP8" s="506" t="s">
        <v>494</v>
      </c>
      <c r="AQ8" s="53">
        <v>11.756749444616933</v>
      </c>
      <c r="AR8" s="507"/>
      <c r="AS8" s="506" t="s">
        <v>494</v>
      </c>
      <c r="AT8" s="53">
        <v>11.610503</v>
      </c>
      <c r="AU8" s="507"/>
      <c r="AV8" s="506" t="s">
        <v>494</v>
      </c>
      <c r="AW8" s="53">
        <v>11.392497223232125</v>
      </c>
      <c r="AX8" s="507"/>
      <c r="AY8" s="506" t="s">
        <v>494</v>
      </c>
      <c r="AZ8" s="53">
        <v>11.295049266589858</v>
      </c>
      <c r="BA8" s="507"/>
      <c r="BB8" s="506" t="s">
        <v>494</v>
      </c>
      <c r="BC8" s="53">
        <v>11.408997532863422</v>
      </c>
      <c r="BD8" s="507"/>
      <c r="BE8" s="506" t="s">
        <v>494</v>
      </c>
      <c r="BF8" s="53">
        <v>11.317002475075295</v>
      </c>
      <c r="BG8" s="507"/>
      <c r="BH8" s="380">
        <f t="shared" si="0"/>
        <v>-11.408997532863422</v>
      </c>
      <c r="BI8" s="506" t="s">
        <v>494</v>
      </c>
      <c r="BJ8" s="53">
        <v>11.267000584532196</v>
      </c>
      <c r="BK8" s="507"/>
      <c r="BL8" s="380">
        <f t="shared" si="1"/>
        <v>0</v>
      </c>
      <c r="BM8" s="506" t="s">
        <v>494</v>
      </c>
      <c r="BN8" s="53">
        <v>11.417497717359922</v>
      </c>
      <c r="BO8" s="507"/>
      <c r="BP8">
        <v>0</v>
      </c>
      <c r="BQ8" s="506" t="s">
        <v>494</v>
      </c>
      <c r="BR8" s="53">
        <v>11.696498238722574</v>
      </c>
      <c r="BS8" s="507"/>
      <c r="BT8" s="380">
        <f t="shared" si="2"/>
        <v>0</v>
      </c>
      <c r="BU8" s="506" t="s">
        <v>494</v>
      </c>
      <c r="BV8" s="53">
        <v>11.945000441527094</v>
      </c>
      <c r="BW8" s="507"/>
      <c r="BX8" s="380">
        <f t="shared" si="3"/>
        <v>0</v>
      </c>
      <c r="BY8" s="506" t="s">
        <v>494</v>
      </c>
      <c r="BZ8" s="53">
        <v>11.953000572967035</v>
      </c>
      <c r="CA8" s="507"/>
      <c r="CB8" s="380">
        <f t="shared" si="4"/>
        <v>0</v>
      </c>
      <c r="CC8" s="506" t="s">
        <v>494</v>
      </c>
      <c r="CD8" s="53">
        <v>12.138995899756635</v>
      </c>
      <c r="CE8" s="507"/>
      <c r="CF8" s="380">
        <f t="shared" si="5"/>
        <v>0</v>
      </c>
      <c r="CG8" s="506" t="s">
        <v>494</v>
      </c>
      <c r="CH8" s="53">
        <v>11.969747513196003</v>
      </c>
      <c r="CI8" s="507"/>
      <c r="CJ8" s="380">
        <f t="shared" si="6"/>
        <v>0</v>
      </c>
      <c r="CK8" s="506" t="s">
        <v>494</v>
      </c>
      <c r="CL8" s="53">
        <v>12.073497534852091</v>
      </c>
      <c r="CM8" s="507"/>
      <c r="CN8" s="380">
        <f t="shared" si="7"/>
        <v>0</v>
      </c>
      <c r="CO8" s="506" t="s">
        <v>494</v>
      </c>
      <c r="CP8" s="53">
        <v>12.007247076195393</v>
      </c>
      <c r="CQ8" s="507"/>
      <c r="CR8" s="380">
        <f t="shared" si="8"/>
        <v>0</v>
      </c>
      <c r="CS8" s="506" t="s">
        <v>494</v>
      </c>
      <c r="CT8" s="53">
        <v>11.980500309987502</v>
      </c>
      <c r="CU8" s="507"/>
      <c r="CV8" s="380">
        <f t="shared" si="9"/>
        <v>0</v>
      </c>
      <c r="CW8" s="506" t="s">
        <v>494</v>
      </c>
      <c r="CX8" s="53">
        <v>12.08250155250002</v>
      </c>
      <c r="CY8" s="507"/>
      <c r="CZ8" s="380">
        <f t="shared" si="10"/>
        <v>0</v>
      </c>
      <c r="DA8" s="506" t="s">
        <v>494</v>
      </c>
      <c r="DB8" s="53">
        <v>11.912498890449054</v>
      </c>
      <c r="DC8" s="507"/>
      <c r="DD8" s="380">
        <f t="shared" si="11"/>
        <v>0</v>
      </c>
      <c r="DE8" s="506" t="s">
        <v>494</v>
      </c>
      <c r="DF8" s="53">
        <v>11.997501798507978</v>
      </c>
      <c r="DG8" s="507"/>
      <c r="DH8" s="380">
        <f t="shared" si="12"/>
        <v>0</v>
      </c>
      <c r="DI8" s="506" t="s">
        <v>494</v>
      </c>
      <c r="DJ8" s="53">
        <v>11.888999411964532</v>
      </c>
      <c r="DK8" s="507"/>
      <c r="DL8" s="380">
        <f t="shared" si="13"/>
        <v>0</v>
      </c>
      <c r="DM8" s="506" t="s">
        <v>494</v>
      </c>
      <c r="DN8" s="53">
        <v>11.873999406436402</v>
      </c>
      <c r="DO8" s="507"/>
      <c r="DP8" s="380">
        <f t="shared" si="14"/>
        <v>0</v>
      </c>
      <c r="DQ8" s="506" t="s">
        <v>494</v>
      </c>
      <c r="DR8" s="53">
        <v>11.869500996558356</v>
      </c>
      <c r="DS8" s="507"/>
      <c r="DT8" s="380">
        <f t="shared" si="15"/>
        <v>0</v>
      </c>
      <c r="DU8" s="506" t="s">
        <v>494</v>
      </c>
      <c r="DV8" s="53">
        <v>11.801499914140267</v>
      </c>
      <c r="DW8" s="507"/>
      <c r="DX8" s="380">
        <f t="shared" si="16"/>
        <v>0</v>
      </c>
      <c r="DY8" s="506" t="s">
        <v>494</v>
      </c>
      <c r="DZ8" s="53">
        <v>11.762504</v>
      </c>
      <c r="EA8" s="507"/>
      <c r="EB8" s="380">
        <f t="shared" si="17"/>
        <v>0</v>
      </c>
      <c r="EC8" s="506" t="s">
        <v>494</v>
      </c>
      <c r="ED8" s="53">
        <v>11.773001000000001</v>
      </c>
      <c r="EE8" s="507"/>
      <c r="EF8" s="380">
        <f t="shared" si="18"/>
        <v>0</v>
      </c>
      <c r="EG8" s="506" t="s">
        <v>494</v>
      </c>
      <c r="EH8" s="53">
        <v>11.708503</v>
      </c>
      <c r="EI8" s="507"/>
      <c r="EJ8" s="380">
        <f t="shared" si="19"/>
        <v>0</v>
      </c>
      <c r="EK8" s="506" t="s">
        <v>494</v>
      </c>
      <c r="EL8" s="53">
        <v>11.664</v>
      </c>
      <c r="EM8" s="507"/>
      <c r="EN8" s="380">
        <f t="shared" si="20"/>
        <v>0</v>
      </c>
      <c r="EO8" s="506" t="s">
        <v>494</v>
      </c>
      <c r="EP8" s="53">
        <v>11.691001999999999</v>
      </c>
      <c r="EQ8" s="507"/>
      <c r="ER8" s="380">
        <f t="shared" si="21"/>
        <v>0</v>
      </c>
      <c r="ES8" s="506" t="s">
        <v>494</v>
      </c>
      <c r="ET8" s="53">
        <v>11.669549999999999</v>
      </c>
      <c r="EU8" s="507"/>
      <c r="EV8" s="380">
        <f t="shared" si="22"/>
        <v>0</v>
      </c>
      <c r="EW8" s="506" t="s">
        <v>494</v>
      </c>
      <c r="EX8" s="53">
        <v>11.581996</v>
      </c>
      <c r="EY8" s="507"/>
      <c r="EZ8" s="380">
        <f t="shared" si="23"/>
        <v>0</v>
      </c>
      <c r="FA8" s="506" t="s">
        <v>494</v>
      </c>
      <c r="FB8" s="53">
        <v>11.556098</v>
      </c>
      <c r="FC8" s="507"/>
      <c r="FD8" s="380">
        <f t="shared" si="24"/>
        <v>0</v>
      </c>
      <c r="FE8" s="506" t="s">
        <v>494</v>
      </c>
      <c r="FF8" s="53">
        <v>11.556803</v>
      </c>
      <c r="FG8" s="507"/>
      <c r="FH8" s="380">
        <f t="shared" si="25"/>
        <v>0</v>
      </c>
      <c r="FI8" s="506" t="s">
        <v>494</v>
      </c>
      <c r="FJ8" s="53">
        <v>11.626453</v>
      </c>
      <c r="FK8" s="507"/>
      <c r="FL8" s="380">
        <f t="shared" si="26"/>
        <v>0</v>
      </c>
      <c r="FM8" s="506" t="s">
        <v>494</v>
      </c>
      <c r="FN8" s="53">
        <v>11.591504</v>
      </c>
      <c r="FO8" s="507"/>
      <c r="FP8" s="380">
        <f t="shared" si="27"/>
        <v>0</v>
      </c>
      <c r="FQ8" s="506" t="s">
        <v>494</v>
      </c>
      <c r="FR8" s="53">
        <v>11.586499999999999</v>
      </c>
      <c r="FS8" s="507"/>
      <c r="FT8" s="380">
        <f t="shared" si="28"/>
        <v>0</v>
      </c>
      <c r="FU8" s="506" t="s">
        <v>494</v>
      </c>
      <c r="FV8" s="53">
        <v>11.493002000000001</v>
      </c>
      <c r="FW8" s="507"/>
      <c r="FX8" s="380">
        <f t="shared" si="29"/>
        <v>0</v>
      </c>
      <c r="FY8" s="506" t="s">
        <v>494</v>
      </c>
      <c r="FZ8" s="53">
        <v>11.503</v>
      </c>
      <c r="GA8" s="507"/>
      <c r="GB8" s="380">
        <f t="shared" si="30"/>
        <v>0</v>
      </c>
      <c r="GC8" s="506" t="s">
        <v>494</v>
      </c>
      <c r="GD8" s="53">
        <v>11.478999</v>
      </c>
      <c r="GE8" s="507"/>
      <c r="GF8" s="380">
        <f t="shared" si="31"/>
        <v>0</v>
      </c>
      <c r="GG8" s="506" t="s">
        <v>494</v>
      </c>
      <c r="GH8" s="53">
        <v>11.500299</v>
      </c>
      <c r="GI8" s="507"/>
      <c r="GJ8" s="380">
        <f t="shared" si="32"/>
        <v>0</v>
      </c>
      <c r="GK8" s="506" t="s">
        <v>494</v>
      </c>
      <c r="GL8" s="53">
        <v>11.497498999999999</v>
      </c>
      <c r="GM8" s="507"/>
      <c r="GN8" s="380">
        <f t="shared" si="33"/>
        <v>0</v>
      </c>
      <c r="GO8" s="506" t="s">
        <v>494</v>
      </c>
      <c r="GP8" s="53">
        <v>11.486503000000001</v>
      </c>
      <c r="GQ8" s="507"/>
      <c r="GR8" s="380">
        <f t="shared" si="34"/>
        <v>0</v>
      </c>
      <c r="GS8" s="506" t="s">
        <v>494</v>
      </c>
      <c r="GT8" s="53">
        <v>11.520502</v>
      </c>
      <c r="GU8" s="507"/>
      <c r="GV8" s="380">
        <f t="shared" si="35"/>
        <v>0</v>
      </c>
      <c r="GW8" s="506" t="s">
        <v>494</v>
      </c>
      <c r="GX8" s="53">
        <v>11.514502</v>
      </c>
      <c r="GY8" s="507"/>
      <c r="GZ8" s="380">
        <f t="shared" si="36"/>
        <v>0</v>
      </c>
      <c r="HA8" s="506" t="s">
        <v>494</v>
      </c>
      <c r="HB8" s="53">
        <v>11.531499999999999</v>
      </c>
      <c r="HC8" s="507"/>
      <c r="HD8" s="380">
        <f t="shared" si="37"/>
        <v>0</v>
      </c>
      <c r="HE8" s="506" t="s">
        <v>494</v>
      </c>
      <c r="HF8" s="53">
        <v>11.508001999999999</v>
      </c>
      <c r="HG8" s="507"/>
      <c r="HH8" s="380">
        <f t="shared" si="38"/>
        <v>0</v>
      </c>
      <c r="HI8" s="506" t="s">
        <v>494</v>
      </c>
      <c r="HJ8" s="53">
        <v>11.519996000000001</v>
      </c>
      <c r="HK8" s="507"/>
      <c r="HL8" s="380">
        <f t="shared" si="39"/>
        <v>0</v>
      </c>
      <c r="HM8" s="506" t="s">
        <v>494</v>
      </c>
      <c r="HN8" s="53">
        <v>11.524997000000001</v>
      </c>
      <c r="HO8" s="507"/>
      <c r="HP8" s="380">
        <f t="shared" si="40"/>
        <v>0</v>
      </c>
      <c r="HQ8" s="506" t="s">
        <v>494</v>
      </c>
      <c r="HR8" s="53">
        <v>11.505749</v>
      </c>
      <c r="HS8" s="507"/>
      <c r="HT8" s="380">
        <f t="shared" si="41"/>
        <v>0</v>
      </c>
      <c r="HU8" s="506" t="s">
        <v>494</v>
      </c>
      <c r="HV8" s="53">
        <v>11.562754</v>
      </c>
      <c r="HW8" s="507"/>
      <c r="HX8" s="380">
        <f t="shared" si="42"/>
        <v>0</v>
      </c>
      <c r="HY8" s="506" t="s">
        <v>494</v>
      </c>
      <c r="HZ8" s="53">
        <v>11.441503000000001</v>
      </c>
      <c r="IA8" s="507"/>
      <c r="IB8" s="380">
        <f t="shared" si="43"/>
        <v>0</v>
      </c>
      <c r="IC8" s="506" t="s">
        <v>494</v>
      </c>
      <c r="ID8" s="53">
        <v>11.4415</v>
      </c>
      <c r="IE8" s="507"/>
      <c r="IF8" s="380">
        <f t="shared" si="44"/>
        <v>0</v>
      </c>
      <c r="IG8" s="506" t="s">
        <v>494</v>
      </c>
      <c r="IH8" s="53">
        <v>11.4415</v>
      </c>
      <c r="II8" s="507"/>
      <c r="IJ8" s="380">
        <f t="shared" si="45"/>
        <v>0</v>
      </c>
      <c r="IK8" s="506" t="s">
        <v>494</v>
      </c>
      <c r="IL8" s="53">
        <v>11.4415</v>
      </c>
      <c r="IM8" s="507"/>
      <c r="IN8" s="380">
        <f t="shared" si="46"/>
        <v>0</v>
      </c>
      <c r="IO8" s="506" t="s">
        <v>494</v>
      </c>
      <c r="IP8" s="53">
        <v>11.4415</v>
      </c>
      <c r="IQ8" s="507"/>
      <c r="IR8" s="380">
        <f t="shared" si="47"/>
        <v>0</v>
      </c>
      <c r="IS8" s="506" t="s">
        <v>494</v>
      </c>
      <c r="IT8" s="53">
        <v>11.4415</v>
      </c>
      <c r="IU8" s="507"/>
      <c r="IV8" s="380">
        <f t="shared" si="48"/>
        <v>0</v>
      </c>
      <c r="IW8" s="506" t="s">
        <v>494</v>
      </c>
      <c r="IX8" s="53">
        <v>11.709999</v>
      </c>
      <c r="IY8" s="507"/>
      <c r="IZ8" s="380">
        <f t="shared" si="49"/>
        <v>0</v>
      </c>
    </row>
    <row r="9" spans="1:260">
      <c r="A9" s="13">
        <v>36</v>
      </c>
      <c r="B9" s="13" t="s">
        <v>501</v>
      </c>
      <c r="C9" s="13" t="s">
        <v>143</v>
      </c>
      <c r="D9" s="13" t="s">
        <v>457</v>
      </c>
      <c r="E9" s="13" t="s">
        <v>19</v>
      </c>
      <c r="F9" s="13" t="s">
        <v>502</v>
      </c>
      <c r="G9" s="13" t="s">
        <v>503</v>
      </c>
      <c r="H9" s="49" t="s">
        <v>491</v>
      </c>
      <c r="I9" s="14" t="s">
        <v>494</v>
      </c>
      <c r="J9" s="14">
        <f>+VLOOKUP(E9,'Summary - Colar'!$M$39:$N$54,2,FALSE)</f>
        <v>11.709999</v>
      </c>
      <c r="K9" s="54"/>
      <c r="L9" s="506" t="s">
        <v>494</v>
      </c>
      <c r="M9" s="53">
        <v>11.785999410466696</v>
      </c>
      <c r="N9" s="507"/>
      <c r="O9" s="506" t="s">
        <v>494</v>
      </c>
      <c r="P9" s="53">
        <v>11.703550411188427</v>
      </c>
      <c r="Q9" s="507"/>
      <c r="R9" s="506" t="s">
        <v>494</v>
      </c>
      <c r="S9" s="53">
        <v>11.743499009792057</v>
      </c>
      <c r="T9" s="507"/>
      <c r="U9" s="506" t="s">
        <v>494</v>
      </c>
      <c r="V9" s="53">
        <v>11.747497669811418</v>
      </c>
      <c r="W9" s="507"/>
      <c r="X9" s="506" t="s">
        <v>494</v>
      </c>
      <c r="Y9" s="53">
        <v>11.749502062955756</v>
      </c>
      <c r="Z9" s="507"/>
      <c r="AA9" s="506" t="s">
        <v>494</v>
      </c>
      <c r="AB9" s="53">
        <v>11.733002368191622</v>
      </c>
      <c r="AC9" s="507"/>
      <c r="AD9" s="506" t="s">
        <v>494</v>
      </c>
      <c r="AE9" s="53">
        <v>11.627499067232772</v>
      </c>
      <c r="AF9" s="507"/>
      <c r="AG9" s="506" t="s">
        <v>494</v>
      </c>
      <c r="AH9" s="53">
        <v>11.643996899091613</v>
      </c>
      <c r="AI9" s="507"/>
      <c r="AJ9" s="506" t="s">
        <v>494</v>
      </c>
      <c r="AK9" s="53">
        <v>11.62049709008984</v>
      </c>
      <c r="AL9" s="507"/>
      <c r="AM9" s="506" t="s">
        <v>494</v>
      </c>
      <c r="AN9" s="53">
        <v>11.726500808872606</v>
      </c>
      <c r="AO9" s="507"/>
      <c r="AP9" s="506" t="s">
        <v>494</v>
      </c>
      <c r="AQ9" s="53">
        <v>11.756749444616933</v>
      </c>
      <c r="AR9" s="507"/>
      <c r="AS9" s="506" t="s">
        <v>494</v>
      </c>
      <c r="AT9" s="53">
        <v>11.610503</v>
      </c>
      <c r="AU9" s="507"/>
      <c r="AV9" s="506" t="s">
        <v>494</v>
      </c>
      <c r="AW9" s="53">
        <v>11.392497223232125</v>
      </c>
      <c r="AX9" s="507"/>
      <c r="AY9" s="506" t="s">
        <v>494</v>
      </c>
      <c r="AZ9" s="53">
        <v>11.295049266589858</v>
      </c>
      <c r="BA9" s="507"/>
      <c r="BB9" s="506" t="s">
        <v>494</v>
      </c>
      <c r="BC9" s="53">
        <v>11.408997532863422</v>
      </c>
      <c r="BD9" s="507"/>
      <c r="BE9" s="506" t="s">
        <v>494</v>
      </c>
      <c r="BF9" s="53">
        <v>11.317002475075295</v>
      </c>
      <c r="BG9" s="507"/>
      <c r="BH9" s="380">
        <f t="shared" si="0"/>
        <v>-11.408997532863422</v>
      </c>
      <c r="BI9" s="506" t="s">
        <v>494</v>
      </c>
      <c r="BJ9" s="53">
        <v>11.267000584532196</v>
      </c>
      <c r="BK9" s="507"/>
      <c r="BL9" s="380">
        <f t="shared" si="1"/>
        <v>0</v>
      </c>
      <c r="BM9" s="506" t="s">
        <v>494</v>
      </c>
      <c r="BN9" s="53">
        <v>11.417497717359922</v>
      </c>
      <c r="BO9" s="507"/>
      <c r="BP9">
        <v>0</v>
      </c>
      <c r="BQ9" s="506" t="s">
        <v>494</v>
      </c>
      <c r="BR9" s="53">
        <v>11.696498238722574</v>
      </c>
      <c r="BS9" s="507"/>
      <c r="BT9" s="380">
        <f t="shared" si="2"/>
        <v>0</v>
      </c>
      <c r="BU9" s="506" t="s">
        <v>494</v>
      </c>
      <c r="BV9" s="53">
        <v>11.945000441527094</v>
      </c>
      <c r="BW9" s="507"/>
      <c r="BX9" s="380">
        <f t="shared" si="3"/>
        <v>0</v>
      </c>
      <c r="BY9" s="506" t="s">
        <v>494</v>
      </c>
      <c r="BZ9" s="53">
        <v>11.953000572967035</v>
      </c>
      <c r="CA9" s="507"/>
      <c r="CB9" s="380">
        <f t="shared" si="4"/>
        <v>0</v>
      </c>
      <c r="CC9" s="506" t="s">
        <v>494</v>
      </c>
      <c r="CD9" s="53">
        <v>12.138995899756635</v>
      </c>
      <c r="CE9" s="507"/>
      <c r="CF9" s="380">
        <f t="shared" si="5"/>
        <v>0</v>
      </c>
      <c r="CG9" s="506" t="s">
        <v>494</v>
      </c>
      <c r="CH9" s="53">
        <v>11.969747513196003</v>
      </c>
      <c r="CI9" s="507"/>
      <c r="CJ9" s="380">
        <f t="shared" si="6"/>
        <v>0</v>
      </c>
      <c r="CK9" s="506" t="s">
        <v>494</v>
      </c>
      <c r="CL9" s="53">
        <v>12.073497534852091</v>
      </c>
      <c r="CM9" s="507"/>
      <c r="CN9" s="380">
        <f t="shared" si="7"/>
        <v>0</v>
      </c>
      <c r="CO9" s="506" t="s">
        <v>494</v>
      </c>
      <c r="CP9" s="53">
        <v>12.007247076195393</v>
      </c>
      <c r="CQ9" s="507"/>
      <c r="CR9" s="380">
        <f t="shared" si="8"/>
        <v>0</v>
      </c>
      <c r="CS9" s="506" t="s">
        <v>494</v>
      </c>
      <c r="CT9" s="53">
        <v>11.980500309987502</v>
      </c>
      <c r="CU9" s="507"/>
      <c r="CV9" s="380">
        <f t="shared" si="9"/>
        <v>0</v>
      </c>
      <c r="CW9" s="506" t="s">
        <v>494</v>
      </c>
      <c r="CX9" s="53">
        <v>12.08250155250002</v>
      </c>
      <c r="CY9" s="507"/>
      <c r="CZ9" s="380">
        <f t="shared" si="10"/>
        <v>0</v>
      </c>
      <c r="DA9" s="506" t="s">
        <v>494</v>
      </c>
      <c r="DB9" s="53">
        <v>11.912498890449054</v>
      </c>
      <c r="DC9" s="507"/>
      <c r="DD9" s="380">
        <f t="shared" si="11"/>
        <v>0</v>
      </c>
      <c r="DE9" s="506" t="s">
        <v>494</v>
      </c>
      <c r="DF9" s="53">
        <v>11.997501798507978</v>
      </c>
      <c r="DG9" s="507"/>
      <c r="DH9" s="380">
        <f t="shared" si="12"/>
        <v>0</v>
      </c>
      <c r="DI9" s="506" t="s">
        <v>494</v>
      </c>
      <c r="DJ9" s="53">
        <v>11.888999411964532</v>
      </c>
      <c r="DK9" s="507"/>
      <c r="DL9" s="380">
        <f t="shared" si="13"/>
        <v>0</v>
      </c>
      <c r="DM9" s="506" t="s">
        <v>494</v>
      </c>
      <c r="DN9" s="53">
        <v>11.873999406436402</v>
      </c>
      <c r="DO9" s="507"/>
      <c r="DP9" s="380">
        <f t="shared" si="14"/>
        <v>0</v>
      </c>
      <c r="DQ9" s="506" t="s">
        <v>494</v>
      </c>
      <c r="DR9" s="53">
        <v>11.869500996558356</v>
      </c>
      <c r="DS9" s="507"/>
      <c r="DT9" s="380">
        <f t="shared" si="15"/>
        <v>0</v>
      </c>
      <c r="DU9" s="506" t="s">
        <v>494</v>
      </c>
      <c r="DV9" s="53">
        <v>11.801499914140267</v>
      </c>
      <c r="DW9" s="507"/>
      <c r="DX9" s="380">
        <f t="shared" si="16"/>
        <v>0</v>
      </c>
      <c r="DY9" s="506" t="s">
        <v>494</v>
      </c>
      <c r="DZ9" s="53">
        <v>11.762504</v>
      </c>
      <c r="EA9" s="507"/>
      <c r="EB9" s="380">
        <f t="shared" si="17"/>
        <v>0</v>
      </c>
      <c r="EC9" s="506" t="s">
        <v>494</v>
      </c>
      <c r="ED9" s="53">
        <v>11.773001000000001</v>
      </c>
      <c r="EE9" s="507"/>
      <c r="EF9" s="380">
        <f t="shared" si="18"/>
        <v>0</v>
      </c>
      <c r="EG9" s="506" t="s">
        <v>494</v>
      </c>
      <c r="EH9" s="53">
        <v>11.708503</v>
      </c>
      <c r="EI9" s="507"/>
      <c r="EJ9" s="380">
        <f t="shared" si="19"/>
        <v>0</v>
      </c>
      <c r="EK9" s="506" t="s">
        <v>494</v>
      </c>
      <c r="EL9" s="53">
        <v>11.664</v>
      </c>
      <c r="EM9" s="507"/>
      <c r="EN9" s="380">
        <f t="shared" si="20"/>
        <v>0</v>
      </c>
      <c r="EO9" s="506" t="s">
        <v>494</v>
      </c>
      <c r="EP9" s="53">
        <v>11.691001999999999</v>
      </c>
      <c r="EQ9" s="507"/>
      <c r="ER9" s="380">
        <f t="shared" si="21"/>
        <v>0</v>
      </c>
      <c r="ES9" s="506" t="s">
        <v>494</v>
      </c>
      <c r="ET9" s="53">
        <v>11.669549999999999</v>
      </c>
      <c r="EU9" s="507"/>
      <c r="EV9" s="380">
        <f t="shared" si="22"/>
        <v>0</v>
      </c>
      <c r="EW9" s="506" t="s">
        <v>494</v>
      </c>
      <c r="EX9" s="53">
        <v>11.581996</v>
      </c>
      <c r="EY9" s="507"/>
      <c r="EZ9" s="380">
        <f t="shared" si="23"/>
        <v>0</v>
      </c>
      <c r="FA9" s="506" t="s">
        <v>494</v>
      </c>
      <c r="FB9" s="53">
        <v>11.556098</v>
      </c>
      <c r="FC9" s="507"/>
      <c r="FD9" s="380">
        <f t="shared" si="24"/>
        <v>0</v>
      </c>
      <c r="FE9" s="506" t="s">
        <v>494</v>
      </c>
      <c r="FF9" s="53">
        <v>11.556803</v>
      </c>
      <c r="FG9" s="507"/>
      <c r="FH9" s="380">
        <f t="shared" si="25"/>
        <v>0</v>
      </c>
      <c r="FI9" s="506" t="s">
        <v>494</v>
      </c>
      <c r="FJ9" s="53">
        <v>11.626453</v>
      </c>
      <c r="FK9" s="507"/>
      <c r="FL9" s="380">
        <f t="shared" si="26"/>
        <v>0</v>
      </c>
      <c r="FM9" s="506" t="s">
        <v>494</v>
      </c>
      <c r="FN9" s="53">
        <v>11.591504</v>
      </c>
      <c r="FO9" s="507"/>
      <c r="FP9" s="380">
        <f t="shared" si="27"/>
        <v>0</v>
      </c>
      <c r="FQ9" s="506" t="s">
        <v>494</v>
      </c>
      <c r="FR9" s="53">
        <v>11.586499999999999</v>
      </c>
      <c r="FS9" s="507"/>
      <c r="FT9" s="380">
        <f t="shared" si="28"/>
        <v>0</v>
      </c>
      <c r="FU9" s="506" t="s">
        <v>494</v>
      </c>
      <c r="FV9" s="53">
        <v>11.493002000000001</v>
      </c>
      <c r="FW9" s="507"/>
      <c r="FX9" s="380">
        <f t="shared" si="29"/>
        <v>0</v>
      </c>
      <c r="FY9" s="506" t="s">
        <v>494</v>
      </c>
      <c r="FZ9" s="53">
        <v>11.503</v>
      </c>
      <c r="GA9" s="507"/>
      <c r="GB9" s="380">
        <f t="shared" si="30"/>
        <v>0</v>
      </c>
      <c r="GC9" s="506" t="s">
        <v>494</v>
      </c>
      <c r="GD9" s="53">
        <v>11.478999</v>
      </c>
      <c r="GE9" s="507"/>
      <c r="GF9" s="380">
        <f t="shared" si="31"/>
        <v>0</v>
      </c>
      <c r="GG9" s="506" t="s">
        <v>494</v>
      </c>
      <c r="GH9" s="53">
        <v>11.500299</v>
      </c>
      <c r="GI9" s="507"/>
      <c r="GJ9" s="380">
        <f t="shared" si="32"/>
        <v>0</v>
      </c>
      <c r="GK9" s="506" t="s">
        <v>494</v>
      </c>
      <c r="GL9" s="53">
        <v>11.497498999999999</v>
      </c>
      <c r="GM9" s="507"/>
      <c r="GN9" s="380">
        <f t="shared" si="33"/>
        <v>0</v>
      </c>
      <c r="GO9" s="506" t="s">
        <v>494</v>
      </c>
      <c r="GP9" s="53">
        <v>11.486503000000001</v>
      </c>
      <c r="GQ9" s="507"/>
      <c r="GR9" s="380">
        <f t="shared" si="34"/>
        <v>0</v>
      </c>
      <c r="GS9" s="506" t="s">
        <v>494</v>
      </c>
      <c r="GT9" s="53">
        <v>11.520502</v>
      </c>
      <c r="GU9" s="507"/>
      <c r="GV9" s="380">
        <f t="shared" si="35"/>
        <v>0</v>
      </c>
      <c r="GW9" s="506" t="s">
        <v>494</v>
      </c>
      <c r="GX9" s="53">
        <v>11.514502</v>
      </c>
      <c r="GY9" s="507"/>
      <c r="GZ9" s="380">
        <f t="shared" si="36"/>
        <v>0</v>
      </c>
      <c r="HA9" s="506" t="s">
        <v>494</v>
      </c>
      <c r="HB9" s="53">
        <v>11.531499999999999</v>
      </c>
      <c r="HC9" s="507"/>
      <c r="HD9" s="380">
        <f t="shared" si="37"/>
        <v>0</v>
      </c>
      <c r="HE9" s="506" t="s">
        <v>494</v>
      </c>
      <c r="HF9" s="53">
        <v>11.508001999999999</v>
      </c>
      <c r="HG9" s="507"/>
      <c r="HH9" s="380">
        <f t="shared" si="38"/>
        <v>0</v>
      </c>
      <c r="HI9" s="506" t="s">
        <v>494</v>
      </c>
      <c r="HJ9" s="53">
        <v>11.519996000000001</v>
      </c>
      <c r="HK9" s="507"/>
      <c r="HL9" s="380">
        <f t="shared" si="39"/>
        <v>0</v>
      </c>
      <c r="HM9" s="506" t="s">
        <v>494</v>
      </c>
      <c r="HN9" s="53">
        <v>11.524997000000001</v>
      </c>
      <c r="HO9" s="507"/>
      <c r="HP9" s="380">
        <f t="shared" si="40"/>
        <v>0</v>
      </c>
      <c r="HQ9" s="506" t="s">
        <v>494</v>
      </c>
      <c r="HR9" s="53">
        <v>11.505749</v>
      </c>
      <c r="HS9" s="507"/>
      <c r="HT9" s="380">
        <f t="shared" si="41"/>
        <v>0</v>
      </c>
      <c r="HU9" s="506" t="s">
        <v>494</v>
      </c>
      <c r="HV9" s="53">
        <v>11.562754</v>
      </c>
      <c r="HW9" s="507"/>
      <c r="HX9" s="380">
        <f t="shared" si="42"/>
        <v>0</v>
      </c>
      <c r="HY9" s="506" t="s">
        <v>494</v>
      </c>
      <c r="HZ9" s="53">
        <v>11.441503000000001</v>
      </c>
      <c r="IA9" s="507"/>
      <c r="IB9" s="380">
        <f t="shared" si="43"/>
        <v>0</v>
      </c>
      <c r="IC9" s="506" t="s">
        <v>494</v>
      </c>
      <c r="ID9" s="53">
        <v>11.4415</v>
      </c>
      <c r="IE9" s="507"/>
      <c r="IF9" s="380">
        <f t="shared" si="44"/>
        <v>0</v>
      </c>
      <c r="IG9" s="506" t="s">
        <v>494</v>
      </c>
      <c r="IH9" s="53">
        <v>11.4415</v>
      </c>
      <c r="II9" s="507"/>
      <c r="IJ9" s="380">
        <f t="shared" si="45"/>
        <v>0</v>
      </c>
      <c r="IK9" s="506" t="s">
        <v>494</v>
      </c>
      <c r="IL9" s="53">
        <v>11.4415</v>
      </c>
      <c r="IM9" s="507"/>
      <c r="IN9" s="380">
        <f t="shared" si="46"/>
        <v>0</v>
      </c>
      <c r="IO9" s="506" t="s">
        <v>494</v>
      </c>
      <c r="IP9" s="53">
        <v>11.4415</v>
      </c>
      <c r="IQ9" s="507"/>
      <c r="IR9" s="380">
        <f t="shared" si="47"/>
        <v>0</v>
      </c>
      <c r="IS9" s="506" t="s">
        <v>494</v>
      </c>
      <c r="IT9" s="53">
        <v>11.4415</v>
      </c>
      <c r="IU9" s="507"/>
      <c r="IV9" s="380">
        <f t="shared" si="48"/>
        <v>0</v>
      </c>
      <c r="IW9" s="506" t="s">
        <v>494</v>
      </c>
      <c r="IX9" s="53">
        <v>11.709999</v>
      </c>
      <c r="IY9" s="507"/>
      <c r="IZ9" s="380">
        <f t="shared" si="49"/>
        <v>0</v>
      </c>
    </row>
    <row r="10" spans="1:260">
      <c r="A10" s="13">
        <v>36</v>
      </c>
      <c r="B10" s="13" t="s">
        <v>501</v>
      </c>
      <c r="C10" s="13" t="s">
        <v>143</v>
      </c>
      <c r="D10" s="13" t="s">
        <v>457</v>
      </c>
      <c r="E10" s="13" t="s">
        <v>19</v>
      </c>
      <c r="F10" s="13" t="s">
        <v>504</v>
      </c>
      <c r="G10" s="13" t="s">
        <v>505</v>
      </c>
      <c r="H10" s="49" t="s">
        <v>491</v>
      </c>
      <c r="I10" s="14" t="s">
        <v>494</v>
      </c>
      <c r="J10" s="14">
        <f>+VLOOKUP(E10,'Summary - Colar'!$M$39:$N$54,2,FALSE)</f>
        <v>11.709999</v>
      </c>
      <c r="K10" s="54"/>
      <c r="L10" s="506" t="s">
        <v>494</v>
      </c>
      <c r="M10" s="53">
        <v>11.785999410466696</v>
      </c>
      <c r="N10" s="507"/>
      <c r="O10" s="506" t="s">
        <v>494</v>
      </c>
      <c r="P10" s="53">
        <v>11.703550411188427</v>
      </c>
      <c r="Q10" s="507"/>
      <c r="R10" s="506" t="s">
        <v>494</v>
      </c>
      <c r="S10" s="53">
        <v>11.743499009792057</v>
      </c>
      <c r="T10" s="507"/>
      <c r="U10" s="506" t="s">
        <v>494</v>
      </c>
      <c r="V10" s="53">
        <v>11.747497669811418</v>
      </c>
      <c r="W10" s="507"/>
      <c r="X10" s="506" t="s">
        <v>494</v>
      </c>
      <c r="Y10" s="53">
        <v>11.749502062955756</v>
      </c>
      <c r="Z10" s="507"/>
      <c r="AA10" s="506" t="s">
        <v>494</v>
      </c>
      <c r="AB10" s="53">
        <v>11.733002368191622</v>
      </c>
      <c r="AC10" s="507"/>
      <c r="AD10" s="506" t="s">
        <v>494</v>
      </c>
      <c r="AE10" s="53">
        <v>11.627499067232772</v>
      </c>
      <c r="AF10" s="507"/>
      <c r="AG10" s="506" t="s">
        <v>494</v>
      </c>
      <c r="AH10" s="53">
        <v>11.643996899091613</v>
      </c>
      <c r="AI10" s="507"/>
      <c r="AJ10" s="506" t="s">
        <v>494</v>
      </c>
      <c r="AK10" s="53">
        <v>11.62049709008984</v>
      </c>
      <c r="AL10" s="507"/>
      <c r="AM10" s="506" t="s">
        <v>494</v>
      </c>
      <c r="AN10" s="53">
        <v>11.726500808872606</v>
      </c>
      <c r="AO10" s="507"/>
      <c r="AP10" s="506" t="s">
        <v>494</v>
      </c>
      <c r="AQ10" s="53">
        <v>11.756749444616933</v>
      </c>
      <c r="AR10" s="507"/>
      <c r="AS10" s="506" t="s">
        <v>494</v>
      </c>
      <c r="AT10" s="53">
        <v>11.610503</v>
      </c>
      <c r="AU10" s="507"/>
      <c r="AV10" s="506" t="s">
        <v>494</v>
      </c>
      <c r="AW10" s="53">
        <v>11.392497223232125</v>
      </c>
      <c r="AX10" s="507"/>
      <c r="AY10" s="506" t="s">
        <v>494</v>
      </c>
      <c r="AZ10" s="53">
        <v>11.295049266589858</v>
      </c>
      <c r="BA10" s="507"/>
      <c r="BB10" s="506" t="s">
        <v>494</v>
      </c>
      <c r="BC10" s="53">
        <v>11.408997532863422</v>
      </c>
      <c r="BD10" s="507"/>
      <c r="BE10" s="506" t="s">
        <v>494</v>
      </c>
      <c r="BF10" s="53">
        <v>11.317002475075295</v>
      </c>
      <c r="BG10" s="507"/>
      <c r="BH10" s="380">
        <f t="shared" si="0"/>
        <v>-11.408997532863422</v>
      </c>
      <c r="BI10" s="506" t="s">
        <v>494</v>
      </c>
      <c r="BJ10" s="53">
        <v>11.267000584532196</v>
      </c>
      <c r="BK10" s="507"/>
      <c r="BL10" s="380">
        <f t="shared" si="1"/>
        <v>0</v>
      </c>
      <c r="BM10" s="506" t="s">
        <v>494</v>
      </c>
      <c r="BN10" s="53">
        <v>11.417497717359922</v>
      </c>
      <c r="BO10" s="507"/>
      <c r="BP10">
        <v>0</v>
      </c>
      <c r="BQ10" s="506" t="s">
        <v>494</v>
      </c>
      <c r="BR10" s="53">
        <v>11.696498238722574</v>
      </c>
      <c r="BS10" s="507"/>
      <c r="BT10" s="380">
        <f t="shared" si="2"/>
        <v>0</v>
      </c>
      <c r="BU10" s="506" t="s">
        <v>494</v>
      </c>
      <c r="BV10" s="53">
        <v>11.945000441527094</v>
      </c>
      <c r="BW10" s="507"/>
      <c r="BX10" s="380">
        <f t="shared" si="3"/>
        <v>0</v>
      </c>
      <c r="BY10" s="506" t="s">
        <v>494</v>
      </c>
      <c r="BZ10" s="53">
        <v>11.953000572967035</v>
      </c>
      <c r="CA10" s="507"/>
      <c r="CB10" s="380">
        <f t="shared" si="4"/>
        <v>0</v>
      </c>
      <c r="CC10" s="506" t="s">
        <v>494</v>
      </c>
      <c r="CD10" s="53">
        <v>12.138995899756635</v>
      </c>
      <c r="CE10" s="507"/>
      <c r="CF10" s="380">
        <f t="shared" si="5"/>
        <v>0</v>
      </c>
      <c r="CG10" s="506" t="s">
        <v>494</v>
      </c>
      <c r="CH10" s="53">
        <v>11.969747513196003</v>
      </c>
      <c r="CI10" s="507"/>
      <c r="CJ10" s="380">
        <f t="shared" si="6"/>
        <v>0</v>
      </c>
      <c r="CK10" s="506" t="s">
        <v>494</v>
      </c>
      <c r="CL10" s="53">
        <v>12.073497534852091</v>
      </c>
      <c r="CM10" s="507"/>
      <c r="CN10" s="380">
        <f t="shared" si="7"/>
        <v>0</v>
      </c>
      <c r="CO10" s="506" t="s">
        <v>494</v>
      </c>
      <c r="CP10" s="53">
        <v>12.007247076195393</v>
      </c>
      <c r="CQ10" s="507"/>
      <c r="CR10" s="380">
        <f t="shared" si="8"/>
        <v>0</v>
      </c>
      <c r="CS10" s="506" t="s">
        <v>494</v>
      </c>
      <c r="CT10" s="53">
        <v>11.980500309987502</v>
      </c>
      <c r="CU10" s="507"/>
      <c r="CV10" s="380">
        <f t="shared" si="9"/>
        <v>0</v>
      </c>
      <c r="CW10" s="506" t="s">
        <v>494</v>
      </c>
      <c r="CX10" s="53">
        <v>12.08250155250002</v>
      </c>
      <c r="CY10" s="507"/>
      <c r="CZ10" s="380">
        <f t="shared" si="10"/>
        <v>0</v>
      </c>
      <c r="DA10" s="506" t="s">
        <v>494</v>
      </c>
      <c r="DB10" s="53">
        <v>11.912498890449054</v>
      </c>
      <c r="DC10" s="507"/>
      <c r="DD10" s="380">
        <f t="shared" si="11"/>
        <v>0</v>
      </c>
      <c r="DE10" s="506" t="s">
        <v>494</v>
      </c>
      <c r="DF10" s="53">
        <v>11.997501798507978</v>
      </c>
      <c r="DG10" s="507"/>
      <c r="DH10" s="380">
        <f t="shared" si="12"/>
        <v>0</v>
      </c>
      <c r="DI10" s="506" t="s">
        <v>494</v>
      </c>
      <c r="DJ10" s="53">
        <v>11.888999411964532</v>
      </c>
      <c r="DK10" s="507"/>
      <c r="DL10" s="380">
        <f t="shared" si="13"/>
        <v>0</v>
      </c>
      <c r="DM10" s="506" t="s">
        <v>494</v>
      </c>
      <c r="DN10" s="53">
        <v>11.873999406436402</v>
      </c>
      <c r="DO10" s="507"/>
      <c r="DP10" s="380">
        <f t="shared" si="14"/>
        <v>0</v>
      </c>
      <c r="DQ10" s="506" t="s">
        <v>494</v>
      </c>
      <c r="DR10" s="53">
        <v>11.869500996558356</v>
      </c>
      <c r="DS10" s="507"/>
      <c r="DT10" s="380">
        <f t="shared" si="15"/>
        <v>0</v>
      </c>
      <c r="DU10" s="506" t="s">
        <v>494</v>
      </c>
      <c r="DV10" s="53">
        <v>11.801499914140267</v>
      </c>
      <c r="DW10" s="507"/>
      <c r="DX10" s="380">
        <f t="shared" si="16"/>
        <v>0</v>
      </c>
      <c r="DY10" s="506" t="s">
        <v>494</v>
      </c>
      <c r="DZ10" s="53">
        <v>11.762504</v>
      </c>
      <c r="EA10" s="507"/>
      <c r="EB10" s="380">
        <f t="shared" si="17"/>
        <v>0</v>
      </c>
      <c r="EC10" s="506" t="s">
        <v>494</v>
      </c>
      <c r="ED10" s="53">
        <v>11.773001000000001</v>
      </c>
      <c r="EE10" s="507"/>
      <c r="EF10" s="380">
        <f t="shared" si="18"/>
        <v>0</v>
      </c>
      <c r="EG10" s="506" t="s">
        <v>494</v>
      </c>
      <c r="EH10" s="53">
        <v>11.708503</v>
      </c>
      <c r="EI10" s="507"/>
      <c r="EJ10" s="380">
        <f t="shared" si="19"/>
        <v>0</v>
      </c>
      <c r="EK10" s="506" t="s">
        <v>494</v>
      </c>
      <c r="EL10" s="53">
        <v>11.664</v>
      </c>
      <c r="EM10" s="507"/>
      <c r="EN10" s="380">
        <f t="shared" si="20"/>
        <v>0</v>
      </c>
      <c r="EO10" s="506" t="s">
        <v>494</v>
      </c>
      <c r="EP10" s="53">
        <v>11.691001999999999</v>
      </c>
      <c r="EQ10" s="507"/>
      <c r="ER10" s="380">
        <f t="shared" si="21"/>
        <v>0</v>
      </c>
      <c r="ES10" s="506" t="s">
        <v>494</v>
      </c>
      <c r="ET10" s="53">
        <v>11.669549999999999</v>
      </c>
      <c r="EU10" s="507"/>
      <c r="EV10" s="380">
        <f t="shared" si="22"/>
        <v>0</v>
      </c>
      <c r="EW10" s="506" t="s">
        <v>494</v>
      </c>
      <c r="EX10" s="53">
        <v>11.581996</v>
      </c>
      <c r="EY10" s="507"/>
      <c r="EZ10" s="380">
        <f t="shared" si="23"/>
        <v>0</v>
      </c>
      <c r="FA10" s="506" t="s">
        <v>494</v>
      </c>
      <c r="FB10" s="53">
        <v>11.556098</v>
      </c>
      <c r="FC10" s="507"/>
      <c r="FD10" s="380">
        <f t="shared" si="24"/>
        <v>0</v>
      </c>
      <c r="FE10" s="506" t="s">
        <v>494</v>
      </c>
      <c r="FF10" s="53">
        <v>11.556803</v>
      </c>
      <c r="FG10" s="507"/>
      <c r="FH10" s="380">
        <f t="shared" si="25"/>
        <v>0</v>
      </c>
      <c r="FI10" s="506" t="s">
        <v>494</v>
      </c>
      <c r="FJ10" s="53">
        <v>11.626453</v>
      </c>
      <c r="FK10" s="507"/>
      <c r="FL10" s="380">
        <f t="shared" si="26"/>
        <v>0</v>
      </c>
      <c r="FM10" s="506" t="s">
        <v>494</v>
      </c>
      <c r="FN10" s="53">
        <v>11.591504</v>
      </c>
      <c r="FO10" s="507"/>
      <c r="FP10" s="380">
        <f t="shared" si="27"/>
        <v>0</v>
      </c>
      <c r="FQ10" s="506" t="s">
        <v>494</v>
      </c>
      <c r="FR10" s="53">
        <v>11.586499999999999</v>
      </c>
      <c r="FS10" s="507"/>
      <c r="FT10" s="380">
        <f t="shared" si="28"/>
        <v>0</v>
      </c>
      <c r="FU10" s="506" t="s">
        <v>494</v>
      </c>
      <c r="FV10" s="53">
        <v>11.493002000000001</v>
      </c>
      <c r="FW10" s="507"/>
      <c r="FX10" s="380">
        <f t="shared" si="29"/>
        <v>0</v>
      </c>
      <c r="FY10" s="506" t="s">
        <v>494</v>
      </c>
      <c r="FZ10" s="53">
        <v>11.503</v>
      </c>
      <c r="GA10" s="507"/>
      <c r="GB10" s="380">
        <f t="shared" si="30"/>
        <v>0</v>
      </c>
      <c r="GC10" s="506" t="s">
        <v>494</v>
      </c>
      <c r="GD10" s="53">
        <v>11.478999</v>
      </c>
      <c r="GE10" s="507"/>
      <c r="GF10" s="380">
        <f t="shared" si="31"/>
        <v>0</v>
      </c>
      <c r="GG10" s="506" t="s">
        <v>494</v>
      </c>
      <c r="GH10" s="53">
        <v>11.500299</v>
      </c>
      <c r="GI10" s="507"/>
      <c r="GJ10" s="380">
        <f t="shared" si="32"/>
        <v>0</v>
      </c>
      <c r="GK10" s="506" t="s">
        <v>494</v>
      </c>
      <c r="GL10" s="53">
        <v>11.497498999999999</v>
      </c>
      <c r="GM10" s="507"/>
      <c r="GN10" s="380">
        <f t="shared" si="33"/>
        <v>0</v>
      </c>
      <c r="GO10" s="506" t="s">
        <v>494</v>
      </c>
      <c r="GP10" s="53">
        <v>11.486503000000001</v>
      </c>
      <c r="GQ10" s="507"/>
      <c r="GR10" s="380">
        <f t="shared" si="34"/>
        <v>0</v>
      </c>
      <c r="GS10" s="506" t="s">
        <v>494</v>
      </c>
      <c r="GT10" s="53">
        <v>11.520502</v>
      </c>
      <c r="GU10" s="507"/>
      <c r="GV10" s="380">
        <f t="shared" si="35"/>
        <v>0</v>
      </c>
      <c r="GW10" s="506" t="s">
        <v>494</v>
      </c>
      <c r="GX10" s="53">
        <v>11.514502</v>
      </c>
      <c r="GY10" s="507"/>
      <c r="GZ10" s="380">
        <f t="shared" si="36"/>
        <v>0</v>
      </c>
      <c r="HA10" s="506" t="s">
        <v>494</v>
      </c>
      <c r="HB10" s="53">
        <v>11.531499999999999</v>
      </c>
      <c r="HC10" s="507"/>
      <c r="HD10" s="380">
        <f t="shared" si="37"/>
        <v>0</v>
      </c>
      <c r="HE10" s="506" t="s">
        <v>494</v>
      </c>
      <c r="HF10" s="53">
        <v>11.508001999999999</v>
      </c>
      <c r="HG10" s="507"/>
      <c r="HH10" s="380">
        <f t="shared" si="38"/>
        <v>0</v>
      </c>
      <c r="HI10" s="506" t="s">
        <v>494</v>
      </c>
      <c r="HJ10" s="53">
        <v>11.519996000000001</v>
      </c>
      <c r="HK10" s="507"/>
      <c r="HL10" s="380">
        <f t="shared" si="39"/>
        <v>0</v>
      </c>
      <c r="HM10" s="506" t="s">
        <v>494</v>
      </c>
      <c r="HN10" s="53">
        <v>11.524997000000001</v>
      </c>
      <c r="HO10" s="507"/>
      <c r="HP10" s="380">
        <f t="shared" si="40"/>
        <v>0</v>
      </c>
      <c r="HQ10" s="506" t="s">
        <v>494</v>
      </c>
      <c r="HR10" s="53">
        <v>11.505749</v>
      </c>
      <c r="HS10" s="507"/>
      <c r="HT10" s="380">
        <f t="shared" si="41"/>
        <v>0</v>
      </c>
      <c r="HU10" s="506" t="s">
        <v>494</v>
      </c>
      <c r="HV10" s="53">
        <v>11.562754</v>
      </c>
      <c r="HW10" s="507"/>
      <c r="HX10" s="380">
        <f t="shared" si="42"/>
        <v>0</v>
      </c>
      <c r="HY10" s="506" t="s">
        <v>494</v>
      </c>
      <c r="HZ10" s="53">
        <v>11.441503000000001</v>
      </c>
      <c r="IA10" s="507"/>
      <c r="IB10" s="380">
        <f t="shared" si="43"/>
        <v>0</v>
      </c>
      <c r="IC10" s="506" t="s">
        <v>494</v>
      </c>
      <c r="ID10" s="53">
        <v>11.4415</v>
      </c>
      <c r="IE10" s="507"/>
      <c r="IF10" s="380">
        <f t="shared" si="44"/>
        <v>0</v>
      </c>
      <c r="IG10" s="506" t="s">
        <v>494</v>
      </c>
      <c r="IH10" s="53">
        <v>11.4415</v>
      </c>
      <c r="II10" s="507"/>
      <c r="IJ10" s="380">
        <f t="shared" si="45"/>
        <v>0</v>
      </c>
      <c r="IK10" s="506" t="s">
        <v>494</v>
      </c>
      <c r="IL10" s="53">
        <v>11.4415</v>
      </c>
      <c r="IM10" s="507"/>
      <c r="IN10" s="380">
        <f t="shared" si="46"/>
        <v>0</v>
      </c>
      <c r="IO10" s="506" t="s">
        <v>494</v>
      </c>
      <c r="IP10" s="53">
        <v>11.4415</v>
      </c>
      <c r="IQ10" s="507"/>
      <c r="IR10" s="380">
        <f t="shared" si="47"/>
        <v>0</v>
      </c>
      <c r="IS10" s="506" t="s">
        <v>494</v>
      </c>
      <c r="IT10" s="53">
        <v>11.4415</v>
      </c>
      <c r="IU10" s="507"/>
      <c r="IV10" s="380">
        <f t="shared" si="48"/>
        <v>0</v>
      </c>
      <c r="IW10" s="506" t="s">
        <v>494</v>
      </c>
      <c r="IX10" s="53">
        <v>11.709999</v>
      </c>
      <c r="IY10" s="507"/>
      <c r="IZ10" s="380">
        <f t="shared" si="49"/>
        <v>0</v>
      </c>
    </row>
    <row r="11" spans="1:260">
      <c r="A11" s="13" t="s">
        <v>506</v>
      </c>
      <c r="B11" s="13" t="s">
        <v>507</v>
      </c>
      <c r="C11" s="13" t="s">
        <v>219</v>
      </c>
      <c r="D11" s="13" t="s">
        <v>457</v>
      </c>
      <c r="E11" s="13" t="s">
        <v>3</v>
      </c>
      <c r="F11" s="13">
        <v>52909020196006</v>
      </c>
      <c r="G11" s="13" t="s">
        <v>218</v>
      </c>
      <c r="H11" s="49" t="s">
        <v>508</v>
      </c>
      <c r="I11" s="14">
        <f>+'IBP export - Colar'!L70</f>
        <v>1181932</v>
      </c>
      <c r="J11" s="14">
        <f>+VLOOKUP(E11,'Summary - Colar'!$M$39:$N$54,2,FALSE)</f>
        <v>7.4596999999999998</v>
      </c>
      <c r="K11" s="54">
        <f t="shared" si="50"/>
        <v>158442.29660710218</v>
      </c>
      <c r="L11" s="506">
        <v>6040417.46</v>
      </c>
      <c r="M11" s="53">
        <v>7.4578000227644718</v>
      </c>
      <c r="N11" s="507">
        <v>809946.29</v>
      </c>
      <c r="O11" s="506">
        <v>6111903.5599999996</v>
      </c>
      <c r="P11" s="53">
        <v>7.4599000367386337</v>
      </c>
      <c r="Q11" s="507">
        <v>819301</v>
      </c>
      <c r="R11" s="506">
        <v>6206100.8399999999</v>
      </c>
      <c r="S11" s="53">
        <v>7.4604999812168193</v>
      </c>
      <c r="T11" s="507">
        <v>831861.25</v>
      </c>
      <c r="U11" s="506">
        <v>4250206.95</v>
      </c>
      <c r="V11" s="53">
        <v>7.4608499551659859</v>
      </c>
      <c r="W11" s="507">
        <v>569667.93000000005</v>
      </c>
      <c r="X11" s="506">
        <v>4250742.8</v>
      </c>
      <c r="Y11" s="53">
        <v>7.4616000126947908</v>
      </c>
      <c r="Z11" s="507">
        <v>569682.48</v>
      </c>
      <c r="AA11" s="506">
        <v>3855908.3</v>
      </c>
      <c r="AB11" s="53">
        <v>7.4617499299525107</v>
      </c>
      <c r="AC11" s="507">
        <v>516756.57</v>
      </c>
      <c r="AD11" s="506">
        <v>3927042.62</v>
      </c>
      <c r="AE11" s="53">
        <v>7.4598500675691328</v>
      </c>
      <c r="AF11" s="507">
        <v>526423.80000000005</v>
      </c>
      <c r="AG11" s="506">
        <v>4024562.73</v>
      </c>
      <c r="AH11" s="53">
        <v>7.4589500593778393</v>
      </c>
      <c r="AI11" s="507">
        <v>539561.56000000006</v>
      </c>
      <c r="AJ11" s="506">
        <v>4418295.87</v>
      </c>
      <c r="AK11" s="53">
        <v>7.4586999951330943</v>
      </c>
      <c r="AL11" s="507">
        <v>592368.09</v>
      </c>
      <c r="AM11" s="506">
        <v>2334932.04</v>
      </c>
      <c r="AN11" s="53">
        <v>7.4580999574828022</v>
      </c>
      <c r="AO11" s="507">
        <v>313073.31</v>
      </c>
      <c r="AP11" s="506">
        <v>2319193.52</v>
      </c>
      <c r="AQ11" s="53">
        <v>7.4589500752281221</v>
      </c>
      <c r="AR11" s="507">
        <v>310927.61</v>
      </c>
      <c r="AS11" s="506">
        <v>2324516</v>
      </c>
      <c r="AT11" s="53">
        <v>7.4602000000000004</v>
      </c>
      <c r="AU11" s="507">
        <v>311588.96544328571</v>
      </c>
      <c r="AV11" s="506">
        <v>2388816.4500000002</v>
      </c>
      <c r="AW11" s="53">
        <v>7.4596499203654751</v>
      </c>
      <c r="AX11" s="507">
        <v>320231.71000000002</v>
      </c>
      <c r="AY11" s="506">
        <v>1837033.63</v>
      </c>
      <c r="AZ11" s="53">
        <v>7.461600087896608</v>
      </c>
      <c r="BA11" s="507">
        <v>246198.35</v>
      </c>
      <c r="BB11" s="506">
        <v>403011.24</v>
      </c>
      <c r="BC11" s="53">
        <v>7.461300259157241</v>
      </c>
      <c r="BD11" s="507">
        <v>54013.54</v>
      </c>
      <c r="BE11" s="506">
        <v>387878.49</v>
      </c>
      <c r="BF11" s="53">
        <v>7.4615506843211987</v>
      </c>
      <c r="BG11" s="507">
        <v>51983.63</v>
      </c>
      <c r="BH11" s="380">
        <f t="shared" si="0"/>
        <v>51976.16869974084</v>
      </c>
      <c r="BI11" s="506">
        <v>387878.49</v>
      </c>
      <c r="BJ11" s="53">
        <v>7.4610497754059075</v>
      </c>
      <c r="BK11" s="507">
        <v>51987.12</v>
      </c>
      <c r="BL11" s="380">
        <f t="shared" si="1"/>
        <v>3.4900000000052387</v>
      </c>
      <c r="BM11" s="506">
        <v>387878.49</v>
      </c>
      <c r="BN11" s="53">
        <v>7.461299503822036</v>
      </c>
      <c r="BO11" s="507">
        <v>51985.38</v>
      </c>
      <c r="BP11">
        <v>-279294.77999999997</v>
      </c>
      <c r="BQ11" s="506">
        <v>387844.19</v>
      </c>
      <c r="BR11" s="53">
        <v>7.4617506681719297</v>
      </c>
      <c r="BS11" s="507">
        <v>51977.64</v>
      </c>
      <c r="BT11" s="380">
        <f t="shared" si="2"/>
        <v>-7.7399999999979627</v>
      </c>
      <c r="BU11" s="506">
        <v>429497.17</v>
      </c>
      <c r="BV11" s="53">
        <v>7.4637500907994205</v>
      </c>
      <c r="BW11" s="507">
        <v>57544.42</v>
      </c>
      <c r="BX11" s="380">
        <f t="shared" si="3"/>
        <v>5566.7799999999988</v>
      </c>
      <c r="BY11" s="506">
        <v>427345.13</v>
      </c>
      <c r="BZ11" s="53">
        <v>7.4648006228336596</v>
      </c>
      <c r="CA11" s="507">
        <v>57248.03</v>
      </c>
      <c r="CB11" s="380">
        <f t="shared" si="4"/>
        <v>-296.38999999999942</v>
      </c>
      <c r="CC11" s="506">
        <v>367777.16</v>
      </c>
      <c r="CD11" s="53">
        <v>7.4690003021903921</v>
      </c>
      <c r="CE11" s="507">
        <v>49240.480000000003</v>
      </c>
      <c r="CF11" s="380">
        <f t="shared" si="5"/>
        <v>-8007.5499999999956</v>
      </c>
      <c r="CG11" s="506">
        <v>464714.04</v>
      </c>
      <c r="CH11" s="53">
        <v>7.4653997129273453</v>
      </c>
      <c r="CI11" s="507">
        <v>62249.05</v>
      </c>
      <c r="CJ11" s="380">
        <f t="shared" si="6"/>
        <v>13008.57</v>
      </c>
      <c r="CK11" s="506">
        <v>598511.6</v>
      </c>
      <c r="CL11" s="53">
        <v>7.4675995432937077</v>
      </c>
      <c r="CM11" s="507">
        <v>80147.789999999994</v>
      </c>
      <c r="CN11" s="380">
        <f t="shared" si="7"/>
        <v>17898.739999999991</v>
      </c>
      <c r="CO11" s="506">
        <v>615485.36</v>
      </c>
      <c r="CP11" s="53">
        <v>7.4676002177606442</v>
      </c>
      <c r="CQ11" s="507">
        <v>82420.77</v>
      </c>
      <c r="CR11" s="380">
        <f t="shared" si="8"/>
        <v>2272.9800000000105</v>
      </c>
      <c r="CS11" s="506">
        <v>1041073.93</v>
      </c>
      <c r="CT11" s="53">
        <v>7.4661999511468373</v>
      </c>
      <c r="CU11" s="507">
        <v>139438.26</v>
      </c>
      <c r="CV11" s="380">
        <f t="shared" si="9"/>
        <v>57017.490000000005</v>
      </c>
      <c r="CW11" s="506">
        <v>1041073.93</v>
      </c>
      <c r="CX11" s="53">
        <v>7.4671001485065602</v>
      </c>
      <c r="CY11" s="507">
        <v>139421.45000000001</v>
      </c>
      <c r="CZ11" s="380">
        <f t="shared" si="10"/>
        <v>-16.809999999997672</v>
      </c>
      <c r="DA11" s="506">
        <v>1041073.93</v>
      </c>
      <c r="DB11" s="53">
        <v>7.4664002142367627</v>
      </c>
      <c r="DC11" s="507">
        <v>139434.51999999999</v>
      </c>
      <c r="DD11" s="380">
        <f t="shared" si="11"/>
        <v>13.069999999977881</v>
      </c>
      <c r="DE11" s="506">
        <v>1041073.93</v>
      </c>
      <c r="DF11" s="53">
        <v>7.4662497481843646</v>
      </c>
      <c r="DG11" s="507">
        <v>139437.32999999999</v>
      </c>
      <c r="DH11" s="380">
        <f t="shared" si="12"/>
        <v>2.8099999999976717</v>
      </c>
      <c r="DI11" s="506">
        <v>1041073.93</v>
      </c>
      <c r="DJ11" s="53">
        <v>7.4655001856203178</v>
      </c>
      <c r="DK11" s="507">
        <v>139451.32999999999</v>
      </c>
      <c r="DL11" s="380">
        <f t="shared" si="13"/>
        <v>14</v>
      </c>
      <c r="DM11" s="506">
        <v>2041073.9300000002</v>
      </c>
      <c r="DN11" s="53">
        <v>14.637048620993989</v>
      </c>
      <c r="DO11" s="507">
        <v>139445.73000000001</v>
      </c>
      <c r="DP11" s="380">
        <f t="shared" si="14"/>
        <v>-5.5999999999767169</v>
      </c>
      <c r="DQ11" s="506">
        <v>1923453.2</v>
      </c>
      <c r="DR11" s="53">
        <v>7.4644001348009938</v>
      </c>
      <c r="DS11" s="507">
        <v>257683.56</v>
      </c>
      <c r="DT11" s="380">
        <f t="shared" si="15"/>
        <v>118237.82999999999</v>
      </c>
      <c r="DU11" s="506">
        <v>1509959.42</v>
      </c>
      <c r="DV11" s="53">
        <v>7.462950004502602</v>
      </c>
      <c r="DW11" s="507">
        <v>202327.42</v>
      </c>
      <c r="DX11" s="380">
        <f t="shared" si="16"/>
        <v>-55356.139999999985</v>
      </c>
      <c r="DY11" s="506">
        <v>1509959</v>
      </c>
      <c r="DZ11" s="53">
        <v>7.4618000000000002</v>
      </c>
      <c r="EA11" s="507">
        <v>202358.54619528799</v>
      </c>
      <c r="EB11" s="380">
        <f t="shared" si="17"/>
        <v>31.126195287972223</v>
      </c>
      <c r="EC11" s="506">
        <v>1509959</v>
      </c>
      <c r="ED11" s="53">
        <v>7.4621500000000003</v>
      </c>
      <c r="EE11" s="507">
        <v>202349.05489704708</v>
      </c>
      <c r="EF11" s="380">
        <f t="shared" si="18"/>
        <v>-9.4912982409005053</v>
      </c>
      <c r="EG11" s="506">
        <v>1509927</v>
      </c>
      <c r="EH11" s="53">
        <v>7.4611999999999998</v>
      </c>
      <c r="EI11" s="507">
        <v>202370.53020961775</v>
      </c>
      <c r="EJ11" s="380">
        <f t="shared" si="19"/>
        <v>21.475312570662936</v>
      </c>
      <c r="EK11" s="506">
        <v>1509927</v>
      </c>
      <c r="EL11" s="53">
        <v>7.4615</v>
      </c>
      <c r="EM11" s="507">
        <v>202362.39362058567</v>
      </c>
      <c r="EN11" s="380">
        <f t="shared" si="20"/>
        <v>-8.1365890320739709</v>
      </c>
      <c r="EO11" s="506">
        <v>1478557</v>
      </c>
      <c r="EP11" s="53">
        <v>7.4603000000000002</v>
      </c>
      <c r="EQ11" s="507">
        <v>198190.01916812998</v>
      </c>
      <c r="ER11" s="380">
        <f t="shared" si="21"/>
        <v>-4172.3744524556969</v>
      </c>
      <c r="ES11" s="506">
        <v>2556053</v>
      </c>
      <c r="ET11" s="53">
        <v>7.4603999999999999</v>
      </c>
      <c r="EU11" s="507">
        <v>342616.07956677926</v>
      </c>
      <c r="EV11" s="380">
        <f t="shared" si="22"/>
        <v>144426.06039864928</v>
      </c>
      <c r="EW11" s="506">
        <v>2554594</v>
      </c>
      <c r="EX11" s="53">
        <v>7.4592999999999998</v>
      </c>
      <c r="EY11" s="507">
        <v>342471.00934404036</v>
      </c>
      <c r="EZ11" s="380">
        <f t="shared" si="23"/>
        <v>-145.07022273889743</v>
      </c>
      <c r="FA11" s="506">
        <v>3011860</v>
      </c>
      <c r="FB11" s="53">
        <v>7.4596</v>
      </c>
      <c r="FC11" s="507">
        <v>403756.23357820796</v>
      </c>
      <c r="FD11" s="380">
        <f t="shared" si="24"/>
        <v>61285.224234167603</v>
      </c>
      <c r="FE11" s="506">
        <v>3011860</v>
      </c>
      <c r="FF11" s="53">
        <v>7.4592999999999998</v>
      </c>
      <c r="FG11" s="507">
        <v>403772.47194776993</v>
      </c>
      <c r="FH11" s="380">
        <f t="shared" si="25"/>
        <v>16.238369561964646</v>
      </c>
      <c r="FI11" s="506">
        <v>3009587</v>
      </c>
      <c r="FJ11" s="53">
        <v>7.4600999999999997</v>
      </c>
      <c r="FK11" s="507">
        <v>403424.4849264755</v>
      </c>
      <c r="FL11" s="380">
        <f t="shared" si="26"/>
        <v>-347.98702129442245</v>
      </c>
      <c r="FM11" s="506">
        <v>3009587</v>
      </c>
      <c r="FN11" s="53">
        <v>7.4608999999999996</v>
      </c>
      <c r="FO11" s="507">
        <v>403381.22746585537</v>
      </c>
      <c r="FP11" s="380">
        <f t="shared" si="27"/>
        <v>-43.257460620137863</v>
      </c>
      <c r="FQ11" s="506">
        <v>3009587</v>
      </c>
      <c r="FR11" s="53">
        <v>7.4595000000000002</v>
      </c>
      <c r="FS11" s="507">
        <v>403456.93411086535</v>
      </c>
      <c r="FT11" s="380">
        <f t="shared" si="28"/>
        <v>75.706645009981003</v>
      </c>
      <c r="FU11" s="506">
        <v>3009587</v>
      </c>
      <c r="FV11" s="53">
        <v>7.4591500000000002</v>
      </c>
      <c r="FW11" s="507">
        <v>403475.86521252419</v>
      </c>
      <c r="FX11" s="380">
        <f t="shared" si="29"/>
        <v>18.931101658847183</v>
      </c>
      <c r="FY11" s="506">
        <v>2587530</v>
      </c>
      <c r="FZ11" s="53">
        <v>7.4593999999999996</v>
      </c>
      <c r="GA11" s="507">
        <v>346881.7867388798</v>
      </c>
      <c r="GB11" s="380">
        <f t="shared" si="30"/>
        <v>-56594.078473644389</v>
      </c>
      <c r="GC11" s="506">
        <v>2587530</v>
      </c>
      <c r="GD11" s="53">
        <v>7.4590500000000004</v>
      </c>
      <c r="GE11" s="507">
        <v>346898.06342630764</v>
      </c>
      <c r="GF11" s="380">
        <f t="shared" si="31"/>
        <v>16.276687427831348</v>
      </c>
      <c r="GG11" s="506">
        <v>2486278</v>
      </c>
      <c r="GH11" s="53">
        <v>7.4592000000000001</v>
      </c>
      <c r="GI11" s="507">
        <v>333316.97769197769</v>
      </c>
      <c r="GJ11" s="380">
        <f t="shared" si="32"/>
        <v>-13581.085734329943</v>
      </c>
      <c r="GK11" s="506">
        <v>1702216</v>
      </c>
      <c r="GL11" s="53">
        <v>7.4588000000000001</v>
      </c>
      <c r="GM11" s="507">
        <v>228215.7987880088</v>
      </c>
      <c r="GN11" s="380">
        <f t="shared" si="33"/>
        <v>-105101.17890396889</v>
      </c>
      <c r="GO11" s="506">
        <v>1702216</v>
      </c>
      <c r="GP11" s="53">
        <v>7.4592499999999999</v>
      </c>
      <c r="GQ11" s="507">
        <v>228202.03103529176</v>
      </c>
      <c r="GR11" s="380">
        <f t="shared" si="34"/>
        <v>-13.767752717045369</v>
      </c>
      <c r="GS11" s="506">
        <v>1702216</v>
      </c>
      <c r="GT11" s="53">
        <v>7.4587500000000002</v>
      </c>
      <c r="GU11" s="507">
        <v>228217.32864085803</v>
      </c>
      <c r="GV11" s="380">
        <f t="shared" si="35"/>
        <v>15.297605566272978</v>
      </c>
      <c r="GW11" s="506">
        <v>1694714</v>
      </c>
      <c r="GX11" s="53">
        <v>7.4606000000000003</v>
      </c>
      <c r="GY11" s="507">
        <v>227155.18859072996</v>
      </c>
      <c r="GZ11" s="380">
        <f t="shared" si="36"/>
        <v>-1062.1400501280732</v>
      </c>
      <c r="HA11" s="506">
        <v>1694714</v>
      </c>
      <c r="HB11" s="53">
        <v>7.46075</v>
      </c>
      <c r="HC11" s="507">
        <v>227150.62158630166</v>
      </c>
      <c r="HD11" s="380">
        <f t="shared" si="37"/>
        <v>-4.5670044283033349</v>
      </c>
      <c r="HE11" s="506">
        <v>1694714</v>
      </c>
      <c r="HF11" s="53">
        <v>7.4597499999999997</v>
      </c>
      <c r="HG11" s="507">
        <v>227181.07175173433</v>
      </c>
      <c r="HH11" s="380">
        <f t="shared" si="38"/>
        <v>30.450165432674112</v>
      </c>
      <c r="HI11" s="506">
        <v>1694714</v>
      </c>
      <c r="HJ11" s="53">
        <v>7.4594500000000004</v>
      </c>
      <c r="HK11" s="507">
        <v>227190.20839338019</v>
      </c>
      <c r="HL11" s="380">
        <f t="shared" si="39"/>
        <v>9.1366416458622552</v>
      </c>
      <c r="HM11" s="506">
        <v>1653482</v>
      </c>
      <c r="HN11" s="53">
        <v>7.4596499999999999</v>
      </c>
      <c r="HO11" s="507">
        <v>221656.78014384053</v>
      </c>
      <c r="HP11" s="380">
        <f t="shared" si="40"/>
        <v>-5533.4282495396619</v>
      </c>
      <c r="HQ11" s="506">
        <v>1656924</v>
      </c>
      <c r="HR11" s="53">
        <v>7.4595500000000001</v>
      </c>
      <c r="HS11" s="507">
        <v>222121.17352923434</v>
      </c>
      <c r="HT11" s="380">
        <f t="shared" si="41"/>
        <v>464.39338539380697</v>
      </c>
      <c r="HU11" s="506">
        <v>1656924</v>
      </c>
      <c r="HV11" s="53">
        <v>7.4589999999999996</v>
      </c>
      <c r="HW11" s="507">
        <v>222137.55195066365</v>
      </c>
      <c r="HX11" s="380">
        <f t="shared" si="42"/>
        <v>16.378421429311857</v>
      </c>
      <c r="HY11" s="506">
        <v>1656124</v>
      </c>
      <c r="HZ11" s="53">
        <v>7.4585999999999997</v>
      </c>
      <c r="IA11" s="507">
        <v>222042.20631217657</v>
      </c>
      <c r="IB11" s="380">
        <f t="shared" si="43"/>
        <v>-95.345638487080578</v>
      </c>
      <c r="IC11" s="506">
        <v>1652665</v>
      </c>
      <c r="ID11" s="53">
        <v>7.4585999999999997</v>
      </c>
      <c r="IE11" s="507">
        <v>221578.44635722521</v>
      </c>
      <c r="IF11" s="380">
        <f t="shared" si="44"/>
        <v>-463.7599549513543</v>
      </c>
      <c r="IG11" s="506">
        <v>1652665</v>
      </c>
      <c r="IH11" s="53">
        <v>7.4585999999999997</v>
      </c>
      <c r="II11" s="507">
        <v>221578.44635722521</v>
      </c>
      <c r="IJ11" s="380">
        <f t="shared" si="45"/>
        <v>0</v>
      </c>
      <c r="IK11" s="506">
        <v>1571740</v>
      </c>
      <c r="IL11" s="53">
        <v>7.4585999999999997</v>
      </c>
      <c r="IM11" s="507">
        <v>210728.55495669431</v>
      </c>
      <c r="IN11" s="380">
        <f t="shared" si="46"/>
        <v>-10849.891400530905</v>
      </c>
      <c r="IO11" s="506">
        <v>1571740</v>
      </c>
      <c r="IP11" s="53">
        <v>7.4585999999999997</v>
      </c>
      <c r="IQ11" s="507">
        <v>210728.55495669431</v>
      </c>
      <c r="IR11" s="380">
        <f t="shared" si="47"/>
        <v>0</v>
      </c>
      <c r="IS11" s="506">
        <v>1571441</v>
      </c>
      <c r="IT11" s="53">
        <v>7.4585999999999997</v>
      </c>
      <c r="IU11" s="507">
        <v>210688.4670045317</v>
      </c>
      <c r="IV11" s="380">
        <f t="shared" si="48"/>
        <v>-40.087952162604779</v>
      </c>
      <c r="IW11" s="506">
        <v>1181932</v>
      </c>
      <c r="IX11" s="53">
        <v>7.4596999999999998</v>
      </c>
      <c r="IY11" s="507">
        <v>158442.29660710218</v>
      </c>
      <c r="IZ11" s="380">
        <f t="shared" si="49"/>
        <v>-52246.170397429523</v>
      </c>
    </row>
    <row r="12" spans="1:260">
      <c r="A12" s="13" t="s">
        <v>509</v>
      </c>
      <c r="B12" s="13" t="s">
        <v>510</v>
      </c>
      <c r="C12" s="13" t="s">
        <v>417</v>
      </c>
      <c r="D12" s="13" t="s">
        <v>12</v>
      </c>
      <c r="E12" s="13" t="s">
        <v>5</v>
      </c>
      <c r="F12" s="13" t="s">
        <v>511</v>
      </c>
      <c r="G12" s="13"/>
      <c r="H12" s="49" t="s">
        <v>512</v>
      </c>
      <c r="I12" s="14">
        <f>+'JYSKE - FKB - Colar '!B14</f>
        <v>3765</v>
      </c>
      <c r="J12" s="14">
        <f>+VLOOKUP(E12,'Summary - Colar'!$M$39:$N$54,2,FALSE)</f>
        <v>1.1608000000000001</v>
      </c>
      <c r="K12" s="54">
        <f t="shared" si="50"/>
        <v>3243.4527911784976</v>
      </c>
      <c r="L12" s="506">
        <v>12262.5</v>
      </c>
      <c r="M12" s="53">
        <v>1.0393499809660025</v>
      </c>
      <c r="N12" s="507">
        <v>11798.239500233474</v>
      </c>
      <c r="O12" s="506">
        <v>12262.5</v>
      </c>
      <c r="P12" s="53">
        <v>1.0296499958937868</v>
      </c>
      <c r="Q12" s="507">
        <v>11909.386732290081</v>
      </c>
      <c r="R12" s="506">
        <v>94262.5</v>
      </c>
      <c r="S12" s="53">
        <v>1.0305500350713117</v>
      </c>
      <c r="T12" s="507">
        <v>91468.144963458515</v>
      </c>
      <c r="U12" s="506">
        <v>94262.5</v>
      </c>
      <c r="V12" s="53">
        <v>1.0294499127813821</v>
      </c>
      <c r="W12" s="507">
        <v>91565.892453495151</v>
      </c>
      <c r="X12" s="506">
        <v>94262.5</v>
      </c>
      <c r="Y12" s="53">
        <v>1.0474500171045873</v>
      </c>
      <c r="Z12" s="507">
        <v>89992.360934381402</v>
      </c>
      <c r="AA12" s="506">
        <v>94262.5</v>
      </c>
      <c r="AB12" s="53">
        <v>1.0384500241697678</v>
      </c>
      <c r="AC12" s="507">
        <v>90772.302764749882</v>
      </c>
      <c r="AD12" s="506">
        <v>94262.5</v>
      </c>
      <c r="AE12" s="53">
        <v>1.0375500183032278</v>
      </c>
      <c r="AF12" s="507">
        <v>90851.041720526904</v>
      </c>
      <c r="AG12" s="506">
        <v>94262</v>
      </c>
      <c r="AH12" s="53">
        <v>1.047149991583058</v>
      </c>
      <c r="AI12" s="507">
        <v>90017.667724464962</v>
      </c>
      <c r="AJ12" s="506">
        <v>4234</v>
      </c>
      <c r="AK12" s="53">
        <v>1.0461499902620313</v>
      </c>
      <c r="AL12" s="507">
        <v>4047.2207995141325</v>
      </c>
      <c r="AM12" s="506">
        <v>4234</v>
      </c>
      <c r="AN12" s="53">
        <v>1.0407499836552325</v>
      </c>
      <c r="AO12" s="507">
        <v>4068.2200975201649</v>
      </c>
      <c r="AP12" s="506">
        <v>4234</v>
      </c>
      <c r="AQ12" s="53">
        <v>1.0854500032344994</v>
      </c>
      <c r="AR12" s="507">
        <v>3900.6863396593417</v>
      </c>
      <c r="AS12" s="506">
        <v>4234</v>
      </c>
      <c r="AT12" s="53">
        <v>1.08935</v>
      </c>
      <c r="AU12" s="507">
        <v>3886.7214393904619</v>
      </c>
      <c r="AV12" s="506">
        <v>4234</v>
      </c>
      <c r="AW12" s="53">
        <v>1.0830999858771673</v>
      </c>
      <c r="AX12" s="507">
        <v>3909.1497139767957</v>
      </c>
      <c r="AY12" s="506">
        <v>4234</v>
      </c>
      <c r="AZ12" s="53">
        <v>1.0787497944244075</v>
      </c>
      <c r="BA12" s="507">
        <v>3924.9138418229322</v>
      </c>
      <c r="BB12" s="506">
        <v>4224</v>
      </c>
      <c r="BC12" s="53">
        <v>1.0820998826422146</v>
      </c>
      <c r="BD12" s="507">
        <v>3903.5213548735069</v>
      </c>
      <c r="BE12" s="506">
        <v>4224</v>
      </c>
      <c r="BF12" s="53">
        <v>1.0781999853387405</v>
      </c>
      <c r="BG12" s="507">
        <v>3917.6405652360831</v>
      </c>
      <c r="BH12" s="380">
        <f t="shared" si="0"/>
        <v>3916.5584653534411</v>
      </c>
      <c r="BI12" s="506">
        <v>4224</v>
      </c>
      <c r="BJ12" s="53">
        <v>1.0803999989493438</v>
      </c>
      <c r="BK12" s="507">
        <v>3909.6630915473083</v>
      </c>
      <c r="BL12" s="380">
        <f t="shared" si="1"/>
        <v>-7.9774736887748077</v>
      </c>
      <c r="BM12" s="506">
        <v>4224</v>
      </c>
      <c r="BN12" s="53">
        <v>1.1088499954694768</v>
      </c>
      <c r="BO12" s="507">
        <v>3809.3520469480613</v>
      </c>
      <c r="BP12">
        <v>20.999298006032404</v>
      </c>
      <c r="BQ12" s="506">
        <v>4224</v>
      </c>
      <c r="BR12" s="53">
        <v>1.1058499740160905</v>
      </c>
      <c r="BS12" s="507">
        <v>3819.686303974665</v>
      </c>
      <c r="BT12" s="380">
        <f t="shared" si="2"/>
        <v>10.334257026603609</v>
      </c>
      <c r="BU12" s="506">
        <v>4224</v>
      </c>
      <c r="BV12" s="53">
        <v>1.0967500172467883</v>
      </c>
      <c r="BW12" s="507">
        <v>3851.3790139740881</v>
      </c>
      <c r="BX12" s="380">
        <f t="shared" si="3"/>
        <v>31.692709999423187</v>
      </c>
      <c r="BY12" s="506">
        <v>4224</v>
      </c>
      <c r="BZ12" s="53">
        <v>1.0935500267747675</v>
      </c>
      <c r="CA12" s="507">
        <v>3862.6490755598452</v>
      </c>
      <c r="CB12" s="380">
        <f t="shared" si="4"/>
        <v>11.270061585757048</v>
      </c>
      <c r="CC12" s="506">
        <v>4224</v>
      </c>
      <c r="CD12" s="53">
        <v>1.1035500028504495</v>
      </c>
      <c r="CE12" s="507">
        <v>3827.6471288926514</v>
      </c>
      <c r="CF12" s="380">
        <f t="shared" si="5"/>
        <v>-35.001946667193806</v>
      </c>
      <c r="CG12" s="506">
        <v>4224</v>
      </c>
      <c r="CH12" s="53">
        <v>1.1071500373751093</v>
      </c>
      <c r="CI12" s="507">
        <v>3815.2010634570233</v>
      </c>
      <c r="CJ12" s="380">
        <f t="shared" si="6"/>
        <v>-12.446065435628043</v>
      </c>
      <c r="CK12" s="506">
        <v>4224</v>
      </c>
      <c r="CL12" s="53">
        <v>1.1331000481425468</v>
      </c>
      <c r="CM12" s="507">
        <v>3727.8261587970651</v>
      </c>
      <c r="CN12" s="380">
        <f t="shared" si="7"/>
        <v>-87.374904659958247</v>
      </c>
      <c r="CO12" s="506">
        <v>4224</v>
      </c>
      <c r="CP12" s="53">
        <v>1.1381500166600167</v>
      </c>
      <c r="CQ12" s="507">
        <v>3711.2858043051588</v>
      </c>
      <c r="CR12" s="380">
        <f t="shared" si="8"/>
        <v>-16.540354491906328</v>
      </c>
      <c r="CS12" s="506">
        <v>4224</v>
      </c>
      <c r="CT12" s="53">
        <v>1.1324499897732652</v>
      </c>
      <c r="CU12" s="507">
        <v>3729.9660365979721</v>
      </c>
      <c r="CV12" s="380">
        <f t="shared" si="9"/>
        <v>18.680232292813344</v>
      </c>
      <c r="CW12" s="506">
        <v>4224</v>
      </c>
      <c r="CX12" s="53">
        <v>1.1362500452178652</v>
      </c>
      <c r="CY12" s="507">
        <v>3717.4916012347335</v>
      </c>
      <c r="CZ12" s="380">
        <f t="shared" si="10"/>
        <v>-12.474435363238626</v>
      </c>
      <c r="DA12" s="506">
        <v>4224</v>
      </c>
      <c r="DB12" s="53">
        <v>1.1363000964193748</v>
      </c>
      <c r="DC12" s="507">
        <v>3717.3278549481406</v>
      </c>
      <c r="DD12" s="380">
        <f t="shared" si="11"/>
        <v>-0.16374628659286827</v>
      </c>
      <c r="DE12" s="506">
        <v>4224</v>
      </c>
      <c r="DF12" s="53">
        <v>1.1544499930632772</v>
      </c>
      <c r="DG12" s="507">
        <v>3658.8852054057538</v>
      </c>
      <c r="DH12" s="380">
        <f t="shared" si="12"/>
        <v>-58.442649542386789</v>
      </c>
      <c r="DI12" s="506">
        <v>4224</v>
      </c>
      <c r="DJ12" s="53">
        <v>1.1486000091425401</v>
      </c>
      <c r="DK12" s="507">
        <v>3677.5204304180061</v>
      </c>
      <c r="DL12" s="380">
        <f t="shared" si="13"/>
        <v>18.635225012252249</v>
      </c>
      <c r="DM12" s="506">
        <v>4224</v>
      </c>
      <c r="DN12" s="53">
        <v>1.1410499781207057</v>
      </c>
      <c r="DO12" s="507">
        <v>3701.8536269172646</v>
      </c>
      <c r="DP12" s="380">
        <f t="shared" si="14"/>
        <v>24.33319649925852</v>
      </c>
      <c r="DQ12" s="506">
        <v>4224</v>
      </c>
      <c r="DR12" s="53">
        <v>1.135249966573922</v>
      </c>
      <c r="DS12" s="507">
        <v>3720.7664605775203</v>
      </c>
      <c r="DT12" s="380">
        <f t="shared" si="15"/>
        <v>18.912833660255728</v>
      </c>
      <c r="DU12" s="506">
        <v>4224</v>
      </c>
      <c r="DV12" s="53">
        <v>1.1318500296229566</v>
      </c>
      <c r="DW12" s="507">
        <v>3731.9431810300034</v>
      </c>
      <c r="DX12" s="380">
        <f t="shared" si="16"/>
        <v>11.176720452483096</v>
      </c>
      <c r="DY12" s="506">
        <v>4224</v>
      </c>
      <c r="DZ12" s="53">
        <v>1.1345499999999999</v>
      </c>
      <c r="EA12" s="507">
        <v>3723.0620069631132</v>
      </c>
      <c r="EB12" s="380">
        <f t="shared" si="17"/>
        <v>-8.881174066890253</v>
      </c>
      <c r="EC12" s="506">
        <v>4224</v>
      </c>
      <c r="ED12" s="53">
        <v>1.13425</v>
      </c>
      <c r="EE12" s="507">
        <v>3724.0467269120563</v>
      </c>
      <c r="EF12" s="380">
        <f t="shared" si="18"/>
        <v>0.98471994894316595</v>
      </c>
      <c r="EG12" s="506">
        <v>4224</v>
      </c>
      <c r="EH12" s="53">
        <v>1.1326499999999999</v>
      </c>
      <c r="EI12" s="507">
        <v>3729.3073765064232</v>
      </c>
      <c r="EJ12" s="380">
        <f t="shared" si="19"/>
        <v>5.2606495943668961</v>
      </c>
      <c r="EK12" s="506">
        <v>4224</v>
      </c>
      <c r="EL12" s="53">
        <v>1.13575</v>
      </c>
      <c r="EM12" s="507">
        <v>3719.1283292978205</v>
      </c>
      <c r="EN12" s="380">
        <f t="shared" si="20"/>
        <v>-10.179047208602697</v>
      </c>
      <c r="EO12" s="506">
        <v>4224</v>
      </c>
      <c r="EP12" s="53">
        <v>1.1295500000000001</v>
      </c>
      <c r="EQ12" s="507">
        <v>3739.542295604444</v>
      </c>
      <c r="ER12" s="380">
        <f t="shared" si="21"/>
        <v>20.413966306623479</v>
      </c>
      <c r="ES12" s="506">
        <v>4224</v>
      </c>
      <c r="ET12" s="53">
        <v>1.1253500000000001</v>
      </c>
      <c r="EU12" s="507">
        <v>3753.4989114497707</v>
      </c>
      <c r="EV12" s="380">
        <f t="shared" si="22"/>
        <v>13.956615845326724</v>
      </c>
      <c r="EW12" s="506">
        <v>4224</v>
      </c>
      <c r="EX12" s="53">
        <v>1.1109500000000001</v>
      </c>
      <c r="EY12" s="507">
        <v>3802.1513119402312</v>
      </c>
      <c r="EZ12" s="380">
        <f t="shared" si="23"/>
        <v>48.652400490460423</v>
      </c>
      <c r="FA12" s="506">
        <v>4224</v>
      </c>
      <c r="FB12" s="53">
        <v>1.1105499999999999</v>
      </c>
      <c r="FC12" s="507">
        <v>3803.5207779928865</v>
      </c>
      <c r="FD12" s="380">
        <f t="shared" si="24"/>
        <v>1.369466052655298</v>
      </c>
      <c r="FE12" s="506">
        <v>4224</v>
      </c>
      <c r="FF12" s="53">
        <v>1.12155</v>
      </c>
      <c r="FG12" s="507">
        <v>3766.2163969506487</v>
      </c>
      <c r="FH12" s="380">
        <f t="shared" si="25"/>
        <v>-37.304381042237765</v>
      </c>
      <c r="FI12" s="506">
        <v>4224</v>
      </c>
      <c r="FJ12" s="53">
        <v>1.1194</v>
      </c>
      <c r="FK12" s="507">
        <v>3773.4500625335004</v>
      </c>
      <c r="FL12" s="380">
        <f t="shared" si="26"/>
        <v>7.2336655828516996</v>
      </c>
      <c r="FM12" s="506">
        <v>4224</v>
      </c>
      <c r="FN12" s="53">
        <v>1.1271500000000001</v>
      </c>
      <c r="FO12" s="507">
        <v>3747.5047686643302</v>
      </c>
      <c r="FP12" s="380">
        <f t="shared" si="27"/>
        <v>-25.9452938691702</v>
      </c>
      <c r="FQ12" s="506">
        <v>4224</v>
      </c>
      <c r="FR12" s="53">
        <v>1.1245499999999999</v>
      </c>
      <c r="FS12" s="507">
        <v>3756.1691343203952</v>
      </c>
      <c r="FT12" s="380">
        <f t="shared" si="28"/>
        <v>8.6643656560650015</v>
      </c>
      <c r="FU12" s="506">
        <v>4224</v>
      </c>
      <c r="FV12" s="53">
        <v>1.13215</v>
      </c>
      <c r="FW12" s="507">
        <v>3730.9543788367264</v>
      </c>
      <c r="FX12" s="380">
        <f t="shared" si="29"/>
        <v>-25.214755483668796</v>
      </c>
      <c r="FY12" s="506">
        <v>4224</v>
      </c>
      <c r="FZ12" s="53">
        <v>1.1327499999999999</v>
      </c>
      <c r="GA12" s="507">
        <v>3728.9781505186497</v>
      </c>
      <c r="GB12" s="380">
        <f t="shared" si="30"/>
        <v>-1.9762283180766644</v>
      </c>
      <c r="GC12" s="506">
        <v>4224</v>
      </c>
      <c r="GD12" s="53">
        <v>1.13775</v>
      </c>
      <c r="GE12" s="507">
        <v>3712.5906394199078</v>
      </c>
      <c r="GF12" s="380">
        <f t="shared" si="31"/>
        <v>-16.387511098741925</v>
      </c>
      <c r="GG12" s="506">
        <v>4224</v>
      </c>
      <c r="GH12" s="53">
        <v>1.1352500000000001</v>
      </c>
      <c r="GI12" s="507">
        <v>3720.7663510240031</v>
      </c>
      <c r="GJ12" s="380">
        <f t="shared" si="32"/>
        <v>8.1757116040953406</v>
      </c>
      <c r="GK12" s="506">
        <v>4224</v>
      </c>
      <c r="GL12" s="53">
        <v>1.1318999999999999</v>
      </c>
      <c r="GM12" s="507">
        <v>3731.7784256559771</v>
      </c>
      <c r="GN12" s="380">
        <f t="shared" si="33"/>
        <v>11.012074631973974</v>
      </c>
      <c r="GO12" s="506">
        <v>4224</v>
      </c>
      <c r="GP12" s="53">
        <v>1.1270500000000001</v>
      </c>
      <c r="GQ12" s="507">
        <v>3747.8372743001637</v>
      </c>
      <c r="GR12" s="380">
        <f t="shared" si="34"/>
        <v>16.058848644186583</v>
      </c>
      <c r="GS12" s="506">
        <v>4224</v>
      </c>
      <c r="GT12" s="53">
        <v>1.13385</v>
      </c>
      <c r="GU12" s="507">
        <v>3725.3604974202935</v>
      </c>
      <c r="GV12" s="380">
        <f t="shared" si="35"/>
        <v>-22.476776879870158</v>
      </c>
      <c r="GW12" s="506">
        <v>4224</v>
      </c>
      <c r="GX12" s="53">
        <v>1.1415500000000001</v>
      </c>
      <c r="GY12" s="507">
        <v>3700.2321405107091</v>
      </c>
      <c r="GZ12" s="380">
        <f t="shared" si="36"/>
        <v>-25.128356909584454</v>
      </c>
      <c r="HA12" s="506">
        <v>4224</v>
      </c>
      <c r="HB12" s="53">
        <v>1.1389499999999999</v>
      </c>
      <c r="HC12" s="507">
        <v>3708.6790464901887</v>
      </c>
      <c r="HD12" s="380">
        <f t="shared" si="37"/>
        <v>8.4469059794796522</v>
      </c>
      <c r="HE12" s="506">
        <v>4224</v>
      </c>
      <c r="HF12" s="53">
        <v>1.1379999999999999</v>
      </c>
      <c r="HG12" s="507">
        <v>3711.7750439367314</v>
      </c>
      <c r="HH12" s="380">
        <f t="shared" si="38"/>
        <v>3.0959974465426967</v>
      </c>
      <c r="HI12" s="506">
        <v>4224</v>
      </c>
      <c r="HJ12" s="53">
        <v>1.1426499999999999</v>
      </c>
      <c r="HK12" s="507">
        <v>3696.6700214413863</v>
      </c>
      <c r="HL12" s="380">
        <f t="shared" si="39"/>
        <v>-15.105022495345111</v>
      </c>
      <c r="HM12" s="506">
        <v>3765</v>
      </c>
      <c r="HN12" s="53">
        <v>1.139869</v>
      </c>
      <c r="HO12" s="507">
        <v>3303.011135490131</v>
      </c>
      <c r="HP12" s="380">
        <f t="shared" si="40"/>
        <v>-393.65888595125534</v>
      </c>
      <c r="HQ12" s="506">
        <v>3765</v>
      </c>
      <c r="HR12" s="53">
        <v>1.1428499999999999</v>
      </c>
      <c r="HS12" s="507">
        <v>3294.3955899724374</v>
      </c>
      <c r="HT12" s="380">
        <f t="shared" si="41"/>
        <v>-8.6155455176935902</v>
      </c>
      <c r="HU12" s="506">
        <v>3765</v>
      </c>
      <c r="HV12" s="53">
        <v>1.1433</v>
      </c>
      <c r="HW12" s="507">
        <v>3293.0989241668854</v>
      </c>
      <c r="HX12" s="380">
        <f t="shared" si="42"/>
        <v>-1.2966658055520384</v>
      </c>
      <c r="HY12" s="506">
        <v>3765</v>
      </c>
      <c r="HZ12" s="53">
        <v>1.1509499999999999</v>
      </c>
      <c r="IA12" s="507">
        <v>3271.2107389547768</v>
      </c>
      <c r="IB12" s="380">
        <f t="shared" si="43"/>
        <v>-21.88818521210851</v>
      </c>
      <c r="IC12" s="506">
        <v>3765</v>
      </c>
      <c r="ID12" s="53">
        <v>1.1509499999999999</v>
      </c>
      <c r="IE12" s="507">
        <v>3271.2107389547768</v>
      </c>
      <c r="IF12" s="380">
        <f t="shared" si="44"/>
        <v>0</v>
      </c>
      <c r="IG12" s="506">
        <v>3765</v>
      </c>
      <c r="IH12" s="53">
        <v>1.1509499999999999</v>
      </c>
      <c r="II12" s="507">
        <v>3271.2107389547768</v>
      </c>
      <c r="IJ12" s="380">
        <f t="shared" si="45"/>
        <v>0</v>
      </c>
      <c r="IK12" s="506">
        <v>3765</v>
      </c>
      <c r="IL12" s="53">
        <v>1.1509499999999999</v>
      </c>
      <c r="IM12" s="507">
        <v>3271.2107389547768</v>
      </c>
      <c r="IN12" s="380">
        <f t="shared" si="46"/>
        <v>0</v>
      </c>
      <c r="IO12" s="506">
        <v>3765</v>
      </c>
      <c r="IP12" s="53">
        <v>1.1509499999999999</v>
      </c>
      <c r="IQ12" s="507">
        <v>3271.2107389547768</v>
      </c>
      <c r="IR12" s="380">
        <f t="shared" si="47"/>
        <v>0</v>
      </c>
      <c r="IS12" s="506">
        <v>3765</v>
      </c>
      <c r="IT12" s="53">
        <v>1.1509499999999999</v>
      </c>
      <c r="IU12" s="507">
        <v>3271.2107389547768</v>
      </c>
      <c r="IV12" s="380">
        <f t="shared" si="48"/>
        <v>0</v>
      </c>
      <c r="IW12" s="506">
        <v>3765</v>
      </c>
      <c r="IX12" s="53">
        <v>1.1608000000000001</v>
      </c>
      <c r="IY12" s="507">
        <v>3243.4527911784976</v>
      </c>
      <c r="IZ12" s="380">
        <f t="shared" si="49"/>
        <v>-27.757947776279252</v>
      </c>
    </row>
    <row r="13" spans="1:260">
      <c r="A13" s="13" t="s">
        <v>509</v>
      </c>
      <c r="B13" s="13" t="s">
        <v>510</v>
      </c>
      <c r="C13" s="13" t="s">
        <v>417</v>
      </c>
      <c r="D13" s="13" t="s">
        <v>12</v>
      </c>
      <c r="E13" s="13" t="s">
        <v>4</v>
      </c>
      <c r="F13" s="13" t="s">
        <v>513</v>
      </c>
      <c r="G13" s="13"/>
      <c r="H13" s="49" t="s">
        <v>512</v>
      </c>
      <c r="I13" s="14">
        <f>+'JYSKE - FKB - Colar '!B13</f>
        <v>25254</v>
      </c>
      <c r="J13" s="14">
        <f>+VLOOKUP(E13,'Summary - Colar'!$M$39:$N$54,2,FALSE)</f>
        <v>0.8528</v>
      </c>
      <c r="K13" s="54">
        <f t="shared" si="50"/>
        <v>29613.039399624766</v>
      </c>
      <c r="L13" s="506">
        <v>17800.810000000001</v>
      </c>
      <c r="M13" s="53">
        <v>0.82944999704118039</v>
      </c>
      <c r="N13" s="507">
        <v>21460.980244136681</v>
      </c>
      <c r="O13" s="506">
        <v>17800.810000000001</v>
      </c>
      <c r="P13" s="53">
        <v>0.82985000194803504</v>
      </c>
      <c r="Q13" s="507">
        <v>21450.635606692067</v>
      </c>
      <c r="R13" s="506">
        <v>17800.810000000001</v>
      </c>
      <c r="S13" s="53">
        <v>0.83675000142339673</v>
      </c>
      <c r="T13" s="507">
        <v>21273.749590342413</v>
      </c>
      <c r="U13" s="506">
        <v>25085.05</v>
      </c>
      <c r="V13" s="53">
        <v>0.84450000060846753</v>
      </c>
      <c r="W13" s="507">
        <v>29704.026029515764</v>
      </c>
      <c r="X13" s="506">
        <v>25085.05</v>
      </c>
      <c r="Y13" s="53">
        <v>0.84404999960386917</v>
      </c>
      <c r="Z13" s="507">
        <v>29719.862581331618</v>
      </c>
      <c r="AA13" s="506">
        <v>60285.05</v>
      </c>
      <c r="AB13" s="53">
        <v>0.83594999940504033</v>
      </c>
      <c r="AC13" s="507">
        <v>72115.617014062911</v>
      </c>
      <c r="AD13" s="506">
        <v>60285.05</v>
      </c>
      <c r="AE13" s="53">
        <v>0.83355000042005567</v>
      </c>
      <c r="AF13" s="507">
        <v>72323.255917005823</v>
      </c>
      <c r="AG13" s="506">
        <v>60285</v>
      </c>
      <c r="AH13" s="53">
        <v>0.83210000018059904</v>
      </c>
      <c r="AI13" s="507">
        <v>72449.224837057729</v>
      </c>
      <c r="AJ13" s="506">
        <v>263</v>
      </c>
      <c r="AK13" s="53">
        <v>0.82765000030319136</v>
      </c>
      <c r="AL13" s="507">
        <v>317.76717199740921</v>
      </c>
      <c r="AM13" s="506">
        <v>263</v>
      </c>
      <c r="AN13" s="53">
        <v>0.82594999743944864</v>
      </c>
      <c r="AO13" s="507">
        <v>318.42121292491538</v>
      </c>
      <c r="AP13" s="506">
        <v>263</v>
      </c>
      <c r="AQ13" s="53">
        <v>0.84075000044594062</v>
      </c>
      <c r="AR13" s="507">
        <v>312.81593798454077</v>
      </c>
      <c r="AS13" s="506">
        <v>263</v>
      </c>
      <c r="AT13" s="53">
        <v>0.84175</v>
      </c>
      <c r="AU13" s="507">
        <v>312.44431244431246</v>
      </c>
      <c r="AV13" s="506">
        <v>263</v>
      </c>
      <c r="AW13" s="53">
        <v>0.83715000023255848</v>
      </c>
      <c r="AX13" s="507">
        <v>314.16114188250515</v>
      </c>
      <c r="AY13" s="506">
        <v>263</v>
      </c>
      <c r="AZ13" s="53">
        <v>0.83345000011593484</v>
      </c>
      <c r="BA13" s="507">
        <v>315.55582214099957</v>
      </c>
      <c r="BB13" s="506">
        <v>254</v>
      </c>
      <c r="BC13" s="53">
        <v>0.8352999999595857</v>
      </c>
      <c r="BD13" s="507">
        <v>304.08236563185596</v>
      </c>
      <c r="BE13" s="506">
        <v>254</v>
      </c>
      <c r="BF13" s="53">
        <v>0.83619999978584703</v>
      </c>
      <c r="BG13" s="507">
        <v>303.75508259393695</v>
      </c>
      <c r="BH13" s="380">
        <f t="shared" si="0"/>
        <v>302.91978259397735</v>
      </c>
      <c r="BI13" s="506">
        <v>254</v>
      </c>
      <c r="BJ13" s="53">
        <v>0.83434999986719449</v>
      </c>
      <c r="BK13" s="507">
        <v>304.4285971599806</v>
      </c>
      <c r="BL13" s="380">
        <f t="shared" si="1"/>
        <v>0.67351456604365012</v>
      </c>
      <c r="BM13" s="506">
        <v>254</v>
      </c>
      <c r="BN13" s="53">
        <v>0.84160000070083552</v>
      </c>
      <c r="BO13" s="507">
        <v>301.80608339886356</v>
      </c>
      <c r="BP13">
        <v>0.65404092750617338</v>
      </c>
      <c r="BQ13" s="506">
        <v>254</v>
      </c>
      <c r="BR13" s="53">
        <v>0.84934999973825842</v>
      </c>
      <c r="BS13" s="507">
        <v>299.05221649293509</v>
      </c>
      <c r="BT13" s="380">
        <f t="shared" si="2"/>
        <v>-2.7538669059284757</v>
      </c>
      <c r="BU13" s="506">
        <v>254</v>
      </c>
      <c r="BV13" s="53">
        <v>0.85520000047240285</v>
      </c>
      <c r="BW13" s="507">
        <v>297.00654801180224</v>
      </c>
      <c r="BX13" s="380">
        <f t="shared" si="3"/>
        <v>-2.04566848113285</v>
      </c>
      <c r="BY13" s="506">
        <v>254</v>
      </c>
      <c r="BZ13" s="53">
        <v>0.85570000024121062</v>
      </c>
      <c r="CA13" s="507">
        <v>296.83300213673101</v>
      </c>
      <c r="CB13" s="380">
        <f t="shared" si="4"/>
        <v>-0.17354587507122687</v>
      </c>
      <c r="CC13" s="506">
        <v>254</v>
      </c>
      <c r="CD13" s="53">
        <v>0.86369999964947808</v>
      </c>
      <c r="CE13" s="507">
        <v>294.08359395980403</v>
      </c>
      <c r="CF13" s="380">
        <f t="shared" si="5"/>
        <v>-2.7494081769269769</v>
      </c>
      <c r="CG13" s="506">
        <v>254</v>
      </c>
      <c r="CH13" s="53">
        <v>0.85609999997089647</v>
      </c>
      <c r="CI13" s="507">
        <v>296.69431142230445</v>
      </c>
      <c r="CJ13" s="380">
        <f t="shared" si="6"/>
        <v>2.6107174625004177</v>
      </c>
      <c r="CK13" s="506">
        <v>254</v>
      </c>
      <c r="CL13" s="53">
        <v>0.86570000046334739</v>
      </c>
      <c r="CM13" s="507">
        <v>293.40418143011658</v>
      </c>
      <c r="CN13" s="380">
        <f t="shared" si="7"/>
        <v>-3.2901299921878717</v>
      </c>
      <c r="CO13" s="506">
        <v>254</v>
      </c>
      <c r="CP13" s="53">
        <v>0.86384999950164088</v>
      </c>
      <c r="CQ13" s="507">
        <v>294.0325289651372</v>
      </c>
      <c r="CR13" s="380">
        <f t="shared" si="8"/>
        <v>0.62834753502062313</v>
      </c>
      <c r="CS13" s="506">
        <v>254</v>
      </c>
      <c r="CT13" s="53">
        <v>0.85580000078257989</v>
      </c>
      <c r="CU13" s="507">
        <v>296.79831709246508</v>
      </c>
      <c r="CV13" s="380">
        <f t="shared" si="9"/>
        <v>2.7657881273278804</v>
      </c>
      <c r="CW13" s="506">
        <v>254</v>
      </c>
      <c r="CX13" s="53">
        <v>0.85619999953234882</v>
      </c>
      <c r="CY13" s="507">
        <v>296.65965912022102</v>
      </c>
      <c r="CZ13" s="380">
        <f t="shared" si="10"/>
        <v>-0.13865797224406151</v>
      </c>
      <c r="DA13" s="506">
        <v>254</v>
      </c>
      <c r="DB13" s="53">
        <v>0.85640000044870379</v>
      </c>
      <c r="DC13" s="507">
        <v>296.59037817248804</v>
      </c>
      <c r="DD13" s="380">
        <f t="shared" si="11"/>
        <v>-6.9280947732977438E-2</v>
      </c>
      <c r="DE13" s="506">
        <v>254</v>
      </c>
      <c r="DF13" s="53">
        <v>0.86165000042925399</v>
      </c>
      <c r="DG13" s="507">
        <v>294.78326451977381</v>
      </c>
      <c r="DH13" s="380">
        <f t="shared" si="12"/>
        <v>-1.8071136527142357</v>
      </c>
      <c r="DI13" s="506">
        <v>254</v>
      </c>
      <c r="DJ13" s="53">
        <v>0.85845000052737486</v>
      </c>
      <c r="DK13" s="507">
        <v>295.88211292906891</v>
      </c>
      <c r="DL13" s="380">
        <f t="shared" si="13"/>
        <v>1.0988484092951012</v>
      </c>
      <c r="DM13" s="506">
        <v>254</v>
      </c>
      <c r="DN13" s="53">
        <v>0.85774999952894071</v>
      </c>
      <c r="DO13" s="507">
        <v>296.12357929407375</v>
      </c>
      <c r="DP13" s="380">
        <f t="shared" si="14"/>
        <v>0.24146636500483964</v>
      </c>
      <c r="DQ13" s="506">
        <v>254</v>
      </c>
      <c r="DR13" s="53">
        <v>0.85095000037133195</v>
      </c>
      <c r="DS13" s="507">
        <v>298.48992289695184</v>
      </c>
      <c r="DT13" s="380">
        <f t="shared" si="15"/>
        <v>2.3663436028780893</v>
      </c>
      <c r="DU13" s="506">
        <v>254</v>
      </c>
      <c r="DV13" s="53">
        <v>0.84944999993097159</v>
      </c>
      <c r="DW13" s="507">
        <v>299.01701103142113</v>
      </c>
      <c r="DX13" s="380">
        <f t="shared" si="16"/>
        <v>0.52708813446929526</v>
      </c>
      <c r="DY13" s="506">
        <v>254</v>
      </c>
      <c r="DZ13" s="53">
        <v>0.85345000000000004</v>
      </c>
      <c r="EA13" s="507">
        <v>297.61556037260527</v>
      </c>
      <c r="EB13" s="380">
        <f t="shared" si="17"/>
        <v>-1.4014506588158611</v>
      </c>
      <c r="EC13" s="506">
        <v>254</v>
      </c>
      <c r="ED13" s="53">
        <v>0.85175000000000001</v>
      </c>
      <c r="EE13" s="507">
        <v>298.20956853536836</v>
      </c>
      <c r="EF13" s="380">
        <f t="shared" si="18"/>
        <v>0.59400816276308888</v>
      </c>
      <c r="EG13" s="506">
        <v>254</v>
      </c>
      <c r="EH13" s="53">
        <v>0.84724999999999995</v>
      </c>
      <c r="EI13" s="507">
        <v>299.79344939510185</v>
      </c>
      <c r="EJ13" s="380">
        <f t="shared" si="19"/>
        <v>1.5838808597334832</v>
      </c>
      <c r="EK13" s="506">
        <v>254</v>
      </c>
      <c r="EL13" s="53">
        <v>0.85085</v>
      </c>
      <c r="EM13" s="507">
        <v>298.52500440735736</v>
      </c>
      <c r="EN13" s="380">
        <f t="shared" si="20"/>
        <v>-1.2684449877444877</v>
      </c>
      <c r="EO13" s="506">
        <v>254</v>
      </c>
      <c r="EP13" s="53">
        <v>0.84740000000000004</v>
      </c>
      <c r="EQ13" s="507">
        <v>299.74038234599954</v>
      </c>
      <c r="ER13" s="380">
        <f t="shared" si="21"/>
        <v>1.2153779386421775</v>
      </c>
      <c r="ES13" s="506">
        <v>254</v>
      </c>
      <c r="ET13" s="53">
        <v>0.84755000000000003</v>
      </c>
      <c r="EU13" s="507">
        <v>299.68733408058523</v>
      </c>
      <c r="EV13" s="380">
        <f t="shared" si="22"/>
        <v>-5.3048265414304296E-2</v>
      </c>
      <c r="EW13" s="506">
        <v>254</v>
      </c>
      <c r="EX13" s="53">
        <v>0.84325000000000006</v>
      </c>
      <c r="EY13" s="507">
        <v>301.21553513193004</v>
      </c>
      <c r="EZ13" s="380">
        <f t="shared" si="23"/>
        <v>1.5282010513448085</v>
      </c>
      <c r="FA13" s="506">
        <v>254</v>
      </c>
      <c r="FB13" s="53">
        <v>0.84045000000000003</v>
      </c>
      <c r="FC13" s="507">
        <v>302.21904931881727</v>
      </c>
      <c r="FD13" s="380">
        <f t="shared" si="24"/>
        <v>1.0035141868872302</v>
      </c>
      <c r="FE13" s="506">
        <v>254</v>
      </c>
      <c r="FF13" s="53">
        <v>0.84119999999999995</v>
      </c>
      <c r="FG13" s="507">
        <v>301.94959581550171</v>
      </c>
      <c r="FH13" s="380">
        <f t="shared" si="25"/>
        <v>-0.26945350331556028</v>
      </c>
      <c r="FI13" s="506">
        <v>254</v>
      </c>
      <c r="FJ13" s="53">
        <v>0.84275</v>
      </c>
      <c r="FK13" s="507">
        <v>301.39424503114805</v>
      </c>
      <c r="FL13" s="380">
        <f t="shared" si="26"/>
        <v>-0.55535078435366358</v>
      </c>
      <c r="FM13" s="506">
        <v>254</v>
      </c>
      <c r="FN13" s="53">
        <v>0.84235000000000004</v>
      </c>
      <c r="FO13" s="507">
        <v>301.53736570309252</v>
      </c>
      <c r="FP13" s="380">
        <f t="shared" si="27"/>
        <v>0.14312067194447309</v>
      </c>
      <c r="FQ13" s="506">
        <v>254</v>
      </c>
      <c r="FR13" s="53">
        <v>0.84150000000000003</v>
      </c>
      <c r="FS13" s="507">
        <v>301.84194890077242</v>
      </c>
      <c r="FT13" s="380">
        <f t="shared" si="28"/>
        <v>0.30458319767990361</v>
      </c>
      <c r="FU13" s="506">
        <v>254</v>
      </c>
      <c r="FV13" s="53">
        <v>0.84399999999999997</v>
      </c>
      <c r="FW13" s="507">
        <v>300.94786729857822</v>
      </c>
      <c r="FX13" s="380">
        <f t="shared" si="29"/>
        <v>-0.89408160219420552</v>
      </c>
      <c r="FY13" s="506">
        <v>254</v>
      </c>
      <c r="FZ13" s="53">
        <v>0.83975</v>
      </c>
      <c r="GA13" s="507">
        <v>302.47097350401907</v>
      </c>
      <c r="GB13" s="380">
        <f t="shared" si="30"/>
        <v>1.523106205440854</v>
      </c>
      <c r="GC13" s="506">
        <v>254</v>
      </c>
      <c r="GD13" s="53">
        <v>0.83904999999999996</v>
      </c>
      <c r="GE13" s="507">
        <v>302.72331803825756</v>
      </c>
      <c r="GF13" s="380">
        <f t="shared" si="31"/>
        <v>0.2523445342384889</v>
      </c>
      <c r="GG13" s="506">
        <v>25254</v>
      </c>
      <c r="GH13" s="53">
        <v>0.83779999999999999</v>
      </c>
      <c r="GI13" s="507">
        <v>30143.232275005968</v>
      </c>
      <c r="GJ13" s="380">
        <f t="shared" si="32"/>
        <v>29840.508956967711</v>
      </c>
      <c r="GK13" s="506">
        <v>25254</v>
      </c>
      <c r="GL13" s="53">
        <v>0.8397</v>
      </c>
      <c r="GM13" s="507">
        <v>30075.02679528403</v>
      </c>
      <c r="GN13" s="380">
        <f t="shared" si="33"/>
        <v>-68.2054797219389</v>
      </c>
      <c r="GO13" s="506">
        <v>25254</v>
      </c>
      <c r="GP13" s="53">
        <v>0.83720000000000006</v>
      </c>
      <c r="GQ13" s="507">
        <v>30164.835164835164</v>
      </c>
      <c r="GR13" s="380">
        <f t="shared" si="34"/>
        <v>89.808369551134092</v>
      </c>
      <c r="GS13" s="506">
        <v>25254</v>
      </c>
      <c r="GT13" s="53">
        <v>0.84130000000000005</v>
      </c>
      <c r="GU13" s="507">
        <v>30017.829549506714</v>
      </c>
      <c r="GV13" s="380">
        <f t="shared" si="35"/>
        <v>-147.00561532844949</v>
      </c>
      <c r="GW13" s="506">
        <v>25254</v>
      </c>
      <c r="GX13" s="53">
        <v>0.84325000000000006</v>
      </c>
      <c r="GY13" s="507">
        <v>29948.413874888822</v>
      </c>
      <c r="GZ13" s="380">
        <f t="shared" si="36"/>
        <v>-69.415674617892364</v>
      </c>
      <c r="HA13" s="506">
        <v>25254</v>
      </c>
      <c r="HB13" s="53">
        <v>0.84345000000000003</v>
      </c>
      <c r="HC13" s="507">
        <v>29941.31246665481</v>
      </c>
      <c r="HD13" s="380">
        <f t="shared" si="37"/>
        <v>-7.1014082340116147</v>
      </c>
      <c r="HE13" s="506">
        <v>25254</v>
      </c>
      <c r="HF13" s="53">
        <v>0.84189999999999998</v>
      </c>
      <c r="HG13" s="507">
        <v>29996.436631428911</v>
      </c>
      <c r="HH13" s="380">
        <f t="shared" si="38"/>
        <v>55.124164774100791</v>
      </c>
      <c r="HI13" s="506">
        <v>25254</v>
      </c>
      <c r="HJ13" s="53">
        <v>0.84194999999999998</v>
      </c>
      <c r="HK13" s="507">
        <v>29994.655264564404</v>
      </c>
      <c r="HL13" s="380">
        <f t="shared" si="39"/>
        <v>-1.7813668645067082</v>
      </c>
      <c r="HM13" s="506">
        <v>25254</v>
      </c>
      <c r="HN13" s="53">
        <v>0.84260000000000002</v>
      </c>
      <c r="HO13" s="507">
        <v>29971.516733918823</v>
      </c>
      <c r="HP13" s="380">
        <f t="shared" si="40"/>
        <v>-23.138530645581341</v>
      </c>
      <c r="HQ13" s="506">
        <v>25254</v>
      </c>
      <c r="HR13" s="53">
        <v>0.84609999999999996</v>
      </c>
      <c r="HS13" s="507">
        <v>29847.535752275147</v>
      </c>
      <c r="HT13" s="380">
        <f t="shared" si="41"/>
        <v>-123.98098164367548</v>
      </c>
      <c r="HU13" s="506">
        <v>25254</v>
      </c>
      <c r="HV13" s="53">
        <v>0.84714999999999996</v>
      </c>
      <c r="HW13" s="507">
        <v>29810.541226465208</v>
      </c>
      <c r="HX13" s="380">
        <f t="shared" si="42"/>
        <v>-36.99452580993966</v>
      </c>
      <c r="HY13" s="506">
        <v>25254</v>
      </c>
      <c r="HZ13" s="53">
        <v>0.85004999999999997</v>
      </c>
      <c r="IA13" s="507">
        <v>29708.840656431974</v>
      </c>
      <c r="IB13" s="380">
        <f t="shared" si="43"/>
        <v>-101.70057003323382</v>
      </c>
      <c r="IC13" s="506">
        <v>25254</v>
      </c>
      <c r="ID13" s="53">
        <v>0.85004999999999997</v>
      </c>
      <c r="IE13" s="507">
        <v>29708.840656431974</v>
      </c>
      <c r="IF13" s="380">
        <f t="shared" si="44"/>
        <v>0</v>
      </c>
      <c r="IG13" s="506">
        <v>25254</v>
      </c>
      <c r="IH13" s="53">
        <v>0.85004999999999997</v>
      </c>
      <c r="II13" s="507">
        <v>29708.840656431974</v>
      </c>
      <c r="IJ13" s="380">
        <f t="shared" si="45"/>
        <v>0</v>
      </c>
      <c r="IK13" s="506">
        <v>25254</v>
      </c>
      <c r="IL13" s="53">
        <v>0.85004999999999997</v>
      </c>
      <c r="IM13" s="507">
        <v>29708.840656431974</v>
      </c>
      <c r="IN13" s="380">
        <f t="shared" si="46"/>
        <v>0</v>
      </c>
      <c r="IO13" s="506">
        <v>25254</v>
      </c>
      <c r="IP13" s="53">
        <v>0.85004999999999997</v>
      </c>
      <c r="IQ13" s="507">
        <v>29708.840656431974</v>
      </c>
      <c r="IR13" s="380">
        <f t="shared" si="47"/>
        <v>0</v>
      </c>
      <c r="IS13" s="506">
        <v>25254</v>
      </c>
      <c r="IT13" s="53">
        <v>0.85004999999999997</v>
      </c>
      <c r="IU13" s="507">
        <v>29708.840656431974</v>
      </c>
      <c r="IV13" s="380">
        <f t="shared" si="48"/>
        <v>0</v>
      </c>
      <c r="IW13" s="506">
        <v>25254</v>
      </c>
      <c r="IX13" s="53">
        <v>0.8528</v>
      </c>
      <c r="IY13" s="507">
        <v>29613.039399624766</v>
      </c>
      <c r="IZ13" s="380">
        <f t="shared" si="49"/>
        <v>-95.801256807208119</v>
      </c>
    </row>
    <row r="14" spans="1:260">
      <c r="A14" s="13" t="s">
        <v>509</v>
      </c>
      <c r="B14" s="13" t="s">
        <v>510</v>
      </c>
      <c r="C14" s="13" t="s">
        <v>417</v>
      </c>
      <c r="D14" s="13" t="s">
        <v>12</v>
      </c>
      <c r="E14" s="13" t="s">
        <v>2</v>
      </c>
      <c r="F14" s="13" t="s">
        <v>514</v>
      </c>
      <c r="G14" s="13"/>
      <c r="H14" s="49" t="s">
        <v>512</v>
      </c>
      <c r="I14" s="14">
        <f>+'JYSKE - FKB - Colar '!B12</f>
        <v>97389</v>
      </c>
      <c r="J14" s="14">
        <f>+VLOOKUP(E14,'Summary - Colar'!$M$39:$N$54,2,FALSE)</f>
        <v>1</v>
      </c>
      <c r="K14" s="14">
        <f t="shared" si="50"/>
        <v>97389</v>
      </c>
      <c r="L14" s="506">
        <v>35174.14</v>
      </c>
      <c r="M14" s="53">
        <v>1</v>
      </c>
      <c r="N14" s="507">
        <v>35174.14</v>
      </c>
      <c r="O14" s="506">
        <v>35174.14</v>
      </c>
      <c r="P14" s="53">
        <v>1</v>
      </c>
      <c r="Q14" s="507">
        <v>35174.14</v>
      </c>
      <c r="R14" s="506">
        <v>28935.86</v>
      </c>
      <c r="S14" s="53">
        <v>1</v>
      </c>
      <c r="T14" s="507">
        <v>28935.86</v>
      </c>
      <c r="U14" s="506">
        <v>61368.36</v>
      </c>
      <c r="V14" s="53">
        <v>1</v>
      </c>
      <c r="W14" s="507">
        <v>61368.36</v>
      </c>
      <c r="X14" s="506">
        <v>52495.839999999997</v>
      </c>
      <c r="Y14" s="53">
        <v>1</v>
      </c>
      <c r="Z14" s="507">
        <v>52495.839999999997</v>
      </c>
      <c r="AA14" s="506">
        <v>75051.509999999995</v>
      </c>
      <c r="AB14" s="53">
        <v>1</v>
      </c>
      <c r="AC14" s="507">
        <v>75051.509999999995</v>
      </c>
      <c r="AD14" s="506">
        <v>92030.01</v>
      </c>
      <c r="AE14" s="53">
        <v>1</v>
      </c>
      <c r="AF14" s="507">
        <v>92030.01</v>
      </c>
      <c r="AG14" s="506">
        <v>108490</v>
      </c>
      <c r="AH14" s="53">
        <v>1</v>
      </c>
      <c r="AI14" s="507">
        <v>108490</v>
      </c>
      <c r="AJ14" s="506">
        <v>8463</v>
      </c>
      <c r="AK14" s="53">
        <v>1</v>
      </c>
      <c r="AL14" s="507">
        <v>8463</v>
      </c>
      <c r="AM14" s="506">
        <v>53197</v>
      </c>
      <c r="AN14" s="53">
        <v>1</v>
      </c>
      <c r="AO14" s="507">
        <v>53197</v>
      </c>
      <c r="AP14" s="506">
        <v>54497</v>
      </c>
      <c r="AQ14" s="53">
        <v>1</v>
      </c>
      <c r="AR14" s="507">
        <v>54497</v>
      </c>
      <c r="AS14" s="506">
        <v>54497</v>
      </c>
      <c r="AT14" s="53">
        <v>1</v>
      </c>
      <c r="AU14" s="507">
        <v>54497</v>
      </c>
      <c r="AV14" s="506">
        <v>37497</v>
      </c>
      <c r="AW14" s="53">
        <v>1</v>
      </c>
      <c r="AX14" s="507">
        <v>37497</v>
      </c>
      <c r="AY14" s="506">
        <v>46382</v>
      </c>
      <c r="AZ14" s="53">
        <v>1</v>
      </c>
      <c r="BA14" s="507">
        <v>46382</v>
      </c>
      <c r="BB14" s="506">
        <v>46365</v>
      </c>
      <c r="BC14" s="53">
        <v>1</v>
      </c>
      <c r="BD14" s="507">
        <v>46365</v>
      </c>
      <c r="BE14" s="506">
        <v>51965</v>
      </c>
      <c r="BF14" s="53">
        <v>1</v>
      </c>
      <c r="BG14" s="507">
        <v>51965</v>
      </c>
      <c r="BH14" s="380">
        <f t="shared" si="0"/>
        <v>51964</v>
      </c>
      <c r="BI14" s="506">
        <v>51965</v>
      </c>
      <c r="BJ14" s="53">
        <v>1</v>
      </c>
      <c r="BK14" s="507">
        <v>51965</v>
      </c>
      <c r="BL14" s="380">
        <f t="shared" si="1"/>
        <v>0</v>
      </c>
      <c r="BM14" s="506">
        <v>51965</v>
      </c>
      <c r="BN14" s="53">
        <v>1</v>
      </c>
      <c r="BO14" s="507">
        <v>51965</v>
      </c>
      <c r="BP14">
        <v>44734</v>
      </c>
      <c r="BQ14" s="506">
        <v>51965</v>
      </c>
      <c r="BR14" s="53">
        <v>1</v>
      </c>
      <c r="BS14" s="507">
        <v>51965</v>
      </c>
      <c r="BT14" s="380">
        <f t="shared" si="2"/>
        <v>0</v>
      </c>
      <c r="BU14" s="506">
        <v>51965</v>
      </c>
      <c r="BV14" s="53">
        <v>1</v>
      </c>
      <c r="BW14" s="507">
        <v>51965</v>
      </c>
      <c r="BX14" s="380">
        <f t="shared" si="3"/>
        <v>0</v>
      </c>
      <c r="BY14" s="506">
        <v>51965</v>
      </c>
      <c r="BZ14" s="53">
        <v>1</v>
      </c>
      <c r="CA14" s="507">
        <v>51965</v>
      </c>
      <c r="CB14" s="380">
        <f t="shared" si="4"/>
        <v>0</v>
      </c>
      <c r="CC14" s="506">
        <v>51965</v>
      </c>
      <c r="CD14" s="53">
        <v>1</v>
      </c>
      <c r="CE14" s="507">
        <v>51965</v>
      </c>
      <c r="CF14" s="380">
        <f t="shared" si="5"/>
        <v>0</v>
      </c>
      <c r="CG14" s="506">
        <v>51965</v>
      </c>
      <c r="CH14" s="53">
        <v>1</v>
      </c>
      <c r="CI14" s="507">
        <v>51965</v>
      </c>
      <c r="CJ14" s="380">
        <f t="shared" si="6"/>
        <v>0</v>
      </c>
      <c r="CK14" s="506">
        <v>51965</v>
      </c>
      <c r="CL14" s="53">
        <v>1</v>
      </c>
      <c r="CM14" s="507">
        <v>51965</v>
      </c>
      <c r="CN14" s="380">
        <f t="shared" si="7"/>
        <v>0</v>
      </c>
      <c r="CO14" s="506">
        <v>51965</v>
      </c>
      <c r="CP14" s="53">
        <v>1</v>
      </c>
      <c r="CQ14" s="507">
        <v>51965</v>
      </c>
      <c r="CR14" s="380">
        <f t="shared" si="8"/>
        <v>0</v>
      </c>
      <c r="CS14" s="506">
        <v>51965</v>
      </c>
      <c r="CT14" s="53">
        <v>1</v>
      </c>
      <c r="CU14" s="507">
        <v>51965</v>
      </c>
      <c r="CV14" s="380">
        <f t="shared" si="9"/>
        <v>0</v>
      </c>
      <c r="CW14" s="506">
        <v>79965.97</v>
      </c>
      <c r="CX14" s="53">
        <v>1</v>
      </c>
      <c r="CY14" s="507">
        <v>79965.97</v>
      </c>
      <c r="CZ14" s="380">
        <f t="shared" si="10"/>
        <v>28000.97</v>
      </c>
      <c r="DA14" s="506">
        <v>79965.97</v>
      </c>
      <c r="DB14" s="53">
        <v>1</v>
      </c>
      <c r="DC14" s="507">
        <v>79965.97</v>
      </c>
      <c r="DD14" s="380">
        <f t="shared" si="11"/>
        <v>0</v>
      </c>
      <c r="DE14" s="506">
        <v>79965.97</v>
      </c>
      <c r="DF14" s="53">
        <v>1</v>
      </c>
      <c r="DG14" s="507">
        <v>79965.97</v>
      </c>
      <c r="DH14" s="380">
        <f t="shared" si="12"/>
        <v>0</v>
      </c>
      <c r="DI14" s="506">
        <v>79965.97</v>
      </c>
      <c r="DJ14" s="53">
        <v>1</v>
      </c>
      <c r="DK14" s="507">
        <v>79965.97</v>
      </c>
      <c r="DL14" s="380">
        <f t="shared" si="13"/>
        <v>0</v>
      </c>
      <c r="DM14" s="506">
        <v>79965.97</v>
      </c>
      <c r="DN14" s="53">
        <v>1</v>
      </c>
      <c r="DO14" s="507">
        <v>79965.97</v>
      </c>
      <c r="DP14" s="380">
        <f t="shared" si="14"/>
        <v>0</v>
      </c>
      <c r="DQ14" s="506">
        <v>79965.97</v>
      </c>
      <c r="DR14" s="53">
        <v>1</v>
      </c>
      <c r="DS14" s="507">
        <v>79965.97</v>
      </c>
      <c r="DT14" s="380">
        <f t="shared" si="15"/>
        <v>0</v>
      </c>
      <c r="DU14" s="506">
        <v>79965</v>
      </c>
      <c r="DV14" s="53">
        <v>1</v>
      </c>
      <c r="DW14" s="507">
        <v>79965</v>
      </c>
      <c r="DX14" s="380">
        <f t="shared" si="16"/>
        <v>-0.97000000000116415</v>
      </c>
      <c r="DY14" s="506">
        <v>79965</v>
      </c>
      <c r="DZ14" s="53">
        <v>1</v>
      </c>
      <c r="EA14" s="507">
        <v>79965</v>
      </c>
      <c r="EB14" s="380">
        <f t="shared" si="17"/>
        <v>0</v>
      </c>
      <c r="EC14" s="506">
        <v>79965</v>
      </c>
      <c r="ED14" s="53">
        <v>1</v>
      </c>
      <c r="EE14" s="507">
        <v>79965</v>
      </c>
      <c r="EF14" s="380">
        <f t="shared" si="18"/>
        <v>0</v>
      </c>
      <c r="EG14" s="506">
        <v>79965</v>
      </c>
      <c r="EH14" s="53">
        <v>1</v>
      </c>
      <c r="EI14" s="507">
        <v>79965</v>
      </c>
      <c r="EJ14" s="380">
        <f t="shared" si="19"/>
        <v>0</v>
      </c>
      <c r="EK14" s="506">
        <v>79965</v>
      </c>
      <c r="EL14" s="53">
        <v>1</v>
      </c>
      <c r="EM14" s="507">
        <v>79965</v>
      </c>
      <c r="EN14" s="380">
        <f t="shared" si="20"/>
        <v>0</v>
      </c>
      <c r="EO14" s="506">
        <v>79965</v>
      </c>
      <c r="EP14" s="53">
        <v>1</v>
      </c>
      <c r="EQ14" s="507">
        <v>79965</v>
      </c>
      <c r="ER14" s="380">
        <f t="shared" si="21"/>
        <v>0</v>
      </c>
      <c r="ES14" s="506">
        <v>79965</v>
      </c>
      <c r="ET14" s="53">
        <v>1</v>
      </c>
      <c r="EU14" s="507">
        <v>79965</v>
      </c>
      <c r="EV14" s="380">
        <f t="shared" si="22"/>
        <v>0</v>
      </c>
      <c r="EW14" s="506">
        <v>79965</v>
      </c>
      <c r="EX14" s="53">
        <v>1</v>
      </c>
      <c r="EY14" s="507">
        <v>79965</v>
      </c>
      <c r="EZ14" s="380">
        <f t="shared" si="23"/>
        <v>0</v>
      </c>
      <c r="FA14" s="506">
        <v>79965</v>
      </c>
      <c r="FB14" s="53">
        <v>1</v>
      </c>
      <c r="FC14" s="507">
        <v>79965</v>
      </c>
      <c r="FD14" s="380">
        <f t="shared" si="24"/>
        <v>0</v>
      </c>
      <c r="FE14" s="506">
        <v>79965</v>
      </c>
      <c r="FF14" s="53">
        <v>1</v>
      </c>
      <c r="FG14" s="507">
        <v>79965</v>
      </c>
      <c r="FH14" s="380">
        <f t="shared" si="25"/>
        <v>0</v>
      </c>
      <c r="FI14" s="506">
        <v>79965</v>
      </c>
      <c r="FJ14" s="53">
        <v>1</v>
      </c>
      <c r="FK14" s="507">
        <v>79965</v>
      </c>
      <c r="FL14" s="380">
        <f t="shared" si="26"/>
        <v>0</v>
      </c>
      <c r="FM14" s="506">
        <v>79585</v>
      </c>
      <c r="FN14" s="53">
        <v>1</v>
      </c>
      <c r="FO14" s="507">
        <v>79585</v>
      </c>
      <c r="FP14" s="380">
        <f t="shared" si="27"/>
        <v>-380</v>
      </c>
      <c r="FQ14" s="506">
        <v>91260</v>
      </c>
      <c r="FR14" s="53">
        <v>1</v>
      </c>
      <c r="FS14" s="507">
        <v>91260</v>
      </c>
      <c r="FT14" s="380">
        <f t="shared" si="28"/>
        <v>11675</v>
      </c>
      <c r="FU14" s="506">
        <v>91260</v>
      </c>
      <c r="FV14" s="53">
        <v>1</v>
      </c>
      <c r="FW14" s="507">
        <v>91260</v>
      </c>
      <c r="FX14" s="380">
        <f t="shared" si="29"/>
        <v>0</v>
      </c>
      <c r="FY14" s="506">
        <v>91260</v>
      </c>
      <c r="FZ14" s="53">
        <v>1</v>
      </c>
      <c r="GA14" s="507">
        <v>91260</v>
      </c>
      <c r="GB14" s="380">
        <f t="shared" si="30"/>
        <v>0</v>
      </c>
      <c r="GC14" s="506">
        <v>65978</v>
      </c>
      <c r="GD14" s="53">
        <v>1</v>
      </c>
      <c r="GE14" s="507">
        <v>65978</v>
      </c>
      <c r="GF14" s="380">
        <f t="shared" si="31"/>
        <v>-25282</v>
      </c>
      <c r="GG14" s="506">
        <v>65978</v>
      </c>
      <c r="GH14" s="53">
        <v>1</v>
      </c>
      <c r="GI14" s="507">
        <v>65978</v>
      </c>
      <c r="GJ14" s="380">
        <f t="shared" si="32"/>
        <v>0</v>
      </c>
      <c r="GK14" s="506">
        <v>68478</v>
      </c>
      <c r="GL14" s="53">
        <v>1</v>
      </c>
      <c r="GM14" s="507">
        <v>68478</v>
      </c>
      <c r="GN14" s="380">
        <f t="shared" si="33"/>
        <v>2500</v>
      </c>
      <c r="GO14" s="506">
        <v>68478</v>
      </c>
      <c r="GP14" s="53">
        <v>1</v>
      </c>
      <c r="GQ14" s="507">
        <v>68478</v>
      </c>
      <c r="GR14" s="380">
        <f t="shared" si="34"/>
        <v>0</v>
      </c>
      <c r="GS14" s="506">
        <v>68478</v>
      </c>
      <c r="GT14" s="53">
        <v>1</v>
      </c>
      <c r="GU14" s="507">
        <v>68478</v>
      </c>
      <c r="GV14" s="380">
        <f t="shared" si="35"/>
        <v>0</v>
      </c>
      <c r="GW14" s="506">
        <v>68478</v>
      </c>
      <c r="GX14" s="53">
        <v>1</v>
      </c>
      <c r="GY14" s="507">
        <v>68478</v>
      </c>
      <c r="GZ14" s="380">
        <f t="shared" si="36"/>
        <v>0</v>
      </c>
      <c r="HA14" s="506">
        <v>68478</v>
      </c>
      <c r="HB14" s="53">
        <v>1</v>
      </c>
      <c r="HC14" s="507">
        <v>68478</v>
      </c>
      <c r="HD14" s="380">
        <f t="shared" si="37"/>
        <v>0</v>
      </c>
      <c r="HE14" s="506">
        <v>68478</v>
      </c>
      <c r="HF14" s="53">
        <v>1</v>
      </c>
      <c r="HG14" s="507">
        <v>68478</v>
      </c>
      <c r="HH14" s="380">
        <f t="shared" si="38"/>
        <v>0</v>
      </c>
      <c r="HI14" s="506">
        <v>68478</v>
      </c>
      <c r="HJ14" s="53">
        <v>1</v>
      </c>
      <c r="HK14" s="507">
        <v>68478</v>
      </c>
      <c r="HL14" s="380">
        <f t="shared" si="39"/>
        <v>0</v>
      </c>
      <c r="HM14" s="506">
        <v>68478</v>
      </c>
      <c r="HN14" s="53">
        <v>1</v>
      </c>
      <c r="HO14" s="507">
        <v>68478</v>
      </c>
      <c r="HP14" s="380">
        <f t="shared" si="40"/>
        <v>0</v>
      </c>
      <c r="HQ14" s="506">
        <v>68478</v>
      </c>
      <c r="HR14" s="53">
        <v>1</v>
      </c>
      <c r="HS14" s="507">
        <v>68478</v>
      </c>
      <c r="HT14" s="380">
        <f t="shared" si="41"/>
        <v>0</v>
      </c>
      <c r="HU14" s="506">
        <v>68478</v>
      </c>
      <c r="HV14" s="53">
        <v>1</v>
      </c>
      <c r="HW14" s="507">
        <v>68478</v>
      </c>
      <c r="HX14" s="380">
        <f t="shared" si="42"/>
        <v>0</v>
      </c>
      <c r="HY14" s="506">
        <v>68478</v>
      </c>
      <c r="HZ14" s="53">
        <v>1</v>
      </c>
      <c r="IA14" s="507">
        <v>68478</v>
      </c>
      <c r="IB14" s="380">
        <f t="shared" si="43"/>
        <v>0</v>
      </c>
      <c r="IC14" s="506">
        <v>68389</v>
      </c>
      <c r="ID14" s="53">
        <v>1</v>
      </c>
      <c r="IE14" s="507">
        <v>68389</v>
      </c>
      <c r="IF14" s="380">
        <f t="shared" si="44"/>
        <v>-89</v>
      </c>
      <c r="IG14" s="506">
        <v>68389</v>
      </c>
      <c r="IH14" s="53">
        <v>1</v>
      </c>
      <c r="II14" s="507">
        <v>68389</v>
      </c>
      <c r="IJ14" s="380">
        <f t="shared" si="45"/>
        <v>0</v>
      </c>
      <c r="IK14" s="506">
        <v>68389</v>
      </c>
      <c r="IL14" s="53">
        <v>1</v>
      </c>
      <c r="IM14" s="507">
        <v>68389</v>
      </c>
      <c r="IN14" s="380">
        <f t="shared" si="46"/>
        <v>0</v>
      </c>
      <c r="IO14" s="506">
        <v>68389</v>
      </c>
      <c r="IP14" s="53">
        <v>1</v>
      </c>
      <c r="IQ14" s="507">
        <v>68389</v>
      </c>
      <c r="IR14" s="380">
        <f t="shared" si="47"/>
        <v>0</v>
      </c>
      <c r="IS14" s="506">
        <v>68389</v>
      </c>
      <c r="IT14" s="53">
        <v>1</v>
      </c>
      <c r="IU14" s="507">
        <v>68389</v>
      </c>
      <c r="IV14" s="380">
        <f t="shared" si="48"/>
        <v>0</v>
      </c>
      <c r="IW14" s="506">
        <v>97389</v>
      </c>
      <c r="IX14" s="53">
        <v>1</v>
      </c>
      <c r="IY14" s="507">
        <v>97389</v>
      </c>
      <c r="IZ14" s="380">
        <f t="shared" si="49"/>
        <v>29000</v>
      </c>
    </row>
    <row r="15" spans="1:260">
      <c r="A15" s="13" t="s">
        <v>509</v>
      </c>
      <c r="B15" s="13" t="s">
        <v>510</v>
      </c>
      <c r="C15" s="13" t="s">
        <v>417</v>
      </c>
      <c r="D15" s="13" t="s">
        <v>12</v>
      </c>
      <c r="E15" s="13" t="s">
        <v>9</v>
      </c>
      <c r="F15" s="13" t="s">
        <v>515</v>
      </c>
      <c r="G15" s="13"/>
      <c r="H15" s="49" t="s">
        <v>512</v>
      </c>
      <c r="I15" s="14">
        <f>+'JYSKE - FKB - Colar '!B11</f>
        <v>217583</v>
      </c>
      <c r="J15" s="14">
        <f>+VLOOKUP(E15,'Summary - Colar'!$M$39:$N$54,2,FALSE)</f>
        <v>0.93874999999999997</v>
      </c>
      <c r="K15" s="14">
        <f t="shared" si="50"/>
        <v>231779.49400798936</v>
      </c>
      <c r="L15" s="506">
        <v>103998.95</v>
      </c>
      <c r="M15" s="53">
        <v>0.9412499680306784</v>
      </c>
      <c r="N15" s="507">
        <v>110490.25607681119</v>
      </c>
      <c r="O15" s="506">
        <v>103998.95</v>
      </c>
      <c r="P15" s="53">
        <v>0.93609996904458936</v>
      </c>
      <c r="Q15" s="507">
        <v>111098.12353283627</v>
      </c>
      <c r="R15" s="506">
        <v>147367.34</v>
      </c>
      <c r="S15" s="53">
        <v>0.94154998249985755</v>
      </c>
      <c r="T15" s="507">
        <v>156515.68449795208</v>
      </c>
      <c r="U15" s="506">
        <v>153139.70000000001</v>
      </c>
      <c r="V15" s="53">
        <v>0.93950001246199755</v>
      </c>
      <c r="W15" s="507">
        <v>163001.27511301599</v>
      </c>
      <c r="X15" s="506">
        <v>168260.48000000001</v>
      </c>
      <c r="Y15" s="53">
        <v>0.94989998646757867</v>
      </c>
      <c r="Z15" s="507">
        <v>177134.94304354637</v>
      </c>
      <c r="AA15" s="506">
        <v>204794.21</v>
      </c>
      <c r="AB15" s="53">
        <v>0.9447499727906381</v>
      </c>
      <c r="AC15" s="507">
        <v>216770.80275014049</v>
      </c>
      <c r="AD15" s="506">
        <v>220664.48</v>
      </c>
      <c r="AE15" s="53">
        <v>0.94145002196641914</v>
      </c>
      <c r="AF15" s="507">
        <v>234387.88555030801</v>
      </c>
      <c r="AG15" s="506">
        <v>299558.03999999998</v>
      </c>
      <c r="AH15" s="53">
        <v>0.94385003315614324</v>
      </c>
      <c r="AI15" s="507">
        <v>317378.85201773723</v>
      </c>
      <c r="AJ15" s="506">
        <v>29359</v>
      </c>
      <c r="AK15" s="53">
        <v>0.94149999957989661</v>
      </c>
      <c r="AL15" s="507">
        <v>31183.21828263428</v>
      </c>
      <c r="AM15" s="506">
        <v>45603</v>
      </c>
      <c r="AN15" s="53">
        <v>0.93840005930338399</v>
      </c>
      <c r="AO15" s="507">
        <v>48596.544243457458</v>
      </c>
      <c r="AP15" s="506">
        <v>53459</v>
      </c>
      <c r="AQ15" s="53">
        <v>0.95524993903103506</v>
      </c>
      <c r="AR15" s="507">
        <v>55963.36394873423</v>
      </c>
      <c r="AS15" s="506">
        <v>83554</v>
      </c>
      <c r="AT15" s="53">
        <v>0.96445000000000003</v>
      </c>
      <c r="AU15" s="507">
        <v>86633.832754419622</v>
      </c>
      <c r="AV15" s="506">
        <v>72573</v>
      </c>
      <c r="AW15" s="53">
        <v>0.95460004628670969</v>
      </c>
      <c r="AX15" s="507">
        <v>76024.509198696425</v>
      </c>
      <c r="AY15" s="506">
        <v>6910.36</v>
      </c>
      <c r="AZ15" s="53">
        <v>0.95169988960021024</v>
      </c>
      <c r="BA15" s="507">
        <v>7261.0705071142766</v>
      </c>
      <c r="BB15" s="506">
        <v>6691</v>
      </c>
      <c r="BC15" s="53">
        <v>0.95369987765870579</v>
      </c>
      <c r="BD15" s="507">
        <v>7015.8339711924173</v>
      </c>
      <c r="BE15" s="506">
        <v>6691</v>
      </c>
      <c r="BF15" s="53">
        <v>0.95165006798770702</v>
      </c>
      <c r="BG15" s="507">
        <v>7030.9457489435408</v>
      </c>
      <c r="BH15" s="380">
        <f t="shared" si="0"/>
        <v>7029.9920490658824</v>
      </c>
      <c r="BI15" s="506">
        <v>6691</v>
      </c>
      <c r="BJ15" s="53">
        <v>0.95419996244501371</v>
      </c>
      <c r="BK15" s="507">
        <v>7012.1570565305619</v>
      </c>
      <c r="BL15" s="380">
        <f t="shared" si="1"/>
        <v>-18.788692412978889</v>
      </c>
      <c r="BM15" s="506">
        <v>6691</v>
      </c>
      <c r="BN15" s="53">
        <v>0.95360009958744285</v>
      </c>
      <c r="BO15" s="507">
        <v>7016.5680591840701</v>
      </c>
      <c r="BP15">
        <v>17413.325960823178</v>
      </c>
      <c r="BQ15" s="506">
        <v>7762</v>
      </c>
      <c r="BR15" s="53">
        <v>0.94094993650071412</v>
      </c>
      <c r="BS15" s="507">
        <v>8249.1104987646795</v>
      </c>
      <c r="BT15" s="380">
        <f t="shared" si="2"/>
        <v>1232.5424395806094</v>
      </c>
      <c r="BU15" s="506">
        <v>7762</v>
      </c>
      <c r="BV15" s="53">
        <v>0.93814995922633604</v>
      </c>
      <c r="BW15" s="507">
        <v>8273.7305733095036</v>
      </c>
      <c r="BX15" s="380">
        <f t="shared" si="3"/>
        <v>24.620074544824092</v>
      </c>
      <c r="BY15" s="506">
        <v>7762</v>
      </c>
      <c r="BZ15" s="53">
        <v>0.93449988490420532</v>
      </c>
      <c r="CA15" s="507">
        <v>8306.0470369085979</v>
      </c>
      <c r="CB15" s="380">
        <f t="shared" si="4"/>
        <v>32.316463599094277</v>
      </c>
      <c r="CC15" s="506">
        <v>7762</v>
      </c>
      <c r="CD15" s="53">
        <v>0.9272498819158187</v>
      </c>
      <c r="CE15" s="507">
        <v>8370.9905510720582</v>
      </c>
      <c r="CF15" s="380">
        <f t="shared" si="5"/>
        <v>64.94351416346035</v>
      </c>
      <c r="CG15" s="506">
        <v>142004</v>
      </c>
      <c r="CH15" s="53">
        <v>0.9297500076516424</v>
      </c>
      <c r="CI15" s="507">
        <v>152733.52926199263</v>
      </c>
      <c r="CJ15" s="380">
        <f t="shared" si="6"/>
        <v>144362.53871092058</v>
      </c>
      <c r="CK15" s="506">
        <v>142004</v>
      </c>
      <c r="CL15" s="53">
        <v>0.92415005289795293</v>
      </c>
      <c r="CM15" s="507">
        <v>153659.02923957355</v>
      </c>
      <c r="CN15" s="380">
        <f t="shared" si="7"/>
        <v>925.49997758091195</v>
      </c>
      <c r="CO15" s="506">
        <v>137278</v>
      </c>
      <c r="CP15" s="53">
        <v>0.93365011536207365</v>
      </c>
      <c r="CQ15" s="507">
        <v>147033.66683220831</v>
      </c>
      <c r="CR15" s="380">
        <f t="shared" si="8"/>
        <v>-6625.3624073652318</v>
      </c>
      <c r="CS15" s="506">
        <v>137278</v>
      </c>
      <c r="CT15" s="53">
        <v>0.92355009685546685</v>
      </c>
      <c r="CU15" s="507">
        <v>148641.63889691373</v>
      </c>
      <c r="CV15" s="380">
        <f t="shared" si="9"/>
        <v>1607.9720647054201</v>
      </c>
      <c r="CW15" s="506">
        <v>138290.35999999999</v>
      </c>
      <c r="CX15" s="53">
        <v>0.92679992635648722</v>
      </c>
      <c r="CY15" s="507">
        <v>149212.74383745209</v>
      </c>
      <c r="CZ15" s="380">
        <f t="shared" si="10"/>
        <v>571.10494053835282</v>
      </c>
      <c r="DA15" s="506">
        <v>184884</v>
      </c>
      <c r="DB15" s="53">
        <v>0.93120011077831821</v>
      </c>
      <c r="DC15" s="507">
        <v>198543.79081363053</v>
      </c>
      <c r="DD15" s="380">
        <f t="shared" si="11"/>
        <v>49331.046976178448</v>
      </c>
      <c r="DE15" s="506">
        <v>184884</v>
      </c>
      <c r="DF15" s="53">
        <v>0.92994998180364785</v>
      </c>
      <c r="DG15" s="507">
        <v>198810.69263684002</v>
      </c>
      <c r="DH15" s="380">
        <f t="shared" si="12"/>
        <v>266.90182320948225</v>
      </c>
      <c r="DI15" s="506">
        <v>187835.79</v>
      </c>
      <c r="DJ15" s="53">
        <v>0.93195002815326489</v>
      </c>
      <c r="DK15" s="507">
        <v>201551.35396284281</v>
      </c>
      <c r="DL15" s="380">
        <f t="shared" si="13"/>
        <v>2740.6613260027952</v>
      </c>
      <c r="DM15" s="506">
        <v>174627</v>
      </c>
      <c r="DN15" s="53">
        <v>0.93824987665418513</v>
      </c>
      <c r="DO15" s="507">
        <v>186119.92854475274</v>
      </c>
      <c r="DP15" s="380">
        <f t="shared" si="14"/>
        <v>-15431.425418090075</v>
      </c>
      <c r="DQ15" s="506">
        <v>206997</v>
      </c>
      <c r="DR15" s="53">
        <v>0.94195000839359433</v>
      </c>
      <c r="DS15" s="507">
        <v>219753.70046762205</v>
      </c>
      <c r="DT15" s="380">
        <f t="shared" si="15"/>
        <v>33633.771922869317</v>
      </c>
      <c r="DU15" s="506">
        <v>232843</v>
      </c>
      <c r="DV15" s="53">
        <v>0.9373000236467175</v>
      </c>
      <c r="DW15" s="507">
        <v>248418.85642346044</v>
      </c>
      <c r="DX15" s="380">
        <f t="shared" si="16"/>
        <v>28665.155955838389</v>
      </c>
      <c r="DY15" s="506">
        <v>232843</v>
      </c>
      <c r="DZ15" s="53">
        <v>0.93435000000000001</v>
      </c>
      <c r="EA15" s="507">
        <v>249203.18938299353</v>
      </c>
      <c r="EB15" s="380">
        <f t="shared" si="17"/>
        <v>784.33295953308698</v>
      </c>
      <c r="EC15" s="506">
        <v>232843</v>
      </c>
      <c r="ED15" s="53">
        <v>0.93379999999999996</v>
      </c>
      <c r="EE15" s="507">
        <v>249349.96787320627</v>
      </c>
      <c r="EF15" s="380">
        <f t="shared" si="18"/>
        <v>146.77849021274596</v>
      </c>
      <c r="EG15" s="506">
        <v>231147.92</v>
      </c>
      <c r="EH15" s="53">
        <v>0.93425000000000002</v>
      </c>
      <c r="EI15" s="507">
        <v>247415.48835964678</v>
      </c>
      <c r="EJ15" s="380">
        <f t="shared" si="19"/>
        <v>-1934.4795135594904</v>
      </c>
      <c r="EK15" s="506">
        <v>246009.69</v>
      </c>
      <c r="EL15" s="53">
        <v>0.93684999999999996</v>
      </c>
      <c r="EM15" s="507">
        <v>262592.4000640444</v>
      </c>
      <c r="EN15" s="380">
        <f t="shared" si="20"/>
        <v>15176.911704397615</v>
      </c>
      <c r="EO15" s="506">
        <v>252495</v>
      </c>
      <c r="EP15" s="53">
        <v>0.93189999999999995</v>
      </c>
      <c r="EQ15" s="507">
        <v>270946.45348213328</v>
      </c>
      <c r="ER15" s="380">
        <f t="shared" si="21"/>
        <v>8354.053418088879</v>
      </c>
      <c r="ES15" s="506">
        <v>252495</v>
      </c>
      <c r="ET15" s="53">
        <v>0.93494999999999995</v>
      </c>
      <c r="EU15" s="507">
        <v>270062.57019091933</v>
      </c>
      <c r="EV15" s="380">
        <f t="shared" si="22"/>
        <v>-883.88329121394781</v>
      </c>
      <c r="EW15" s="506">
        <v>252495</v>
      </c>
      <c r="EX15" s="53">
        <v>0.93610000000000004</v>
      </c>
      <c r="EY15" s="507">
        <v>269730.79799166752</v>
      </c>
      <c r="EZ15" s="380">
        <f t="shared" si="23"/>
        <v>-331.77219925180543</v>
      </c>
      <c r="FA15" s="506">
        <v>252495</v>
      </c>
      <c r="FB15" s="53">
        <v>0.93505000000000005</v>
      </c>
      <c r="FC15" s="507">
        <v>270033.68803807284</v>
      </c>
      <c r="FD15" s="380">
        <f t="shared" si="24"/>
        <v>302.89004640531493</v>
      </c>
      <c r="FE15" s="506">
        <v>252495</v>
      </c>
      <c r="FF15" s="53">
        <v>0.93874999999999997</v>
      </c>
      <c r="FG15" s="507">
        <v>268969.37416777632</v>
      </c>
      <c r="FH15" s="380">
        <f t="shared" si="25"/>
        <v>-1064.3138702965225</v>
      </c>
      <c r="FI15" s="506">
        <v>255744</v>
      </c>
      <c r="FJ15" s="53">
        <v>0.93815000000000004</v>
      </c>
      <c r="FK15" s="507">
        <v>272604.59414805734</v>
      </c>
      <c r="FL15" s="380">
        <f t="shared" si="26"/>
        <v>3635.219980281021</v>
      </c>
      <c r="FM15" s="506">
        <v>255744</v>
      </c>
      <c r="FN15" s="53">
        <v>0.9395</v>
      </c>
      <c r="FO15" s="507">
        <v>272212.8791910591</v>
      </c>
      <c r="FP15" s="380">
        <f t="shared" si="27"/>
        <v>-391.714956998243</v>
      </c>
      <c r="FQ15" s="506">
        <v>255744</v>
      </c>
      <c r="FR15" s="53">
        <v>0.93674999999999997</v>
      </c>
      <c r="FS15" s="507">
        <v>273012.00960768614</v>
      </c>
      <c r="FT15" s="380">
        <f t="shared" si="28"/>
        <v>799.130416627042</v>
      </c>
      <c r="FU15" s="506">
        <v>265606.32</v>
      </c>
      <c r="FV15" s="53">
        <v>0.93479999999999996</v>
      </c>
      <c r="FW15" s="507">
        <v>284131.70731707319</v>
      </c>
      <c r="FX15" s="380">
        <f t="shared" si="29"/>
        <v>11119.697709387052</v>
      </c>
      <c r="FY15" s="506">
        <v>251237</v>
      </c>
      <c r="FZ15" s="53">
        <v>0.93189999999999995</v>
      </c>
      <c r="GA15" s="507">
        <v>269596.52323210647</v>
      </c>
      <c r="GB15" s="380">
        <f t="shared" si="30"/>
        <v>-14535.184084966721</v>
      </c>
      <c r="GC15" s="506">
        <v>251150</v>
      </c>
      <c r="GD15" s="53">
        <v>0.93559999999999999</v>
      </c>
      <c r="GE15" s="507">
        <v>268437.36639589566</v>
      </c>
      <c r="GF15" s="380">
        <f t="shared" si="31"/>
        <v>-1159.1568362108083</v>
      </c>
      <c r="GG15" s="506">
        <v>251150</v>
      </c>
      <c r="GH15" s="53">
        <v>0.93830000000000002</v>
      </c>
      <c r="GI15" s="507">
        <v>267664.92592987319</v>
      </c>
      <c r="GJ15" s="380">
        <f t="shared" si="32"/>
        <v>-772.44046602246817</v>
      </c>
      <c r="GK15" s="506">
        <v>251150</v>
      </c>
      <c r="GL15" s="53">
        <v>0.93625000000000003</v>
      </c>
      <c r="GM15" s="507">
        <v>268251.00133511348</v>
      </c>
      <c r="GN15" s="380">
        <f t="shared" si="33"/>
        <v>586.07540524029173</v>
      </c>
      <c r="GO15" s="506">
        <v>251150</v>
      </c>
      <c r="GP15" s="53">
        <v>0.93384999999999996</v>
      </c>
      <c r="GQ15" s="507">
        <v>268940.40798843501</v>
      </c>
      <c r="GR15" s="380">
        <f t="shared" si="34"/>
        <v>689.40665332152275</v>
      </c>
      <c r="GS15" s="506">
        <v>251150</v>
      </c>
      <c r="GT15" s="53">
        <v>0.93435000000000001</v>
      </c>
      <c r="GU15" s="507">
        <v>268796.48953818163</v>
      </c>
      <c r="GV15" s="380">
        <f t="shared" si="35"/>
        <v>-143.91845025337534</v>
      </c>
      <c r="GW15" s="506">
        <v>251150</v>
      </c>
      <c r="GX15" s="53">
        <v>0.93384999999999996</v>
      </c>
      <c r="GY15" s="507">
        <v>268940.40798843501</v>
      </c>
      <c r="GZ15" s="380">
        <f t="shared" si="36"/>
        <v>143.91845025337534</v>
      </c>
      <c r="HA15" s="506">
        <v>255841</v>
      </c>
      <c r="HB15" s="53">
        <v>0.93540000000000001</v>
      </c>
      <c r="HC15" s="507">
        <v>273509.7284584135</v>
      </c>
      <c r="HD15" s="380">
        <f t="shared" si="37"/>
        <v>4569.3204699784983</v>
      </c>
      <c r="HE15" s="506">
        <v>255841</v>
      </c>
      <c r="HF15" s="53">
        <v>0.93725000000000003</v>
      </c>
      <c r="HG15" s="507">
        <v>272969.85862896772</v>
      </c>
      <c r="HH15" s="380">
        <f t="shared" si="38"/>
        <v>-539.86982944578631</v>
      </c>
      <c r="HI15" s="506">
        <v>255841</v>
      </c>
      <c r="HJ15" s="53">
        <v>0.93635000000000002</v>
      </c>
      <c r="HK15" s="507">
        <v>273232.23153735249</v>
      </c>
      <c r="HL15" s="380">
        <f t="shared" si="39"/>
        <v>262.37290838477202</v>
      </c>
      <c r="HM15" s="506">
        <v>254077</v>
      </c>
      <c r="HN15" s="53">
        <v>0.93884999999999996</v>
      </c>
      <c r="HO15" s="507">
        <v>270625.76556425414</v>
      </c>
      <c r="HP15" s="380">
        <f t="shared" si="40"/>
        <v>-2606.4659730983549</v>
      </c>
      <c r="HQ15" s="506">
        <v>254077</v>
      </c>
      <c r="HR15" s="53">
        <v>0.93855</v>
      </c>
      <c r="HS15" s="507">
        <v>270712.26892547013</v>
      </c>
      <c r="HT15" s="380">
        <f t="shared" si="41"/>
        <v>86.503361215989571</v>
      </c>
      <c r="HU15" s="506">
        <v>254077</v>
      </c>
      <c r="HV15" s="53">
        <v>0.94035000000000002</v>
      </c>
      <c r="HW15" s="507">
        <v>270194.07667357899</v>
      </c>
      <c r="HX15" s="380">
        <f t="shared" si="42"/>
        <v>-518.19225189113058</v>
      </c>
      <c r="HY15" s="506">
        <v>254077</v>
      </c>
      <c r="HZ15" s="53">
        <v>0.93579999999999997</v>
      </c>
      <c r="IA15" s="507">
        <v>271507.80081213935</v>
      </c>
      <c r="IB15" s="380">
        <f t="shared" si="43"/>
        <v>1313.7241385603556</v>
      </c>
      <c r="IC15" s="506">
        <v>254077</v>
      </c>
      <c r="ID15" s="53">
        <v>0.93579999999999997</v>
      </c>
      <c r="IE15" s="507">
        <v>271507.80081213935</v>
      </c>
      <c r="IF15" s="380">
        <f t="shared" si="44"/>
        <v>0</v>
      </c>
      <c r="IG15" s="506">
        <v>254077</v>
      </c>
      <c r="IH15" s="53">
        <v>0.93579999999999997</v>
      </c>
      <c r="II15" s="507">
        <v>271507.80081213935</v>
      </c>
      <c r="IJ15" s="380">
        <f t="shared" si="45"/>
        <v>0</v>
      </c>
      <c r="IK15" s="506">
        <v>254077</v>
      </c>
      <c r="IL15" s="53">
        <v>0.93579999999999997</v>
      </c>
      <c r="IM15" s="507">
        <v>271507.80081213935</v>
      </c>
      <c r="IN15" s="380">
        <f t="shared" si="46"/>
        <v>0</v>
      </c>
      <c r="IO15" s="506">
        <v>253432.12</v>
      </c>
      <c r="IP15" s="53">
        <v>0.93579999999999997</v>
      </c>
      <c r="IQ15" s="507">
        <v>270818.67920495832</v>
      </c>
      <c r="IR15" s="380">
        <f t="shared" si="47"/>
        <v>-689.12160718103405</v>
      </c>
      <c r="IS15" s="506">
        <v>214080</v>
      </c>
      <c r="IT15" s="53">
        <v>0.93579999999999997</v>
      </c>
      <c r="IU15" s="507">
        <v>228766.83051934175</v>
      </c>
      <c r="IV15" s="380">
        <f t="shared" si="48"/>
        <v>-42051.848685616569</v>
      </c>
      <c r="IW15" s="506">
        <v>217583</v>
      </c>
      <c r="IX15" s="53">
        <v>0.93874999999999997</v>
      </c>
      <c r="IY15" s="507">
        <v>231779.49400798936</v>
      </c>
      <c r="IZ15" s="380">
        <f t="shared" si="49"/>
        <v>3012.6634886476095</v>
      </c>
    </row>
    <row r="16" spans="1:260">
      <c r="A16" s="13" t="s">
        <v>516</v>
      </c>
      <c r="B16" s="13" t="s">
        <v>517</v>
      </c>
      <c r="C16" s="13" t="s">
        <v>518</v>
      </c>
      <c r="D16" s="13" t="s">
        <v>458</v>
      </c>
      <c r="E16" s="13" t="s">
        <v>289</v>
      </c>
      <c r="F16" s="13">
        <v>62374285560</v>
      </c>
      <c r="G16" s="13"/>
      <c r="H16" s="49" t="s">
        <v>519</v>
      </c>
      <c r="I16" s="14">
        <f>+'Summary - Colar'!L7</f>
        <v>5873184</v>
      </c>
      <c r="J16" s="14">
        <f>+VLOOKUP(E16,'Summary - Colar'!$M$39:$N$54,2,FALSE)</f>
        <v>19.358802000000001</v>
      </c>
      <c r="K16" s="14">
        <f t="shared" si="50"/>
        <v>303385.71570699464</v>
      </c>
      <c r="L16" s="506">
        <v>13909500.539999999</v>
      </c>
      <c r="M16" s="53">
        <v>17.348400999999999</v>
      </c>
      <c r="N16" s="507">
        <v>801774.21192881116</v>
      </c>
      <c r="O16" s="506">
        <v>13909500.539999999</v>
      </c>
      <c r="P16" s="53">
        <v>17.348400999999999</v>
      </c>
      <c r="Q16" s="507">
        <v>801774.21192881116</v>
      </c>
      <c r="R16" s="506">
        <v>13909401.800000001</v>
      </c>
      <c r="S16" s="53">
        <v>17.348400999999999</v>
      </c>
      <c r="T16" s="507">
        <v>801768.52033798397</v>
      </c>
      <c r="U16" s="506">
        <v>13909401.800000001</v>
      </c>
      <c r="V16" s="53">
        <v>17.348400999999999</v>
      </c>
      <c r="W16" s="507">
        <v>801768.52033798397</v>
      </c>
      <c r="X16" s="506">
        <v>13905376.800000001</v>
      </c>
      <c r="Y16" s="53">
        <v>17.348400999999999</v>
      </c>
      <c r="Z16" s="507">
        <v>801536.5104830123</v>
      </c>
      <c r="AA16" s="506">
        <v>13905376.800000001</v>
      </c>
      <c r="AB16" s="53">
        <v>17.348400999999999</v>
      </c>
      <c r="AC16" s="507">
        <v>801536.5104830123</v>
      </c>
      <c r="AD16" s="506">
        <v>1607915.32</v>
      </c>
      <c r="AE16" s="53">
        <v>19.358801639999999</v>
      </c>
      <c r="AF16" s="507">
        <v>83058.618498247088</v>
      </c>
      <c r="AG16" s="506">
        <v>1840946.47</v>
      </c>
      <c r="AH16" s="53">
        <v>19.358801639999999</v>
      </c>
      <c r="AI16" s="507">
        <v>95096.096557761935</v>
      </c>
      <c r="AJ16" s="506">
        <v>1830001.47</v>
      </c>
      <c r="AK16" s="53">
        <v>19.358801639999999</v>
      </c>
      <c r="AL16" s="507">
        <v>94530.72065260337</v>
      </c>
      <c r="AM16" s="506">
        <v>1830001.47</v>
      </c>
      <c r="AN16" s="53">
        <v>19.358801639999999</v>
      </c>
      <c r="AO16" s="507">
        <v>94530.72065260337</v>
      </c>
      <c r="AP16" s="506">
        <v>1829991.73</v>
      </c>
      <c r="AQ16" s="53">
        <v>19.358801639999999</v>
      </c>
      <c r="AR16" s="507">
        <v>94530.217522286679</v>
      </c>
      <c r="AS16" s="506">
        <v>1828886</v>
      </c>
      <c r="AT16" s="53">
        <v>19.358802000000001</v>
      </c>
      <c r="AU16" s="507">
        <v>94473.098077040093</v>
      </c>
      <c r="AV16" s="506">
        <v>1828886.44</v>
      </c>
      <c r="AW16" s="53">
        <v>19.358801639999999</v>
      </c>
      <c r="AX16" s="507">
        <v>94473.122562559613</v>
      </c>
      <c r="AY16" s="506">
        <v>1176229.6599999999</v>
      </c>
      <c r="AZ16" s="53">
        <v>19.358801639999999</v>
      </c>
      <c r="BA16" s="507">
        <v>60759.425189295958</v>
      </c>
      <c r="BB16" s="506">
        <v>1210326.8600000001</v>
      </c>
      <c r="BC16" s="53">
        <v>19.358801639999999</v>
      </c>
      <c r="BD16" s="507">
        <v>62520.75322158217</v>
      </c>
      <c r="BE16" s="506">
        <v>1210326.8600000001</v>
      </c>
      <c r="BF16" s="53">
        <v>19.358801639999999</v>
      </c>
      <c r="BG16" s="507">
        <v>62520.75322158217</v>
      </c>
      <c r="BH16" s="380">
        <f t="shared" si="0"/>
        <v>62501.394419942168</v>
      </c>
      <c r="BI16" s="506">
        <v>1210326.8600000001</v>
      </c>
      <c r="BJ16" s="53">
        <v>19.358801639999999</v>
      </c>
      <c r="BK16" s="507">
        <v>62520.75322158217</v>
      </c>
      <c r="BL16" s="380">
        <f t="shared" si="1"/>
        <v>0</v>
      </c>
      <c r="BM16" s="506">
        <v>1210317.1200000001</v>
      </c>
      <c r="BN16" s="53">
        <v>19.358801639999999</v>
      </c>
      <c r="BO16" s="507">
        <v>62520.250091265472</v>
      </c>
      <c r="BP16">
        <v>0</v>
      </c>
      <c r="BQ16" s="506">
        <v>5163942.04</v>
      </c>
      <c r="BR16" s="53">
        <v>19.358801639999999</v>
      </c>
      <c r="BS16" s="507">
        <v>266749.05482424272</v>
      </c>
      <c r="BT16" s="380">
        <f t="shared" si="2"/>
        <v>204228.80473297724</v>
      </c>
      <c r="BU16" s="506">
        <v>5163942.04</v>
      </c>
      <c r="BV16" s="53">
        <v>19.358801639999999</v>
      </c>
      <c r="BW16" s="507">
        <v>266749.05482424272</v>
      </c>
      <c r="BX16" s="380">
        <f t="shared" si="3"/>
        <v>0</v>
      </c>
      <c r="BY16" s="506">
        <v>5163942.04</v>
      </c>
      <c r="BZ16" s="53">
        <v>19.358801639999999</v>
      </c>
      <c r="CA16" s="507">
        <v>266749.05482424272</v>
      </c>
      <c r="CB16" s="380">
        <f t="shared" si="4"/>
        <v>0</v>
      </c>
      <c r="CC16" s="506">
        <v>5163942.04</v>
      </c>
      <c r="CD16" s="53">
        <v>19.358801639999999</v>
      </c>
      <c r="CE16" s="507">
        <v>266749.05482424272</v>
      </c>
      <c r="CF16" s="380">
        <f t="shared" si="5"/>
        <v>0</v>
      </c>
      <c r="CG16" s="506">
        <v>5163942.04</v>
      </c>
      <c r="CH16" s="53">
        <v>19.358801639999999</v>
      </c>
      <c r="CI16" s="507">
        <v>266749.05482424272</v>
      </c>
      <c r="CJ16" s="380">
        <f t="shared" si="6"/>
        <v>0</v>
      </c>
      <c r="CK16" s="506">
        <v>5163853.04</v>
      </c>
      <c r="CL16" s="53">
        <v>19.358801639999999</v>
      </c>
      <c r="CM16" s="507">
        <v>266744.45743223187</v>
      </c>
      <c r="CN16" s="380">
        <f t="shared" si="7"/>
        <v>-4.5973920108517632</v>
      </c>
      <c r="CO16" s="506">
        <v>5163853.04</v>
      </c>
      <c r="CP16" s="53">
        <v>19.358801639999999</v>
      </c>
      <c r="CQ16" s="507">
        <v>266744.45743223187</v>
      </c>
      <c r="CR16" s="380">
        <f t="shared" si="8"/>
        <v>0</v>
      </c>
      <c r="CS16" s="506">
        <v>5163853.04</v>
      </c>
      <c r="CT16" s="53">
        <v>19.358801639999999</v>
      </c>
      <c r="CU16" s="507">
        <v>266744.45743223187</v>
      </c>
      <c r="CV16" s="380">
        <f t="shared" si="9"/>
        <v>0</v>
      </c>
      <c r="CW16" s="506">
        <v>5163853.04</v>
      </c>
      <c r="CX16" s="53">
        <v>19.358801639999999</v>
      </c>
      <c r="CY16" s="507">
        <v>266744.45743223187</v>
      </c>
      <c r="CZ16" s="380">
        <f t="shared" si="10"/>
        <v>0</v>
      </c>
      <c r="DA16" s="506">
        <v>5163853.04</v>
      </c>
      <c r="DB16" s="53">
        <v>19.358801639999999</v>
      </c>
      <c r="DC16" s="507">
        <v>266744.45743223187</v>
      </c>
      <c r="DD16" s="380">
        <f t="shared" si="11"/>
        <v>0</v>
      </c>
      <c r="DE16" s="506">
        <v>5163853.04</v>
      </c>
      <c r="DF16" s="53">
        <v>19.358801639999999</v>
      </c>
      <c r="DG16" s="507">
        <v>266744.45743223187</v>
      </c>
      <c r="DH16" s="380">
        <f t="shared" si="12"/>
        <v>0</v>
      </c>
      <c r="DI16" s="506">
        <v>5163853.04</v>
      </c>
      <c r="DJ16" s="53">
        <v>19.358801639999999</v>
      </c>
      <c r="DK16" s="507">
        <v>266744.45743223187</v>
      </c>
      <c r="DL16" s="380">
        <f t="shared" si="13"/>
        <v>0</v>
      </c>
      <c r="DM16" s="506">
        <v>5163853.04</v>
      </c>
      <c r="DN16" s="53">
        <v>19.358801639999999</v>
      </c>
      <c r="DO16" s="507">
        <v>266744.45743223187</v>
      </c>
      <c r="DP16" s="380">
        <f t="shared" si="14"/>
        <v>0</v>
      </c>
      <c r="DQ16" s="506">
        <v>5163853.04</v>
      </c>
      <c r="DR16" s="53">
        <v>19.358801639999999</v>
      </c>
      <c r="DS16" s="507">
        <v>266744.45743223187</v>
      </c>
      <c r="DT16" s="380">
        <f t="shared" si="15"/>
        <v>0</v>
      </c>
      <c r="DU16" s="506">
        <v>5163853.04</v>
      </c>
      <c r="DV16" s="53">
        <v>19.358801639999999</v>
      </c>
      <c r="DW16" s="507">
        <v>266744.45743223187</v>
      </c>
      <c r="DX16" s="380">
        <f t="shared" si="16"/>
        <v>0</v>
      </c>
      <c r="DY16" s="506">
        <v>5394209</v>
      </c>
      <c r="DZ16" s="53">
        <v>19.358802000000001</v>
      </c>
      <c r="EA16" s="507">
        <v>278643.74045460043</v>
      </c>
      <c r="EB16" s="380">
        <f t="shared" si="17"/>
        <v>11899.28302236856</v>
      </c>
      <c r="EC16" s="506">
        <v>5367759</v>
      </c>
      <c r="ED16" s="53">
        <v>19.358802000000001</v>
      </c>
      <c r="EE16" s="507">
        <v>277277.43689924612</v>
      </c>
      <c r="EF16" s="380">
        <f t="shared" si="18"/>
        <v>-1366.3035553543014</v>
      </c>
      <c r="EG16" s="506">
        <v>5367759</v>
      </c>
      <c r="EH16" s="53">
        <v>19.358802000000001</v>
      </c>
      <c r="EI16" s="507">
        <v>277277.43689924612</v>
      </c>
      <c r="EJ16" s="380">
        <f t="shared" si="19"/>
        <v>0</v>
      </c>
      <c r="EK16" s="506">
        <v>5367759</v>
      </c>
      <c r="EL16" s="53">
        <v>19.358802000000001</v>
      </c>
      <c r="EM16" s="507">
        <v>277277.43689924612</v>
      </c>
      <c r="EN16" s="380">
        <f t="shared" si="20"/>
        <v>0</v>
      </c>
      <c r="EO16" s="506">
        <v>5367759</v>
      </c>
      <c r="EP16" s="53">
        <v>19.358802000000001</v>
      </c>
      <c r="EQ16" s="507">
        <v>277277.43689924612</v>
      </c>
      <c r="ER16" s="380">
        <f t="shared" si="21"/>
        <v>0</v>
      </c>
      <c r="ES16" s="506">
        <v>5872372</v>
      </c>
      <c r="ET16" s="53">
        <v>19.358802000000001</v>
      </c>
      <c r="EU16" s="507">
        <v>303343.77096268663</v>
      </c>
      <c r="EV16" s="380">
        <f t="shared" si="22"/>
        <v>26066.334063440503</v>
      </c>
      <c r="EW16" s="506">
        <v>5872283</v>
      </c>
      <c r="EX16" s="53">
        <v>19.358802000000001</v>
      </c>
      <c r="EY16" s="507">
        <v>303339.17357076122</v>
      </c>
      <c r="EZ16" s="380">
        <f t="shared" si="23"/>
        <v>-4.597391925402917</v>
      </c>
      <c r="FA16" s="506">
        <v>5872283</v>
      </c>
      <c r="FB16" s="53">
        <v>19.358802000000001</v>
      </c>
      <c r="FC16" s="507">
        <v>303339.17357076122</v>
      </c>
      <c r="FD16" s="380">
        <f t="shared" si="24"/>
        <v>0</v>
      </c>
      <c r="FE16" s="506">
        <v>5872283</v>
      </c>
      <c r="FF16" s="53">
        <v>19.358802000000001</v>
      </c>
      <c r="FG16" s="507">
        <v>303339.17357076122</v>
      </c>
      <c r="FH16" s="380">
        <f t="shared" si="25"/>
        <v>0</v>
      </c>
      <c r="FI16" s="506">
        <v>5872283</v>
      </c>
      <c r="FJ16" s="53">
        <v>19.358802000000001</v>
      </c>
      <c r="FK16" s="507">
        <v>303339.17357076122</v>
      </c>
      <c r="FL16" s="380">
        <f t="shared" si="26"/>
        <v>0</v>
      </c>
      <c r="FM16" s="506">
        <v>5872283</v>
      </c>
      <c r="FN16" s="53">
        <v>19.358802000000001</v>
      </c>
      <c r="FO16" s="507">
        <v>303339.17357076122</v>
      </c>
      <c r="FP16" s="380">
        <f t="shared" si="27"/>
        <v>0</v>
      </c>
      <c r="FQ16" s="506">
        <v>5872283</v>
      </c>
      <c r="FR16" s="53">
        <v>19.358802000000001</v>
      </c>
      <c r="FS16" s="507">
        <v>303339.17357076122</v>
      </c>
      <c r="FT16" s="380">
        <f t="shared" si="28"/>
        <v>0</v>
      </c>
      <c r="FU16" s="506">
        <v>5872283</v>
      </c>
      <c r="FV16" s="53">
        <v>19.358802000000001</v>
      </c>
      <c r="FW16" s="507">
        <v>303339.17357076122</v>
      </c>
      <c r="FX16" s="380">
        <f t="shared" si="29"/>
        <v>0</v>
      </c>
      <c r="FY16" s="506">
        <v>5873283</v>
      </c>
      <c r="FZ16" s="53">
        <v>19.358802000000001</v>
      </c>
      <c r="GA16" s="507">
        <v>303390.82965981052</v>
      </c>
      <c r="GB16" s="380">
        <f t="shared" si="30"/>
        <v>51.656089049298316</v>
      </c>
      <c r="GC16" s="506">
        <v>5873283</v>
      </c>
      <c r="GD16" s="53">
        <v>19.358802000000001</v>
      </c>
      <c r="GE16" s="507">
        <v>303390.82965981052</v>
      </c>
      <c r="GF16" s="380">
        <f t="shared" si="31"/>
        <v>0</v>
      </c>
      <c r="GG16" s="506">
        <v>5873283</v>
      </c>
      <c r="GH16" s="53">
        <v>19.358802000000001</v>
      </c>
      <c r="GI16" s="507">
        <v>303390.82965981052</v>
      </c>
      <c r="GJ16" s="380">
        <f t="shared" si="32"/>
        <v>0</v>
      </c>
      <c r="GK16" s="506">
        <v>5873283</v>
      </c>
      <c r="GL16" s="53">
        <v>19.358802000000001</v>
      </c>
      <c r="GM16" s="507">
        <v>303390.82965981052</v>
      </c>
      <c r="GN16" s="380">
        <f t="shared" si="33"/>
        <v>0</v>
      </c>
      <c r="GO16" s="506">
        <v>5873283</v>
      </c>
      <c r="GP16" s="53">
        <v>19.358802000000001</v>
      </c>
      <c r="GQ16" s="507">
        <v>303390.82965981052</v>
      </c>
      <c r="GR16" s="380">
        <f t="shared" si="34"/>
        <v>0</v>
      </c>
      <c r="GS16" s="506">
        <v>5873283</v>
      </c>
      <c r="GT16" s="53">
        <v>19.358802000000001</v>
      </c>
      <c r="GU16" s="507">
        <v>303390.82965981052</v>
      </c>
      <c r="GV16" s="380">
        <f t="shared" si="35"/>
        <v>0</v>
      </c>
      <c r="GW16" s="506">
        <v>5873283</v>
      </c>
      <c r="GX16" s="53">
        <v>19.358802000000001</v>
      </c>
      <c r="GY16" s="507">
        <v>303390.82965981052</v>
      </c>
      <c r="GZ16" s="380">
        <f t="shared" si="36"/>
        <v>0</v>
      </c>
      <c r="HA16" s="506">
        <v>5873283</v>
      </c>
      <c r="HB16" s="53">
        <v>19.358802000000001</v>
      </c>
      <c r="HC16" s="507">
        <v>303390.82965981052</v>
      </c>
      <c r="HD16" s="380">
        <f t="shared" si="37"/>
        <v>0</v>
      </c>
      <c r="HE16" s="506">
        <v>5873273</v>
      </c>
      <c r="HF16" s="53">
        <v>19.358802000000001</v>
      </c>
      <c r="HG16" s="507">
        <v>303390.31309892004</v>
      </c>
      <c r="HH16" s="380">
        <f t="shared" si="38"/>
        <v>-0.51656089047901332</v>
      </c>
      <c r="HI16" s="506">
        <v>5873273</v>
      </c>
      <c r="HJ16" s="53">
        <v>19.358802000000001</v>
      </c>
      <c r="HK16" s="507">
        <v>303390.31309892004</v>
      </c>
      <c r="HL16" s="380">
        <f t="shared" si="39"/>
        <v>0</v>
      </c>
      <c r="HM16" s="506">
        <v>5873273</v>
      </c>
      <c r="HN16" s="53">
        <v>19.358802000000001</v>
      </c>
      <c r="HO16" s="507">
        <v>303390.31309892004</v>
      </c>
      <c r="HP16" s="380">
        <f t="shared" si="40"/>
        <v>0</v>
      </c>
      <c r="HQ16" s="506">
        <v>5873273</v>
      </c>
      <c r="HR16" s="53">
        <v>19.358802000000001</v>
      </c>
      <c r="HS16" s="507">
        <v>303390.31309892004</v>
      </c>
      <c r="HT16" s="380">
        <f t="shared" si="41"/>
        <v>0</v>
      </c>
      <c r="HU16" s="506">
        <v>5873273</v>
      </c>
      <c r="HV16" s="53">
        <v>19.358802000000001</v>
      </c>
      <c r="HW16" s="507">
        <v>303390.31309892004</v>
      </c>
      <c r="HX16" s="380">
        <f t="shared" si="42"/>
        <v>0</v>
      </c>
      <c r="HY16" s="506">
        <v>5873184</v>
      </c>
      <c r="HZ16" s="53">
        <v>19.358802000000001</v>
      </c>
      <c r="IA16" s="507">
        <v>303385.71570699464</v>
      </c>
      <c r="IB16" s="380">
        <f t="shared" si="43"/>
        <v>-4.597391925402917</v>
      </c>
      <c r="IC16" s="506">
        <v>5873184</v>
      </c>
      <c r="ID16" s="53">
        <v>19.358802000000001</v>
      </c>
      <c r="IE16" s="507">
        <v>303385.71570699464</v>
      </c>
      <c r="IF16" s="380">
        <f t="shared" si="44"/>
        <v>0</v>
      </c>
      <c r="IG16" s="506">
        <v>5873184</v>
      </c>
      <c r="IH16" s="53">
        <v>19.358802000000001</v>
      </c>
      <c r="II16" s="507">
        <v>303385.71570699464</v>
      </c>
      <c r="IJ16" s="380">
        <f t="shared" si="45"/>
        <v>0</v>
      </c>
      <c r="IK16" s="506">
        <v>5873184</v>
      </c>
      <c r="IL16" s="53">
        <v>19.358802000000001</v>
      </c>
      <c r="IM16" s="507">
        <v>303385.71570699464</v>
      </c>
      <c r="IN16" s="380">
        <f t="shared" si="46"/>
        <v>0</v>
      </c>
      <c r="IO16" s="506">
        <v>5873184</v>
      </c>
      <c r="IP16" s="53">
        <v>19.358802000000001</v>
      </c>
      <c r="IQ16" s="507">
        <v>303385.71570699464</v>
      </c>
      <c r="IR16" s="380">
        <f t="shared" si="47"/>
        <v>0</v>
      </c>
      <c r="IS16" s="506">
        <v>5873184</v>
      </c>
      <c r="IT16" s="53">
        <v>19.358802000000001</v>
      </c>
      <c r="IU16" s="507">
        <v>303385.71570699464</v>
      </c>
      <c r="IV16" s="380">
        <f t="shared" si="48"/>
        <v>0</v>
      </c>
      <c r="IW16" s="506">
        <v>5873184</v>
      </c>
      <c r="IX16" s="53">
        <v>19.358802000000001</v>
      </c>
      <c r="IY16" s="507">
        <v>303385.71570699464</v>
      </c>
      <c r="IZ16" s="380">
        <f t="shared" si="49"/>
        <v>0</v>
      </c>
    </row>
    <row r="17" spans="1:260">
      <c r="A17" s="13">
        <v>30</v>
      </c>
      <c r="B17" s="13" t="s">
        <v>520</v>
      </c>
      <c r="C17" s="13" t="s">
        <v>154</v>
      </c>
      <c r="D17" s="13" t="s">
        <v>459</v>
      </c>
      <c r="E17" s="13" t="s">
        <v>5</v>
      </c>
      <c r="F17" s="13">
        <v>49903209</v>
      </c>
      <c r="G17" s="13" t="s">
        <v>521</v>
      </c>
      <c r="H17" s="49" t="s">
        <v>522</v>
      </c>
      <c r="I17" s="14">
        <f>+'IBP export - Colar'!C48</f>
        <v>182333</v>
      </c>
      <c r="J17" s="14">
        <f>+VLOOKUP(E17,'Summary - Colar'!$M$39:$N$54,2,FALSE)</f>
        <v>1.1608000000000001</v>
      </c>
      <c r="K17" s="14">
        <f t="shared" si="50"/>
        <v>157075.29290144728</v>
      </c>
      <c r="L17" s="506">
        <v>587585.23</v>
      </c>
      <c r="M17" s="53">
        <v>1.0393499809660025</v>
      </c>
      <c r="N17" s="507">
        <v>565339.14538958378</v>
      </c>
      <c r="O17" s="506">
        <v>587585.23</v>
      </c>
      <c r="P17" s="53">
        <v>1.0296499958937868</v>
      </c>
      <c r="Q17" s="507">
        <v>570665.0146586434</v>
      </c>
      <c r="R17" s="506">
        <v>587585.23</v>
      </c>
      <c r="S17" s="53">
        <v>1.0305500350713117</v>
      </c>
      <c r="T17" s="507">
        <v>570166.619769549</v>
      </c>
      <c r="U17" s="506">
        <v>261470.41</v>
      </c>
      <c r="V17" s="53">
        <v>1.0294499127813821</v>
      </c>
      <c r="W17" s="507">
        <v>253990.41444722223</v>
      </c>
      <c r="X17" s="506">
        <v>275612.39</v>
      </c>
      <c r="Y17" s="53">
        <v>1.0474500171045873</v>
      </c>
      <c r="Z17" s="507">
        <v>263127.0089257923</v>
      </c>
      <c r="AA17" s="506">
        <v>275612.39</v>
      </c>
      <c r="AB17" s="53">
        <v>1.0384500241697678</v>
      </c>
      <c r="AC17" s="507">
        <v>265407.4664983034</v>
      </c>
      <c r="AD17" s="506">
        <v>275612.39</v>
      </c>
      <c r="AE17" s="53">
        <v>1.0375500183032278</v>
      </c>
      <c r="AF17" s="507">
        <v>265637.68988287105</v>
      </c>
      <c r="AG17" s="506">
        <v>375865.42</v>
      </c>
      <c r="AH17" s="53">
        <v>1.047149991583058</v>
      </c>
      <c r="AI17" s="507">
        <v>358941.33889241121</v>
      </c>
      <c r="AJ17" s="506">
        <v>375865.42</v>
      </c>
      <c r="AK17" s="53">
        <v>1.0461499902620313</v>
      </c>
      <c r="AL17" s="507">
        <v>359284.44630186941</v>
      </c>
      <c r="AM17" s="506">
        <v>396212.35</v>
      </c>
      <c r="AN17" s="53">
        <v>1.0407499836552325</v>
      </c>
      <c r="AO17" s="507">
        <v>380698.87698528427</v>
      </c>
      <c r="AP17" s="506">
        <v>486546.33</v>
      </c>
      <c r="AQ17" s="53">
        <v>1.0854500032344994</v>
      </c>
      <c r="AR17" s="507">
        <v>448243.88829532033</v>
      </c>
      <c r="AS17" s="506">
        <v>292521</v>
      </c>
      <c r="AT17" s="53">
        <v>1.08935</v>
      </c>
      <c r="AU17" s="507">
        <v>268528.02129710378</v>
      </c>
      <c r="AV17" s="506">
        <v>413708.72</v>
      </c>
      <c r="AW17" s="53">
        <v>1.0830999858771673</v>
      </c>
      <c r="AX17" s="507">
        <v>381967.24715581158</v>
      </c>
      <c r="AY17" s="506">
        <v>413708.72</v>
      </c>
      <c r="AZ17" s="53">
        <v>1.0787497944244075</v>
      </c>
      <c r="BA17" s="507">
        <v>383507.57714002073</v>
      </c>
      <c r="BB17" s="506">
        <v>413708.72</v>
      </c>
      <c r="BC17" s="53">
        <v>1.0820998826422146</v>
      </c>
      <c r="BD17" s="507">
        <v>382320.27064805495</v>
      </c>
      <c r="BE17" s="506">
        <v>413708.72</v>
      </c>
      <c r="BF17" s="53">
        <v>1.0781999853387405</v>
      </c>
      <c r="BG17" s="507">
        <v>383703.14007194515</v>
      </c>
      <c r="BH17" s="380">
        <f t="shared" si="0"/>
        <v>383702.0579720625</v>
      </c>
      <c r="BI17" s="506">
        <v>413708.72</v>
      </c>
      <c r="BJ17" s="53">
        <v>1.0803999989493438</v>
      </c>
      <c r="BK17" s="507">
        <v>382921.80711062491</v>
      </c>
      <c r="BL17" s="380">
        <f t="shared" si="1"/>
        <v>-781.33296132023679</v>
      </c>
      <c r="BM17" s="506">
        <v>413708.72</v>
      </c>
      <c r="BN17" s="53">
        <v>1.1088499954694768</v>
      </c>
      <c r="BO17" s="507">
        <v>373097.1021241151</v>
      </c>
      <c r="BP17">
        <v>21414.430683414859</v>
      </c>
      <c r="BQ17" s="506">
        <v>413708.72</v>
      </c>
      <c r="BR17" s="53">
        <v>1.1058499740160905</v>
      </c>
      <c r="BS17" s="507">
        <v>374109.26411432039</v>
      </c>
      <c r="BT17" s="380">
        <f t="shared" si="2"/>
        <v>1012.1619902052917</v>
      </c>
      <c r="BU17" s="506">
        <v>413708.72</v>
      </c>
      <c r="BV17" s="53">
        <v>1.0967500172467883</v>
      </c>
      <c r="BW17" s="507">
        <v>377213.32436223532</v>
      </c>
      <c r="BX17" s="380">
        <f t="shared" si="3"/>
        <v>3104.0602479149238</v>
      </c>
      <c r="BY17" s="506">
        <v>413708.72</v>
      </c>
      <c r="BZ17" s="53">
        <v>1.0935500267747675</v>
      </c>
      <c r="CA17" s="507">
        <v>378317.14130185766</v>
      </c>
      <c r="CB17" s="380">
        <f t="shared" si="4"/>
        <v>1103.8169396223384</v>
      </c>
      <c r="CC17" s="506">
        <v>200132.53</v>
      </c>
      <c r="CD17" s="53">
        <v>1.1035500028504495</v>
      </c>
      <c r="CE17" s="507">
        <v>181353.38632872215</v>
      </c>
      <c r="CF17" s="380">
        <f t="shared" si="5"/>
        <v>-196963.75497313551</v>
      </c>
      <c r="CG17" s="506">
        <v>200132.53</v>
      </c>
      <c r="CH17" s="53">
        <v>1.1071500373751093</v>
      </c>
      <c r="CI17" s="507">
        <v>180763.69348682399</v>
      </c>
      <c r="CJ17" s="380">
        <f t="shared" si="6"/>
        <v>-589.69284189815517</v>
      </c>
      <c r="CK17" s="506">
        <v>200132.53</v>
      </c>
      <c r="CL17" s="53">
        <v>1.1331000481425468</v>
      </c>
      <c r="CM17" s="507">
        <v>176623.88270838978</v>
      </c>
      <c r="CN17" s="380">
        <f t="shared" si="7"/>
        <v>-4139.8107784342137</v>
      </c>
      <c r="CO17" s="506">
        <v>200132.53</v>
      </c>
      <c r="CP17" s="53">
        <v>1.1381500166600167</v>
      </c>
      <c r="CQ17" s="507">
        <v>175840.20302288738</v>
      </c>
      <c r="CR17" s="380">
        <f t="shared" si="8"/>
        <v>-783.67968550240039</v>
      </c>
      <c r="CS17" s="506">
        <v>200132.53</v>
      </c>
      <c r="CT17" s="53">
        <v>1.1324499897732652</v>
      </c>
      <c r="CU17" s="507">
        <v>176725.26981970284</v>
      </c>
      <c r="CV17" s="380">
        <f t="shared" si="9"/>
        <v>885.06679681545938</v>
      </c>
      <c r="CW17" s="506">
        <v>450112.53</v>
      </c>
      <c r="CX17" s="53">
        <v>1.1362500452178652</v>
      </c>
      <c r="CY17" s="507">
        <v>396138.6244994122</v>
      </c>
      <c r="CZ17" s="380">
        <f t="shared" si="10"/>
        <v>219413.35467970936</v>
      </c>
      <c r="DA17" s="506">
        <v>450112.53</v>
      </c>
      <c r="DB17" s="53">
        <v>1.1363000964193748</v>
      </c>
      <c r="DC17" s="507">
        <v>396121.1755753269</v>
      </c>
      <c r="DD17" s="380">
        <f t="shared" si="11"/>
        <v>-17.44892408529995</v>
      </c>
      <c r="DE17" s="506">
        <v>450112.53</v>
      </c>
      <c r="DF17" s="53">
        <v>1.1544499930632772</v>
      </c>
      <c r="DG17" s="507">
        <v>389893.48408729961</v>
      </c>
      <c r="DH17" s="380">
        <f t="shared" si="12"/>
        <v>-6227.6914880272816</v>
      </c>
      <c r="DI17" s="506">
        <v>62584.19</v>
      </c>
      <c r="DJ17" s="53">
        <v>1.1486000091425401</v>
      </c>
      <c r="DK17" s="507">
        <v>54487.366795966453</v>
      </c>
      <c r="DL17" s="380">
        <f t="shared" si="13"/>
        <v>-335406.11729133315</v>
      </c>
      <c r="DM17" s="506">
        <v>62584.19</v>
      </c>
      <c r="DN17" s="53">
        <v>1.1410499781207057</v>
      </c>
      <c r="DO17" s="507">
        <v>54847.895534843563</v>
      </c>
      <c r="DP17" s="380">
        <f t="shared" si="14"/>
        <v>360.5287388771103</v>
      </c>
      <c r="DQ17" s="506">
        <v>62584.19</v>
      </c>
      <c r="DR17" s="53">
        <v>1.135249966573922</v>
      </c>
      <c r="DS17" s="507">
        <v>55128.114373676857</v>
      </c>
      <c r="DT17" s="380">
        <f t="shared" si="15"/>
        <v>280.21883883329428</v>
      </c>
      <c r="DU17" s="506">
        <v>425021.55</v>
      </c>
      <c r="DV17" s="53">
        <v>1.1318500296229566</v>
      </c>
      <c r="DW17" s="507">
        <v>375510.48184500536</v>
      </c>
      <c r="DX17" s="380">
        <f t="shared" si="16"/>
        <v>320382.36747132847</v>
      </c>
      <c r="DY17" s="506">
        <v>425022</v>
      </c>
      <c r="DZ17" s="53">
        <v>1.1345499999999999</v>
      </c>
      <c r="EA17" s="507">
        <v>374617.24912961089</v>
      </c>
      <c r="EB17" s="380">
        <f t="shared" si="17"/>
        <v>-893.23271539446432</v>
      </c>
      <c r="EC17" s="506">
        <v>496508</v>
      </c>
      <c r="ED17" s="53">
        <v>1.13425</v>
      </c>
      <c r="EE17" s="507">
        <v>437741.23870398942</v>
      </c>
      <c r="EF17" s="380">
        <f t="shared" si="18"/>
        <v>63123.989574378531</v>
      </c>
      <c r="EG17" s="506">
        <v>283560</v>
      </c>
      <c r="EH17" s="53">
        <v>1.1326499999999999</v>
      </c>
      <c r="EI17" s="507">
        <v>250350.94689445107</v>
      </c>
      <c r="EJ17" s="380">
        <f t="shared" si="19"/>
        <v>-187390.29180953835</v>
      </c>
      <c r="EK17" s="506">
        <v>283560</v>
      </c>
      <c r="EL17" s="53">
        <v>1.13575</v>
      </c>
      <c r="EM17" s="507">
        <v>249667.62051507813</v>
      </c>
      <c r="EN17" s="380">
        <f t="shared" si="20"/>
        <v>-683.32637937294203</v>
      </c>
      <c r="EO17" s="506">
        <v>283560</v>
      </c>
      <c r="EP17" s="53">
        <v>1.1295500000000001</v>
      </c>
      <c r="EQ17" s="507">
        <v>251038.02399185515</v>
      </c>
      <c r="ER17" s="380">
        <f t="shared" si="21"/>
        <v>1370.4034767770208</v>
      </c>
      <c r="ES17" s="506">
        <v>283560</v>
      </c>
      <c r="ET17" s="53">
        <v>1.1253500000000001</v>
      </c>
      <c r="EU17" s="507">
        <v>251974.94112942638</v>
      </c>
      <c r="EV17" s="380">
        <f t="shared" si="22"/>
        <v>936.91713757123216</v>
      </c>
      <c r="EW17" s="506">
        <v>279870</v>
      </c>
      <c r="EX17" s="53">
        <v>1.1109500000000001</v>
      </c>
      <c r="EY17" s="507">
        <v>251919.52833160805</v>
      </c>
      <c r="EZ17" s="380">
        <f t="shared" si="23"/>
        <v>-55.412797818338731</v>
      </c>
      <c r="FA17" s="506">
        <v>279870</v>
      </c>
      <c r="FB17" s="53">
        <v>1.1105499999999999</v>
      </c>
      <c r="FC17" s="507">
        <v>252010.26518391789</v>
      </c>
      <c r="FD17" s="380">
        <f t="shared" si="24"/>
        <v>90.736852309841197</v>
      </c>
      <c r="FE17" s="506">
        <v>279870</v>
      </c>
      <c r="FF17" s="53">
        <v>1.12155</v>
      </c>
      <c r="FG17" s="507">
        <v>249538.58499398152</v>
      </c>
      <c r="FH17" s="380">
        <f t="shared" si="25"/>
        <v>-2471.6801899363636</v>
      </c>
      <c r="FI17" s="506">
        <v>298302</v>
      </c>
      <c r="FJ17" s="53">
        <v>1.1194</v>
      </c>
      <c r="FK17" s="507">
        <v>266483.83062354836</v>
      </c>
      <c r="FL17" s="380">
        <f t="shared" si="26"/>
        <v>16945.245629566838</v>
      </c>
      <c r="FM17" s="506">
        <v>298302</v>
      </c>
      <c r="FN17" s="53">
        <v>1.1271500000000001</v>
      </c>
      <c r="FO17" s="507">
        <v>264651.55480637</v>
      </c>
      <c r="FP17" s="380">
        <f t="shared" si="27"/>
        <v>-1832.2758171783644</v>
      </c>
      <c r="FQ17" s="506">
        <v>298302</v>
      </c>
      <c r="FR17" s="53">
        <v>1.1245499999999999</v>
      </c>
      <c r="FS17" s="507">
        <v>265263.43870881689</v>
      </c>
      <c r="FT17" s="380">
        <f t="shared" si="28"/>
        <v>611.88390244689072</v>
      </c>
      <c r="FU17" s="506">
        <v>298302</v>
      </c>
      <c r="FV17" s="53">
        <v>1.13215</v>
      </c>
      <c r="FW17" s="507">
        <v>263482.75405202492</v>
      </c>
      <c r="FX17" s="380">
        <f t="shared" si="29"/>
        <v>-1780.6846567919711</v>
      </c>
      <c r="FY17" s="506">
        <v>498282</v>
      </c>
      <c r="FZ17" s="53">
        <v>1.1327499999999999</v>
      </c>
      <c r="GA17" s="507">
        <v>439887.00066210551</v>
      </c>
      <c r="GB17" s="380">
        <f t="shared" si="30"/>
        <v>176404.24661008059</v>
      </c>
      <c r="GC17" s="506">
        <v>498282</v>
      </c>
      <c r="GD17" s="53">
        <v>1.13775</v>
      </c>
      <c r="GE17" s="507">
        <v>437953.85629531968</v>
      </c>
      <c r="GF17" s="380">
        <f t="shared" si="31"/>
        <v>-1933.1443667858257</v>
      </c>
      <c r="GG17" s="506">
        <v>498282</v>
      </c>
      <c r="GH17" s="53">
        <v>1.1352500000000001</v>
      </c>
      <c r="GI17" s="507">
        <v>438918.29993393522</v>
      </c>
      <c r="GJ17" s="380">
        <f t="shared" si="32"/>
        <v>964.44363861554302</v>
      </c>
      <c r="GK17" s="506">
        <v>277792</v>
      </c>
      <c r="GL17" s="53">
        <v>1.1318999999999999</v>
      </c>
      <c r="GM17" s="507">
        <v>245420.97358423891</v>
      </c>
      <c r="GN17" s="380">
        <f t="shared" si="33"/>
        <v>-193497.32634969632</v>
      </c>
      <c r="GO17" s="506">
        <v>277792</v>
      </c>
      <c r="GP17" s="53">
        <v>1.1270500000000001</v>
      </c>
      <c r="GQ17" s="507">
        <v>246477.08619848275</v>
      </c>
      <c r="GR17" s="380">
        <f t="shared" si="34"/>
        <v>1056.1126142438443</v>
      </c>
      <c r="GS17" s="506">
        <v>277792</v>
      </c>
      <c r="GT17" s="53">
        <v>1.13385</v>
      </c>
      <c r="GU17" s="507">
        <v>244998.89756140581</v>
      </c>
      <c r="GV17" s="380">
        <f t="shared" si="35"/>
        <v>-1478.1886370769353</v>
      </c>
      <c r="GW17" s="506">
        <v>277792</v>
      </c>
      <c r="GX17" s="53">
        <v>1.1415500000000001</v>
      </c>
      <c r="GY17" s="507">
        <v>243346.32736192018</v>
      </c>
      <c r="GZ17" s="380">
        <f t="shared" si="36"/>
        <v>-1652.5701994856354</v>
      </c>
      <c r="HA17" s="506">
        <v>277792</v>
      </c>
      <c r="HB17" s="53">
        <v>1.1389499999999999</v>
      </c>
      <c r="HC17" s="507">
        <v>243901.83941349492</v>
      </c>
      <c r="HD17" s="380">
        <f t="shared" si="37"/>
        <v>555.51205157474033</v>
      </c>
      <c r="HE17" s="506">
        <v>277792</v>
      </c>
      <c r="HF17" s="53">
        <v>1.1379999999999999</v>
      </c>
      <c r="HG17" s="507">
        <v>244105.44815465732</v>
      </c>
      <c r="HH17" s="380">
        <f t="shared" si="38"/>
        <v>203.60874116240302</v>
      </c>
      <c r="HI17" s="506">
        <v>277792</v>
      </c>
      <c r="HJ17" s="53">
        <v>1.1426499999999999</v>
      </c>
      <c r="HK17" s="507">
        <v>243112.06406161119</v>
      </c>
      <c r="HL17" s="380">
        <f t="shared" si="39"/>
        <v>-993.38409304613015</v>
      </c>
      <c r="HM17" s="506">
        <v>277792</v>
      </c>
      <c r="HN17" s="53">
        <v>1.139869</v>
      </c>
      <c r="HO17" s="507">
        <v>243705.197702543</v>
      </c>
      <c r="HP17" s="380">
        <f t="shared" si="40"/>
        <v>593.1336409318028</v>
      </c>
      <c r="HQ17" s="506">
        <v>182333</v>
      </c>
      <c r="HR17" s="53">
        <v>1.1428499999999999</v>
      </c>
      <c r="HS17" s="507">
        <v>159542.37213982589</v>
      </c>
      <c r="HT17" s="380">
        <f t="shared" si="41"/>
        <v>-84162.825562717102</v>
      </c>
      <c r="HU17" s="506">
        <v>182333</v>
      </c>
      <c r="HV17" s="53">
        <v>1.1433</v>
      </c>
      <c r="HW17" s="507">
        <v>159479.57666404269</v>
      </c>
      <c r="HX17" s="380">
        <f t="shared" si="42"/>
        <v>-62.795475783204893</v>
      </c>
      <c r="HY17" s="506">
        <v>182333</v>
      </c>
      <c r="HZ17" s="53">
        <v>1.1509499999999999</v>
      </c>
      <c r="IA17" s="507">
        <v>158419.56644511057</v>
      </c>
      <c r="IB17" s="380">
        <f t="shared" si="43"/>
        <v>-1060.0102189321187</v>
      </c>
      <c r="IC17" s="506">
        <v>182333</v>
      </c>
      <c r="ID17" s="53">
        <v>1.1509499999999999</v>
      </c>
      <c r="IE17" s="507">
        <v>158419.56644511057</v>
      </c>
      <c r="IF17" s="380">
        <f t="shared" si="44"/>
        <v>0</v>
      </c>
      <c r="IG17" s="506">
        <v>182333</v>
      </c>
      <c r="IH17" s="53">
        <v>1.1509499999999999</v>
      </c>
      <c r="II17" s="507">
        <v>158419.56644511057</v>
      </c>
      <c r="IJ17" s="380">
        <f t="shared" si="45"/>
        <v>0</v>
      </c>
      <c r="IK17" s="506">
        <v>182333</v>
      </c>
      <c r="IL17" s="53">
        <v>1.1509499999999999</v>
      </c>
      <c r="IM17" s="507">
        <v>158419.56644511057</v>
      </c>
      <c r="IN17" s="380">
        <f t="shared" si="46"/>
        <v>0</v>
      </c>
      <c r="IO17" s="506">
        <v>182333</v>
      </c>
      <c r="IP17" s="53">
        <v>1.1509499999999999</v>
      </c>
      <c r="IQ17" s="507">
        <v>158419.56644511057</v>
      </c>
      <c r="IR17" s="380">
        <f t="shared" si="47"/>
        <v>0</v>
      </c>
      <c r="IS17" s="506">
        <v>182333</v>
      </c>
      <c r="IT17" s="53">
        <v>1.1509499999999999</v>
      </c>
      <c r="IU17" s="507">
        <v>158419.56644511057</v>
      </c>
      <c r="IV17" s="380">
        <f t="shared" si="48"/>
        <v>0</v>
      </c>
      <c r="IW17" s="506">
        <v>182333</v>
      </c>
      <c r="IX17" s="53">
        <v>1.1608000000000001</v>
      </c>
      <c r="IY17" s="507">
        <v>157075.29290144728</v>
      </c>
      <c r="IZ17" s="380">
        <f t="shared" si="49"/>
        <v>-1344.2735436632938</v>
      </c>
    </row>
    <row r="18" spans="1:260" ht="24.75">
      <c r="A18" s="13">
        <v>30</v>
      </c>
      <c r="B18" s="13" t="s">
        <v>520</v>
      </c>
      <c r="C18" s="13" t="s">
        <v>154</v>
      </c>
      <c r="D18" s="13" t="s">
        <v>459</v>
      </c>
      <c r="E18" s="13" t="s">
        <v>6</v>
      </c>
      <c r="F18" s="13" t="s">
        <v>523</v>
      </c>
      <c r="G18" s="13" t="s">
        <v>524</v>
      </c>
      <c r="H18" s="49" t="s">
        <v>525</v>
      </c>
      <c r="I18" s="14" t="s">
        <v>494</v>
      </c>
      <c r="J18" s="14">
        <f>+VLOOKUP(E18,'Summary - Colar'!$M$39:$N$54,2,FALSE)</f>
        <v>11.064005</v>
      </c>
      <c r="K18" s="14"/>
      <c r="L18" s="506" t="s">
        <v>494</v>
      </c>
      <c r="M18" s="53">
        <v>11.454999960514845</v>
      </c>
      <c r="N18" s="507"/>
      <c r="O18" s="506" t="s">
        <v>494</v>
      </c>
      <c r="P18" s="53">
        <v>11.435000500511592</v>
      </c>
      <c r="Q18" s="507"/>
      <c r="R18" s="506" t="s">
        <v>494</v>
      </c>
      <c r="S18" s="53">
        <v>11.492499208105174</v>
      </c>
      <c r="T18" s="507"/>
      <c r="U18" s="506" t="s">
        <v>494</v>
      </c>
      <c r="V18" s="53">
        <v>11.502500793332414</v>
      </c>
      <c r="W18" s="507"/>
      <c r="X18" s="506" t="s">
        <v>494</v>
      </c>
      <c r="Y18" s="53">
        <v>11.456999868201573</v>
      </c>
      <c r="Z18" s="507"/>
      <c r="AA18" s="506" t="s">
        <v>494</v>
      </c>
      <c r="AB18" s="53">
        <v>11.473500522428596</v>
      </c>
      <c r="AC18" s="507"/>
      <c r="AD18" s="506" t="s">
        <v>494</v>
      </c>
      <c r="AE18" s="53">
        <v>11.284499921375806</v>
      </c>
      <c r="AF18" s="507"/>
      <c r="AG18" s="506" t="s">
        <v>494</v>
      </c>
      <c r="AH18" s="53">
        <v>11.243500691464227</v>
      </c>
      <c r="AI18" s="507"/>
      <c r="AJ18" s="506" t="s">
        <v>494</v>
      </c>
      <c r="AK18" s="53">
        <v>11.138000053238743</v>
      </c>
      <c r="AL18" s="507"/>
      <c r="AM18" s="506" t="s">
        <v>494</v>
      </c>
      <c r="AN18" s="53">
        <v>11.185000303105333</v>
      </c>
      <c r="AO18" s="507"/>
      <c r="AP18" s="506" t="s">
        <v>494</v>
      </c>
      <c r="AQ18" s="53">
        <v>10.963483090740779</v>
      </c>
      <c r="AR18" s="507"/>
      <c r="AS18" s="506" t="s">
        <v>494</v>
      </c>
      <c r="AT18" s="53">
        <v>11.041558</v>
      </c>
      <c r="AU18" s="507"/>
      <c r="AV18" s="506" t="s">
        <v>494</v>
      </c>
      <c r="AW18" s="53">
        <v>10.930543555101721</v>
      </c>
      <c r="AX18" s="507"/>
      <c r="AY18" s="506" t="s">
        <v>494</v>
      </c>
      <c r="AZ18" s="53">
        <v>10.829951164464852</v>
      </c>
      <c r="BA18" s="507"/>
      <c r="BB18" s="506" t="s">
        <v>494</v>
      </c>
      <c r="BC18" s="53">
        <v>10.849582878527992</v>
      </c>
      <c r="BD18" s="507"/>
      <c r="BE18" s="506" t="s">
        <v>494</v>
      </c>
      <c r="BF18" s="53">
        <v>10.809970480851396</v>
      </c>
      <c r="BG18" s="507"/>
      <c r="BH18" s="380">
        <f t="shared" si="0"/>
        <v>-10.849582878527992</v>
      </c>
      <c r="BI18" s="506" t="s">
        <v>494</v>
      </c>
      <c r="BJ18" s="53">
        <v>10.75857203602768</v>
      </c>
      <c r="BK18" s="507"/>
      <c r="BL18" s="380">
        <f t="shared" si="1"/>
        <v>0</v>
      </c>
      <c r="BM18" s="506" t="s">
        <v>494</v>
      </c>
      <c r="BN18" s="53">
        <v>10.72196768255267</v>
      </c>
      <c r="BO18" s="507"/>
      <c r="BP18">
        <v>0</v>
      </c>
      <c r="BQ18" s="506" t="s">
        <v>494</v>
      </c>
      <c r="BR18" s="53">
        <v>10.994064597315436</v>
      </c>
      <c r="BS18" s="507"/>
      <c r="BT18" s="380">
        <f t="shared" si="2"/>
        <v>0</v>
      </c>
      <c r="BU18" s="506" t="s">
        <v>494</v>
      </c>
      <c r="BV18" s="53">
        <v>11.089187874172326</v>
      </c>
      <c r="BW18" s="507"/>
      <c r="BX18" s="380">
        <f t="shared" si="3"/>
        <v>0</v>
      </c>
      <c r="BY18" s="506" t="s">
        <v>494</v>
      </c>
      <c r="BZ18" s="53">
        <v>10.970595621782262</v>
      </c>
      <c r="CA18" s="507"/>
      <c r="CB18" s="380">
        <f t="shared" si="4"/>
        <v>0</v>
      </c>
      <c r="CC18" s="506" t="s">
        <v>494</v>
      </c>
      <c r="CD18" s="53">
        <v>11.074428529175647</v>
      </c>
      <c r="CE18" s="507"/>
      <c r="CF18" s="380">
        <f t="shared" si="5"/>
        <v>0</v>
      </c>
      <c r="CG18" s="506" t="s">
        <v>494</v>
      </c>
      <c r="CH18" s="53">
        <v>11.006530046613195</v>
      </c>
      <c r="CI18" s="507"/>
      <c r="CJ18" s="380">
        <f t="shared" si="6"/>
        <v>0</v>
      </c>
      <c r="CK18" s="506" t="s">
        <v>494</v>
      </c>
      <c r="CL18" s="53">
        <v>11.111047522150155</v>
      </c>
      <c r="CM18" s="507"/>
      <c r="CN18" s="380">
        <f t="shared" si="7"/>
        <v>0</v>
      </c>
      <c r="CO18" s="506" t="s">
        <v>494</v>
      </c>
      <c r="CP18" s="53">
        <v>11.007454537818655</v>
      </c>
      <c r="CQ18" s="507"/>
      <c r="CR18" s="380">
        <f t="shared" si="8"/>
        <v>0</v>
      </c>
      <c r="CS18" s="506" t="s">
        <v>494</v>
      </c>
      <c r="CT18" s="53">
        <v>11.059941767237742</v>
      </c>
      <c r="CU18" s="507"/>
      <c r="CV18" s="380">
        <f t="shared" si="9"/>
        <v>0</v>
      </c>
      <c r="CW18" s="506" t="s">
        <v>494</v>
      </c>
      <c r="CX18" s="53">
        <v>11.168573559177586</v>
      </c>
      <c r="CY18" s="507"/>
      <c r="CZ18" s="380">
        <f t="shared" si="10"/>
        <v>0</v>
      </c>
      <c r="DA18" s="506" t="s">
        <v>494</v>
      </c>
      <c r="DB18" s="53">
        <v>10.944940911178854</v>
      </c>
      <c r="DC18" s="507"/>
      <c r="DD18" s="380">
        <f t="shared" si="11"/>
        <v>0</v>
      </c>
      <c r="DE18" s="506" t="s">
        <v>494</v>
      </c>
      <c r="DF18" s="53">
        <v>10.963941352408442</v>
      </c>
      <c r="DG18" s="507"/>
      <c r="DH18" s="380">
        <f t="shared" si="12"/>
        <v>0</v>
      </c>
      <c r="DI18" s="506" t="s">
        <v>494</v>
      </c>
      <c r="DJ18" s="53">
        <v>10.923046468014171</v>
      </c>
      <c r="DK18" s="507"/>
      <c r="DL18" s="380">
        <f t="shared" si="13"/>
        <v>0</v>
      </c>
      <c r="DM18" s="506" t="s">
        <v>494</v>
      </c>
      <c r="DN18" s="53">
        <v>10.933526614383448</v>
      </c>
      <c r="DO18" s="507"/>
      <c r="DP18" s="380">
        <f t="shared" si="14"/>
        <v>0</v>
      </c>
      <c r="DQ18" s="506" t="s">
        <v>494</v>
      </c>
      <c r="DR18" s="53">
        <v>11.003988496336881</v>
      </c>
      <c r="DS18" s="507"/>
      <c r="DT18" s="380">
        <f t="shared" si="15"/>
        <v>0</v>
      </c>
      <c r="DU18" s="506" t="s">
        <v>494</v>
      </c>
      <c r="DV18" s="53">
        <v>10.999785913080709</v>
      </c>
      <c r="DW18" s="507"/>
      <c r="DX18" s="380">
        <f t="shared" si="16"/>
        <v>0</v>
      </c>
      <c r="DY18" s="506" t="s">
        <v>494</v>
      </c>
      <c r="DZ18" s="53">
        <v>10.948221</v>
      </c>
      <c r="EA18" s="507"/>
      <c r="EB18" s="380">
        <f t="shared" si="17"/>
        <v>0</v>
      </c>
      <c r="EC18" s="506" t="s">
        <v>494</v>
      </c>
      <c r="ED18" s="53">
        <v>10.930171</v>
      </c>
      <c r="EE18" s="507"/>
      <c r="EF18" s="380">
        <f t="shared" si="18"/>
        <v>0</v>
      </c>
      <c r="EG18" s="506" t="s">
        <v>494</v>
      </c>
      <c r="EH18" s="53">
        <v>10.891002</v>
      </c>
      <c r="EI18" s="507"/>
      <c r="EJ18" s="380">
        <f t="shared" si="19"/>
        <v>0</v>
      </c>
      <c r="EK18" s="506" t="s">
        <v>494</v>
      </c>
      <c r="EL18" s="53">
        <v>10.897506</v>
      </c>
      <c r="EM18" s="507"/>
      <c r="EN18" s="380">
        <f t="shared" si="20"/>
        <v>0</v>
      </c>
      <c r="EO18" s="506" t="s">
        <v>494</v>
      </c>
      <c r="EP18" s="53">
        <v>10.906008</v>
      </c>
      <c r="EQ18" s="507"/>
      <c r="ER18" s="380">
        <f t="shared" si="21"/>
        <v>0</v>
      </c>
      <c r="ES18" s="506" t="s">
        <v>494</v>
      </c>
      <c r="ET18" s="53">
        <v>10.917489</v>
      </c>
      <c r="EU18" s="507"/>
      <c r="EV18" s="380">
        <f t="shared" si="22"/>
        <v>0</v>
      </c>
      <c r="EW18" s="506" t="s">
        <v>494</v>
      </c>
      <c r="EX18" s="53">
        <v>10.880492</v>
      </c>
      <c r="EY18" s="507"/>
      <c r="EZ18" s="380">
        <f t="shared" si="23"/>
        <v>0</v>
      </c>
      <c r="FA18" s="506" t="s">
        <v>494</v>
      </c>
      <c r="FB18" s="53">
        <v>10.808491999999999</v>
      </c>
      <c r="FC18" s="507"/>
      <c r="FD18" s="380">
        <f t="shared" si="24"/>
        <v>0</v>
      </c>
      <c r="FE18" s="506" t="s">
        <v>494</v>
      </c>
      <c r="FF18" s="53">
        <v>10.851991</v>
      </c>
      <c r="FG18" s="507"/>
      <c r="FH18" s="380">
        <f t="shared" si="25"/>
        <v>0</v>
      </c>
      <c r="FI18" s="506" t="s">
        <v>494</v>
      </c>
      <c r="FJ18" s="53">
        <v>10.924499000000001</v>
      </c>
      <c r="FK18" s="507"/>
      <c r="FL18" s="380">
        <f t="shared" si="26"/>
        <v>0</v>
      </c>
      <c r="FM18" s="506" t="s">
        <v>494</v>
      </c>
      <c r="FN18" s="53">
        <v>10.902004</v>
      </c>
      <c r="FO18" s="507"/>
      <c r="FP18" s="380">
        <f t="shared" si="27"/>
        <v>0</v>
      </c>
      <c r="FQ18" s="506" t="s">
        <v>494</v>
      </c>
      <c r="FR18" s="53">
        <v>10.874503000000001</v>
      </c>
      <c r="FS18" s="507"/>
      <c r="FT18" s="380">
        <f t="shared" si="28"/>
        <v>0</v>
      </c>
      <c r="FU18" s="506" t="s">
        <v>494</v>
      </c>
      <c r="FV18" s="53">
        <v>10.849996000000001</v>
      </c>
      <c r="FW18" s="507"/>
      <c r="FX18" s="380">
        <f t="shared" si="29"/>
        <v>0</v>
      </c>
      <c r="FY18" s="506" t="s">
        <v>494</v>
      </c>
      <c r="FZ18" s="53">
        <v>10.817761000000001</v>
      </c>
      <c r="GA18" s="507"/>
      <c r="GB18" s="380">
        <f t="shared" si="30"/>
        <v>0</v>
      </c>
      <c r="GC18" s="506" t="s">
        <v>494</v>
      </c>
      <c r="GD18" s="53">
        <v>10.825991999999999</v>
      </c>
      <c r="GE18" s="507"/>
      <c r="GF18" s="380">
        <f t="shared" si="31"/>
        <v>0</v>
      </c>
      <c r="GG18" s="506" t="s">
        <v>494</v>
      </c>
      <c r="GH18" s="53">
        <v>10.872005</v>
      </c>
      <c r="GI18" s="507"/>
      <c r="GJ18" s="380">
        <f t="shared" si="32"/>
        <v>0</v>
      </c>
      <c r="GK18" s="506" t="s">
        <v>494</v>
      </c>
      <c r="GL18" s="53">
        <v>10.876507</v>
      </c>
      <c r="GM18" s="507"/>
      <c r="GN18" s="380">
        <f t="shared" si="33"/>
        <v>0</v>
      </c>
      <c r="GO18" s="506" t="s">
        <v>494</v>
      </c>
      <c r="GP18" s="53">
        <v>10.873488999999999</v>
      </c>
      <c r="GQ18" s="507"/>
      <c r="GR18" s="380">
        <f t="shared" si="34"/>
        <v>0</v>
      </c>
      <c r="GS18" s="506" t="s">
        <v>494</v>
      </c>
      <c r="GT18" s="53">
        <v>10.866001000000001</v>
      </c>
      <c r="GU18" s="507"/>
      <c r="GV18" s="380">
        <f t="shared" si="35"/>
        <v>0</v>
      </c>
      <c r="GW18" s="506" t="s">
        <v>494</v>
      </c>
      <c r="GX18" s="53">
        <v>10.858991</v>
      </c>
      <c r="GY18" s="507"/>
      <c r="GZ18" s="380">
        <f t="shared" si="36"/>
        <v>0</v>
      </c>
      <c r="HA18" s="506" t="s">
        <v>494</v>
      </c>
      <c r="HB18" s="53">
        <v>10.91901</v>
      </c>
      <c r="HC18" s="507"/>
      <c r="HD18" s="380">
        <f t="shared" si="37"/>
        <v>0</v>
      </c>
      <c r="HE18" s="506" t="s">
        <v>494</v>
      </c>
      <c r="HF18" s="53">
        <v>10.938496000000001</v>
      </c>
      <c r="HG18" s="507"/>
      <c r="HH18" s="380">
        <f t="shared" si="38"/>
        <v>0</v>
      </c>
      <c r="HI18" s="506" t="s">
        <v>494</v>
      </c>
      <c r="HJ18" s="53">
        <v>10.941000000000001</v>
      </c>
      <c r="HK18" s="507"/>
      <c r="HL18" s="380">
        <f t="shared" si="39"/>
        <v>0</v>
      </c>
      <c r="HM18" s="506" t="s">
        <v>494</v>
      </c>
      <c r="HN18" s="53">
        <v>10.9575</v>
      </c>
      <c r="HO18" s="507"/>
      <c r="HP18" s="380">
        <f t="shared" si="40"/>
        <v>0</v>
      </c>
      <c r="HQ18" s="506" t="s">
        <v>494</v>
      </c>
      <c r="HR18" s="53">
        <v>10.945007</v>
      </c>
      <c r="HS18" s="507"/>
      <c r="HT18" s="380">
        <f t="shared" si="41"/>
        <v>0</v>
      </c>
      <c r="HU18" s="506" t="s">
        <v>494</v>
      </c>
      <c r="HV18" s="53">
        <v>10.984994</v>
      </c>
      <c r="HW18" s="507"/>
      <c r="HX18" s="380">
        <f t="shared" si="42"/>
        <v>0</v>
      </c>
      <c r="HY18" s="506" t="s">
        <v>494</v>
      </c>
      <c r="HZ18" s="53">
        <v>10.968007999999999</v>
      </c>
      <c r="IA18" s="507"/>
      <c r="IB18" s="380">
        <f t="shared" si="43"/>
        <v>0</v>
      </c>
      <c r="IC18" s="506" t="s">
        <v>494</v>
      </c>
      <c r="ID18" s="53">
        <v>10.968007999999999</v>
      </c>
      <c r="IE18" s="507"/>
      <c r="IF18" s="380">
        <f t="shared" si="44"/>
        <v>0</v>
      </c>
      <c r="IG18" s="506" t="s">
        <v>494</v>
      </c>
      <c r="IH18" s="53">
        <v>10.968007999999999</v>
      </c>
      <c r="II18" s="507"/>
      <c r="IJ18" s="380">
        <f t="shared" si="45"/>
        <v>0</v>
      </c>
      <c r="IK18" s="506" t="s">
        <v>494</v>
      </c>
      <c r="IL18" s="53">
        <v>10.968007999999999</v>
      </c>
      <c r="IM18" s="507"/>
      <c r="IN18" s="380">
        <f t="shared" si="46"/>
        <v>0</v>
      </c>
      <c r="IO18" s="506" t="s">
        <v>494</v>
      </c>
      <c r="IP18" s="53">
        <v>10.968007999999999</v>
      </c>
      <c r="IQ18" s="507"/>
      <c r="IR18" s="380">
        <f t="shared" si="47"/>
        <v>0</v>
      </c>
      <c r="IS18" s="506" t="s">
        <v>494</v>
      </c>
      <c r="IT18" s="53">
        <v>10.968007999999999</v>
      </c>
      <c r="IU18" s="507"/>
      <c r="IV18" s="380">
        <f t="shared" si="48"/>
        <v>0</v>
      </c>
      <c r="IW18" s="506" t="s">
        <v>494</v>
      </c>
      <c r="IX18" s="53">
        <v>11.064005</v>
      </c>
      <c r="IY18" s="507"/>
      <c r="IZ18" s="380">
        <f t="shared" si="49"/>
        <v>0</v>
      </c>
    </row>
    <row r="19" spans="1:260" ht="24.75">
      <c r="A19" s="13">
        <v>30</v>
      </c>
      <c r="B19" s="13" t="s">
        <v>520</v>
      </c>
      <c r="C19" s="13" t="s">
        <v>154</v>
      </c>
      <c r="D19" s="13" t="s">
        <v>459</v>
      </c>
      <c r="E19" s="13" t="s">
        <v>6</v>
      </c>
      <c r="F19" s="13" t="s">
        <v>526</v>
      </c>
      <c r="G19" s="13" t="s">
        <v>527</v>
      </c>
      <c r="H19" s="49" t="s">
        <v>525</v>
      </c>
      <c r="I19" s="14" t="s">
        <v>494</v>
      </c>
      <c r="J19" s="14">
        <f>+VLOOKUP(E19,'Summary - Colar'!$M$39:$N$54,2,FALSE)</f>
        <v>11.064005</v>
      </c>
      <c r="K19" s="14"/>
      <c r="L19" s="506" t="s">
        <v>494</v>
      </c>
      <c r="M19" s="53">
        <v>11.454999960514845</v>
      </c>
      <c r="N19" s="507"/>
      <c r="O19" s="506" t="s">
        <v>494</v>
      </c>
      <c r="P19" s="53">
        <v>11.435000500511592</v>
      </c>
      <c r="Q19" s="507"/>
      <c r="R19" s="506" t="s">
        <v>494</v>
      </c>
      <c r="S19" s="53">
        <v>11.492499208105174</v>
      </c>
      <c r="T19" s="507"/>
      <c r="U19" s="506" t="s">
        <v>494</v>
      </c>
      <c r="V19" s="53">
        <v>11.502500793332414</v>
      </c>
      <c r="W19" s="507"/>
      <c r="X19" s="506" t="s">
        <v>494</v>
      </c>
      <c r="Y19" s="53">
        <v>11.456999868201573</v>
      </c>
      <c r="Z19" s="507"/>
      <c r="AA19" s="506" t="s">
        <v>494</v>
      </c>
      <c r="AB19" s="53">
        <v>11.473500522428596</v>
      </c>
      <c r="AC19" s="507"/>
      <c r="AD19" s="506" t="s">
        <v>494</v>
      </c>
      <c r="AE19" s="53">
        <v>11.284499921375806</v>
      </c>
      <c r="AF19" s="507"/>
      <c r="AG19" s="506" t="s">
        <v>494</v>
      </c>
      <c r="AH19" s="53">
        <v>11.243500691464227</v>
      </c>
      <c r="AI19" s="507"/>
      <c r="AJ19" s="506" t="s">
        <v>494</v>
      </c>
      <c r="AK19" s="53">
        <v>11.138000053238743</v>
      </c>
      <c r="AL19" s="507"/>
      <c r="AM19" s="506" t="s">
        <v>494</v>
      </c>
      <c r="AN19" s="53">
        <v>11.185000303105333</v>
      </c>
      <c r="AO19" s="507"/>
      <c r="AP19" s="506" t="s">
        <v>494</v>
      </c>
      <c r="AQ19" s="53">
        <v>10.963483090740779</v>
      </c>
      <c r="AR19" s="507"/>
      <c r="AS19" s="506" t="s">
        <v>494</v>
      </c>
      <c r="AT19" s="53">
        <v>11.041558</v>
      </c>
      <c r="AU19" s="507"/>
      <c r="AV19" s="506" t="s">
        <v>494</v>
      </c>
      <c r="AW19" s="53">
        <v>10.930543555101721</v>
      </c>
      <c r="AX19" s="507"/>
      <c r="AY19" s="506" t="s">
        <v>494</v>
      </c>
      <c r="AZ19" s="53">
        <v>10.829951164464852</v>
      </c>
      <c r="BA19" s="507"/>
      <c r="BB19" s="506" t="s">
        <v>494</v>
      </c>
      <c r="BC19" s="53">
        <v>10.849582878527992</v>
      </c>
      <c r="BD19" s="507"/>
      <c r="BE19" s="506" t="s">
        <v>494</v>
      </c>
      <c r="BF19" s="53">
        <v>10.809970480851396</v>
      </c>
      <c r="BG19" s="507"/>
      <c r="BH19" s="380">
        <f t="shared" si="0"/>
        <v>-10.849582878527992</v>
      </c>
      <c r="BI19" s="506" t="s">
        <v>494</v>
      </c>
      <c r="BJ19" s="53">
        <v>10.75857203602768</v>
      </c>
      <c r="BK19" s="507"/>
      <c r="BL19" s="380">
        <f t="shared" si="1"/>
        <v>0</v>
      </c>
      <c r="BM19" s="506" t="s">
        <v>494</v>
      </c>
      <c r="BN19" s="53">
        <v>10.72196768255267</v>
      </c>
      <c r="BO19" s="507"/>
      <c r="BP19">
        <v>0</v>
      </c>
      <c r="BQ19" s="506" t="s">
        <v>494</v>
      </c>
      <c r="BR19" s="53">
        <v>10.994064597315436</v>
      </c>
      <c r="BS19" s="507"/>
      <c r="BT19" s="380">
        <f t="shared" si="2"/>
        <v>0</v>
      </c>
      <c r="BU19" s="506" t="s">
        <v>494</v>
      </c>
      <c r="BV19" s="53">
        <v>11.089187874172326</v>
      </c>
      <c r="BW19" s="507"/>
      <c r="BX19" s="380">
        <f t="shared" si="3"/>
        <v>0</v>
      </c>
      <c r="BY19" s="506" t="s">
        <v>494</v>
      </c>
      <c r="BZ19" s="53">
        <v>10.970595621782262</v>
      </c>
      <c r="CA19" s="507"/>
      <c r="CB19" s="380">
        <f t="shared" si="4"/>
        <v>0</v>
      </c>
      <c r="CC19" s="506" t="s">
        <v>494</v>
      </c>
      <c r="CD19" s="53">
        <v>11.074428529175647</v>
      </c>
      <c r="CE19" s="507"/>
      <c r="CF19" s="380">
        <f t="shared" si="5"/>
        <v>0</v>
      </c>
      <c r="CG19" s="506" t="s">
        <v>494</v>
      </c>
      <c r="CH19" s="53">
        <v>11.006530046613195</v>
      </c>
      <c r="CI19" s="507"/>
      <c r="CJ19" s="380">
        <f t="shared" si="6"/>
        <v>0</v>
      </c>
      <c r="CK19" s="506" t="s">
        <v>494</v>
      </c>
      <c r="CL19" s="53">
        <v>11.111047522150155</v>
      </c>
      <c r="CM19" s="507"/>
      <c r="CN19" s="380">
        <f t="shared" si="7"/>
        <v>0</v>
      </c>
      <c r="CO19" s="506" t="s">
        <v>494</v>
      </c>
      <c r="CP19" s="53">
        <v>11.007454537818655</v>
      </c>
      <c r="CQ19" s="507"/>
      <c r="CR19" s="380">
        <f t="shared" si="8"/>
        <v>0</v>
      </c>
      <c r="CS19" s="506" t="s">
        <v>494</v>
      </c>
      <c r="CT19" s="53">
        <v>11.059941767237742</v>
      </c>
      <c r="CU19" s="507"/>
      <c r="CV19" s="380">
        <f t="shared" si="9"/>
        <v>0</v>
      </c>
      <c r="CW19" s="506" t="s">
        <v>494</v>
      </c>
      <c r="CX19" s="53">
        <v>11.168573559177586</v>
      </c>
      <c r="CY19" s="507"/>
      <c r="CZ19" s="380">
        <f t="shared" si="10"/>
        <v>0</v>
      </c>
      <c r="DA19" s="506" t="s">
        <v>494</v>
      </c>
      <c r="DB19" s="53">
        <v>10.944940911178854</v>
      </c>
      <c r="DC19" s="507"/>
      <c r="DD19" s="380">
        <f t="shared" si="11"/>
        <v>0</v>
      </c>
      <c r="DE19" s="506" t="s">
        <v>494</v>
      </c>
      <c r="DF19" s="53">
        <v>10.963941352408442</v>
      </c>
      <c r="DG19" s="507"/>
      <c r="DH19" s="380">
        <f t="shared" si="12"/>
        <v>0</v>
      </c>
      <c r="DI19" s="506" t="s">
        <v>494</v>
      </c>
      <c r="DJ19" s="53">
        <v>10.923046468014171</v>
      </c>
      <c r="DK19" s="507"/>
      <c r="DL19" s="380">
        <f t="shared" si="13"/>
        <v>0</v>
      </c>
      <c r="DM19" s="506" t="s">
        <v>494</v>
      </c>
      <c r="DN19" s="53">
        <v>10.933526614383448</v>
      </c>
      <c r="DO19" s="507"/>
      <c r="DP19" s="380">
        <f t="shared" si="14"/>
        <v>0</v>
      </c>
      <c r="DQ19" s="506" t="s">
        <v>494</v>
      </c>
      <c r="DR19" s="53">
        <v>11.003988496336881</v>
      </c>
      <c r="DS19" s="507"/>
      <c r="DT19" s="380">
        <f t="shared" si="15"/>
        <v>0</v>
      </c>
      <c r="DU19" s="506" t="s">
        <v>494</v>
      </c>
      <c r="DV19" s="53">
        <v>10.999785913080709</v>
      </c>
      <c r="DW19" s="507"/>
      <c r="DX19" s="380">
        <f t="shared" si="16"/>
        <v>0</v>
      </c>
      <c r="DY19" s="506" t="s">
        <v>494</v>
      </c>
      <c r="DZ19" s="53">
        <v>10.948221</v>
      </c>
      <c r="EA19" s="507"/>
      <c r="EB19" s="380">
        <f t="shared" si="17"/>
        <v>0</v>
      </c>
      <c r="EC19" s="506" t="s">
        <v>494</v>
      </c>
      <c r="ED19" s="53">
        <v>10.930171</v>
      </c>
      <c r="EE19" s="507"/>
      <c r="EF19" s="380">
        <f t="shared" si="18"/>
        <v>0</v>
      </c>
      <c r="EG19" s="506" t="s">
        <v>494</v>
      </c>
      <c r="EH19" s="53">
        <v>10.891002</v>
      </c>
      <c r="EI19" s="507"/>
      <c r="EJ19" s="380">
        <f t="shared" si="19"/>
        <v>0</v>
      </c>
      <c r="EK19" s="506" t="s">
        <v>494</v>
      </c>
      <c r="EL19" s="53">
        <v>10.897506</v>
      </c>
      <c r="EM19" s="507"/>
      <c r="EN19" s="380">
        <f t="shared" si="20"/>
        <v>0</v>
      </c>
      <c r="EO19" s="506" t="s">
        <v>494</v>
      </c>
      <c r="EP19" s="53">
        <v>10.906008</v>
      </c>
      <c r="EQ19" s="507"/>
      <c r="ER19" s="380">
        <f t="shared" si="21"/>
        <v>0</v>
      </c>
      <c r="ES19" s="506" t="s">
        <v>494</v>
      </c>
      <c r="ET19" s="53">
        <v>10.917489</v>
      </c>
      <c r="EU19" s="507"/>
      <c r="EV19" s="380">
        <f t="shared" si="22"/>
        <v>0</v>
      </c>
      <c r="EW19" s="506" t="s">
        <v>494</v>
      </c>
      <c r="EX19" s="53">
        <v>10.880492</v>
      </c>
      <c r="EY19" s="507"/>
      <c r="EZ19" s="380">
        <f t="shared" si="23"/>
        <v>0</v>
      </c>
      <c r="FA19" s="506" t="s">
        <v>494</v>
      </c>
      <c r="FB19" s="53">
        <v>10.808491999999999</v>
      </c>
      <c r="FC19" s="507"/>
      <c r="FD19" s="380">
        <f t="shared" si="24"/>
        <v>0</v>
      </c>
      <c r="FE19" s="506" t="s">
        <v>494</v>
      </c>
      <c r="FF19" s="53">
        <v>10.851991</v>
      </c>
      <c r="FG19" s="507"/>
      <c r="FH19" s="380">
        <f t="shared" si="25"/>
        <v>0</v>
      </c>
      <c r="FI19" s="506" t="s">
        <v>494</v>
      </c>
      <c r="FJ19" s="53">
        <v>10.924499000000001</v>
      </c>
      <c r="FK19" s="507"/>
      <c r="FL19" s="380">
        <f t="shared" si="26"/>
        <v>0</v>
      </c>
      <c r="FM19" s="506" t="s">
        <v>494</v>
      </c>
      <c r="FN19" s="53">
        <v>10.902004</v>
      </c>
      <c r="FO19" s="507"/>
      <c r="FP19" s="380">
        <f t="shared" si="27"/>
        <v>0</v>
      </c>
      <c r="FQ19" s="506" t="s">
        <v>494</v>
      </c>
      <c r="FR19" s="53">
        <v>10.874503000000001</v>
      </c>
      <c r="FS19" s="507"/>
      <c r="FT19" s="380">
        <f t="shared" si="28"/>
        <v>0</v>
      </c>
      <c r="FU19" s="506" t="s">
        <v>494</v>
      </c>
      <c r="FV19" s="53">
        <v>10.849996000000001</v>
      </c>
      <c r="FW19" s="507"/>
      <c r="FX19" s="380">
        <f t="shared" si="29"/>
        <v>0</v>
      </c>
      <c r="FY19" s="506" t="s">
        <v>494</v>
      </c>
      <c r="FZ19" s="53">
        <v>10.817761000000001</v>
      </c>
      <c r="GA19" s="507"/>
      <c r="GB19" s="380">
        <f t="shared" si="30"/>
        <v>0</v>
      </c>
      <c r="GC19" s="506" t="s">
        <v>494</v>
      </c>
      <c r="GD19" s="53">
        <v>10.825991999999999</v>
      </c>
      <c r="GE19" s="507"/>
      <c r="GF19" s="380">
        <f t="shared" si="31"/>
        <v>0</v>
      </c>
      <c r="GG19" s="506" t="s">
        <v>494</v>
      </c>
      <c r="GH19" s="53">
        <v>10.872005</v>
      </c>
      <c r="GI19" s="507"/>
      <c r="GJ19" s="380">
        <f t="shared" si="32"/>
        <v>0</v>
      </c>
      <c r="GK19" s="506" t="s">
        <v>494</v>
      </c>
      <c r="GL19" s="53">
        <v>10.876507</v>
      </c>
      <c r="GM19" s="507"/>
      <c r="GN19" s="380">
        <f t="shared" si="33"/>
        <v>0</v>
      </c>
      <c r="GO19" s="506" t="s">
        <v>494</v>
      </c>
      <c r="GP19" s="53">
        <v>10.873488999999999</v>
      </c>
      <c r="GQ19" s="507"/>
      <c r="GR19" s="380">
        <f t="shared" si="34"/>
        <v>0</v>
      </c>
      <c r="GS19" s="506" t="s">
        <v>494</v>
      </c>
      <c r="GT19" s="53">
        <v>10.866001000000001</v>
      </c>
      <c r="GU19" s="507"/>
      <c r="GV19" s="380">
        <f t="shared" si="35"/>
        <v>0</v>
      </c>
      <c r="GW19" s="506" t="s">
        <v>494</v>
      </c>
      <c r="GX19" s="53">
        <v>10.858991</v>
      </c>
      <c r="GY19" s="507"/>
      <c r="GZ19" s="380">
        <f t="shared" si="36"/>
        <v>0</v>
      </c>
      <c r="HA19" s="506" t="s">
        <v>494</v>
      </c>
      <c r="HB19" s="53">
        <v>10.91901</v>
      </c>
      <c r="HC19" s="507"/>
      <c r="HD19" s="380">
        <f t="shared" si="37"/>
        <v>0</v>
      </c>
      <c r="HE19" s="506" t="s">
        <v>494</v>
      </c>
      <c r="HF19" s="53">
        <v>10.938496000000001</v>
      </c>
      <c r="HG19" s="507"/>
      <c r="HH19" s="380">
        <f t="shared" si="38"/>
        <v>0</v>
      </c>
      <c r="HI19" s="506" t="s">
        <v>494</v>
      </c>
      <c r="HJ19" s="53">
        <v>10.941000000000001</v>
      </c>
      <c r="HK19" s="507"/>
      <c r="HL19" s="380">
        <f t="shared" si="39"/>
        <v>0</v>
      </c>
      <c r="HM19" s="506" t="s">
        <v>494</v>
      </c>
      <c r="HN19" s="53">
        <v>10.9575</v>
      </c>
      <c r="HO19" s="507"/>
      <c r="HP19" s="380">
        <f t="shared" si="40"/>
        <v>0</v>
      </c>
      <c r="HQ19" s="506" t="s">
        <v>494</v>
      </c>
      <c r="HR19" s="53">
        <v>10.945007</v>
      </c>
      <c r="HS19" s="507"/>
      <c r="HT19" s="380">
        <f t="shared" si="41"/>
        <v>0</v>
      </c>
      <c r="HU19" s="506" t="s">
        <v>494</v>
      </c>
      <c r="HV19" s="53">
        <v>10.984994</v>
      </c>
      <c r="HW19" s="507"/>
      <c r="HX19" s="380">
        <f t="shared" si="42"/>
        <v>0</v>
      </c>
      <c r="HY19" s="506" t="s">
        <v>494</v>
      </c>
      <c r="HZ19" s="53">
        <v>10.968007999999999</v>
      </c>
      <c r="IA19" s="507"/>
      <c r="IB19" s="380">
        <f t="shared" si="43"/>
        <v>0</v>
      </c>
      <c r="IC19" s="506" t="s">
        <v>494</v>
      </c>
      <c r="ID19" s="53">
        <v>10.968007999999999</v>
      </c>
      <c r="IE19" s="507"/>
      <c r="IF19" s="380">
        <f t="shared" si="44"/>
        <v>0</v>
      </c>
      <c r="IG19" s="506" t="s">
        <v>494</v>
      </c>
      <c r="IH19" s="53">
        <v>10.968007999999999</v>
      </c>
      <c r="II19" s="507"/>
      <c r="IJ19" s="380">
        <f t="shared" si="45"/>
        <v>0</v>
      </c>
      <c r="IK19" s="506" t="s">
        <v>494</v>
      </c>
      <c r="IL19" s="53">
        <v>10.968007999999999</v>
      </c>
      <c r="IM19" s="507"/>
      <c r="IN19" s="380">
        <f t="shared" si="46"/>
        <v>0</v>
      </c>
      <c r="IO19" s="506" t="s">
        <v>494</v>
      </c>
      <c r="IP19" s="53">
        <v>10.968007999999999</v>
      </c>
      <c r="IQ19" s="507"/>
      <c r="IR19" s="380">
        <f t="shared" si="47"/>
        <v>0</v>
      </c>
      <c r="IS19" s="506" t="s">
        <v>494</v>
      </c>
      <c r="IT19" s="53">
        <v>10.968007999999999</v>
      </c>
      <c r="IU19" s="507"/>
      <c r="IV19" s="380">
        <f t="shared" si="48"/>
        <v>0</v>
      </c>
      <c r="IW19" s="506" t="s">
        <v>494</v>
      </c>
      <c r="IX19" s="53">
        <v>11.064005</v>
      </c>
      <c r="IY19" s="507"/>
      <c r="IZ19" s="380">
        <f t="shared" si="49"/>
        <v>0</v>
      </c>
    </row>
    <row r="20" spans="1:260">
      <c r="A20" s="13">
        <v>30</v>
      </c>
      <c r="B20" s="13" t="s">
        <v>520</v>
      </c>
      <c r="C20" s="13" t="s">
        <v>154</v>
      </c>
      <c r="D20" s="13" t="s">
        <v>459</v>
      </c>
      <c r="E20" s="13" t="s">
        <v>6</v>
      </c>
      <c r="F20" s="13" t="s">
        <v>528</v>
      </c>
      <c r="G20" s="13"/>
      <c r="H20" s="49" t="s">
        <v>529</v>
      </c>
      <c r="I20" s="14">
        <f>+'IBP export - Colar'!E50</f>
        <v>40793285</v>
      </c>
      <c r="J20" s="14">
        <f>+VLOOKUP(E20,'Summary - Colar'!$M$39:$N$54,2,FALSE)</f>
        <v>11.064005</v>
      </c>
      <c r="K20" s="14">
        <f t="shared" si="50"/>
        <v>3687026.9852553392</v>
      </c>
      <c r="L20" s="506">
        <v>35828975.780000001</v>
      </c>
      <c r="M20" s="53">
        <v>11.454999960514845</v>
      </c>
      <c r="N20" s="507">
        <v>3127802.3486252083</v>
      </c>
      <c r="O20" s="506">
        <v>48756991.740000002</v>
      </c>
      <c r="P20" s="53">
        <v>11.435000500511592</v>
      </c>
      <c r="Q20" s="507">
        <v>4263838.1815390959</v>
      </c>
      <c r="R20" s="506">
        <v>39250139.740000002</v>
      </c>
      <c r="S20" s="53">
        <v>11.492499208105174</v>
      </c>
      <c r="T20" s="507">
        <v>3415283.2233669884</v>
      </c>
      <c r="U20" s="506">
        <v>24554339.390000001</v>
      </c>
      <c r="V20" s="53">
        <v>11.502500793332414</v>
      </c>
      <c r="W20" s="507">
        <v>2134695.7354033194</v>
      </c>
      <c r="X20" s="506">
        <v>25261235.949999999</v>
      </c>
      <c r="Y20" s="53">
        <v>11.456999868201573</v>
      </c>
      <c r="Z20" s="507">
        <v>2204873.5481014983</v>
      </c>
      <c r="AA20" s="506">
        <v>19288815.609999999</v>
      </c>
      <c r="AB20" s="53">
        <v>11.473500522428596</v>
      </c>
      <c r="AC20" s="507">
        <v>1681162.2200473074</v>
      </c>
      <c r="AD20" s="506">
        <v>23681492.82</v>
      </c>
      <c r="AE20" s="53">
        <v>11.284499921375806</v>
      </c>
      <c r="AF20" s="507">
        <v>2098585.9351322278</v>
      </c>
      <c r="AG20" s="506">
        <v>33149426.32</v>
      </c>
      <c r="AH20" s="53">
        <v>11.243500691464227</v>
      </c>
      <c r="AI20" s="507">
        <v>2948318.9648546185</v>
      </c>
      <c r="AJ20" s="506">
        <v>23591497.73</v>
      </c>
      <c r="AK20" s="53">
        <v>11.138000053238743</v>
      </c>
      <c r="AL20" s="507">
        <v>2118108.9618633995</v>
      </c>
      <c r="AM20" s="506">
        <v>18115840.719999999</v>
      </c>
      <c r="AN20" s="53">
        <v>11.185000303105333</v>
      </c>
      <c r="AO20" s="507">
        <v>1619654.9154290529</v>
      </c>
      <c r="AP20" s="506">
        <v>18234024.43</v>
      </c>
      <c r="AQ20" s="53">
        <v>10.963483090740779</v>
      </c>
      <c r="AR20" s="507">
        <v>1663159.8077986334</v>
      </c>
      <c r="AS20" s="506">
        <v>22903145</v>
      </c>
      <c r="AT20" s="53">
        <v>11.041558</v>
      </c>
      <c r="AU20" s="507">
        <v>2074267.5082628736</v>
      </c>
      <c r="AV20" s="506">
        <v>13297720.57</v>
      </c>
      <c r="AW20" s="53">
        <v>10.930543555101721</v>
      </c>
      <c r="AX20" s="507">
        <v>1216565.3522137445</v>
      </c>
      <c r="AY20" s="506">
        <v>9268968.8599999994</v>
      </c>
      <c r="AZ20" s="53">
        <v>10.829951164464852</v>
      </c>
      <c r="BA20" s="507">
        <v>855864.32655516162</v>
      </c>
      <c r="BB20" s="506">
        <v>11153849</v>
      </c>
      <c r="BC20" s="53">
        <v>10.849582878527992</v>
      </c>
      <c r="BD20" s="507">
        <v>1028044.038639879</v>
      </c>
      <c r="BE20" s="506">
        <v>12580203.380000001</v>
      </c>
      <c r="BF20" s="53">
        <v>10.809970480851396</v>
      </c>
      <c r="BG20" s="507">
        <v>1163759.272264838</v>
      </c>
      <c r="BH20" s="380">
        <f t="shared" si="0"/>
        <v>1163748.4226819593</v>
      </c>
      <c r="BI20" s="506">
        <v>13630270.73</v>
      </c>
      <c r="BJ20" s="53">
        <v>10.75857203602768</v>
      </c>
      <c r="BK20" s="507">
        <v>1266921.9190386739</v>
      </c>
      <c r="BL20" s="380">
        <f t="shared" si="1"/>
        <v>103162.64677383588</v>
      </c>
      <c r="BM20" s="506">
        <v>14042782.74</v>
      </c>
      <c r="BN20" s="53">
        <v>10.72196768255267</v>
      </c>
      <c r="BO20" s="507">
        <v>1309720.6740187372</v>
      </c>
      <c r="BP20">
        <v>-498454.04643434659</v>
      </c>
      <c r="BQ20" s="506">
        <v>15113889.82</v>
      </c>
      <c r="BR20" s="53">
        <v>10.994064597315436</v>
      </c>
      <c r="BS20" s="507">
        <v>1374731.7642367277</v>
      </c>
      <c r="BT20" s="380">
        <f t="shared" si="2"/>
        <v>65011.090217990568</v>
      </c>
      <c r="BU20" s="506">
        <v>15861165.5</v>
      </c>
      <c r="BV20" s="53">
        <v>11.089187874172326</v>
      </c>
      <c r="BW20" s="507">
        <v>1430327.0609150757</v>
      </c>
      <c r="BX20" s="380">
        <f t="shared" si="3"/>
        <v>55595.296678347979</v>
      </c>
      <c r="BY20" s="506">
        <v>16122451.619999999</v>
      </c>
      <c r="BZ20" s="53">
        <v>10.970595621782262</v>
      </c>
      <c r="CA20" s="507">
        <v>1469605.860595997</v>
      </c>
      <c r="CB20" s="380">
        <f t="shared" si="4"/>
        <v>39278.799680921249</v>
      </c>
      <c r="CC20" s="506">
        <v>14577582.52</v>
      </c>
      <c r="CD20" s="53">
        <v>11.074428529175647</v>
      </c>
      <c r="CE20" s="507">
        <v>1316328.1953190879</v>
      </c>
      <c r="CF20" s="380">
        <f t="shared" si="5"/>
        <v>-153277.66527690901</v>
      </c>
      <c r="CG20" s="506">
        <v>16268818.52</v>
      </c>
      <c r="CH20" s="53">
        <v>11.006530046613195</v>
      </c>
      <c r="CI20" s="507">
        <v>1478106.0380611105</v>
      </c>
      <c r="CJ20" s="380">
        <f t="shared" si="6"/>
        <v>161777.84274202259</v>
      </c>
      <c r="CK20" s="506">
        <v>35336522.289999999</v>
      </c>
      <c r="CL20" s="53">
        <v>11.111047522150155</v>
      </c>
      <c r="CM20" s="507">
        <v>3180305.2070073271</v>
      </c>
      <c r="CN20" s="380">
        <f t="shared" si="7"/>
        <v>1702199.1689462166</v>
      </c>
      <c r="CO20" s="506">
        <v>57357391.460000001</v>
      </c>
      <c r="CP20" s="53">
        <v>11.007454537818655</v>
      </c>
      <c r="CQ20" s="507">
        <v>5210777.0477666222</v>
      </c>
      <c r="CR20" s="380">
        <f t="shared" si="8"/>
        <v>2030471.840759295</v>
      </c>
      <c r="CS20" s="506">
        <v>62483405.259999998</v>
      </c>
      <c r="CT20" s="53">
        <v>11.059941767237742</v>
      </c>
      <c r="CU20" s="507">
        <v>5649523.8921683254</v>
      </c>
      <c r="CV20" s="380">
        <f t="shared" si="9"/>
        <v>438746.84440170322</v>
      </c>
      <c r="CW20" s="506">
        <v>66565364.289999999</v>
      </c>
      <c r="CX20" s="53">
        <v>11.168573559177586</v>
      </c>
      <c r="CY20" s="507">
        <v>5960059.6206219224</v>
      </c>
      <c r="CZ20" s="380">
        <f t="shared" si="10"/>
        <v>310535.72845359705</v>
      </c>
      <c r="DA20" s="506">
        <v>67217179.650000006</v>
      </c>
      <c r="DB20" s="53">
        <v>10.944940911178854</v>
      </c>
      <c r="DC20" s="507">
        <v>6141392.6484834906</v>
      </c>
      <c r="DD20" s="380">
        <f t="shared" si="11"/>
        <v>181333.02786156815</v>
      </c>
      <c r="DE20" s="506">
        <v>67217179.650000006</v>
      </c>
      <c r="DF20" s="53">
        <v>10.963941352408442</v>
      </c>
      <c r="DG20" s="507">
        <v>6130749.6537487814</v>
      </c>
      <c r="DH20" s="380">
        <f t="shared" si="12"/>
        <v>-10642.994734709151</v>
      </c>
      <c r="DI20" s="506">
        <v>68395076.040000007</v>
      </c>
      <c r="DJ20" s="53">
        <v>10.923046468014171</v>
      </c>
      <c r="DK20" s="507">
        <v>6261538.5039586257</v>
      </c>
      <c r="DL20" s="380">
        <f t="shared" si="13"/>
        <v>130788.8502098443</v>
      </c>
      <c r="DM20" s="506">
        <v>40946874.729999997</v>
      </c>
      <c r="DN20" s="53">
        <v>10.933526614383448</v>
      </c>
      <c r="DO20" s="507">
        <v>3745074.7754281689</v>
      </c>
      <c r="DP20" s="380">
        <f t="shared" si="14"/>
        <v>-2516463.7285304568</v>
      </c>
      <c r="DQ20" s="506">
        <v>32860734.789999999</v>
      </c>
      <c r="DR20" s="53">
        <v>11.003988496336881</v>
      </c>
      <c r="DS20" s="507">
        <v>2986256.73781275</v>
      </c>
      <c r="DT20" s="380">
        <f t="shared" si="15"/>
        <v>-758818.0376154189</v>
      </c>
      <c r="DU20" s="506">
        <v>44505506.009999998</v>
      </c>
      <c r="DV20" s="53">
        <v>10.999785913080709</v>
      </c>
      <c r="DW20" s="507">
        <v>4046033.8375381478</v>
      </c>
      <c r="DX20" s="380">
        <f t="shared" si="16"/>
        <v>1059777.0997253978</v>
      </c>
      <c r="DY20" s="506">
        <v>49656619</v>
      </c>
      <c r="DZ20" s="53">
        <v>10.948221</v>
      </c>
      <c r="EA20" s="507">
        <v>4535587.9279382471</v>
      </c>
      <c r="EB20" s="380">
        <f t="shared" si="17"/>
        <v>489554.09040009929</v>
      </c>
      <c r="EC20" s="506">
        <v>50336833</v>
      </c>
      <c r="ED20" s="53">
        <v>10.930171</v>
      </c>
      <c r="EE20" s="507">
        <v>4605310.6579942806</v>
      </c>
      <c r="EF20" s="380">
        <f t="shared" si="18"/>
        <v>69722.73005603347</v>
      </c>
      <c r="EG20" s="506">
        <v>50532247</v>
      </c>
      <c r="EH20" s="53">
        <v>10.891002</v>
      </c>
      <c r="EI20" s="507">
        <v>4639816.1528204661</v>
      </c>
      <c r="EJ20" s="380">
        <f t="shared" si="19"/>
        <v>34505.494826185517</v>
      </c>
      <c r="EK20" s="506">
        <v>55060903</v>
      </c>
      <c r="EL20" s="53">
        <v>10.897506</v>
      </c>
      <c r="EM20" s="507">
        <v>5052615.0662362566</v>
      </c>
      <c r="EN20" s="380">
        <f t="shared" si="20"/>
        <v>412798.91341579054</v>
      </c>
      <c r="EO20" s="506">
        <v>55835223</v>
      </c>
      <c r="EP20" s="53">
        <v>10.906008</v>
      </c>
      <c r="EQ20" s="507">
        <v>5119675.5953232385</v>
      </c>
      <c r="ER20" s="380">
        <f t="shared" si="21"/>
        <v>67060.5290869819</v>
      </c>
      <c r="ES20" s="506">
        <v>52188903</v>
      </c>
      <c r="ET20" s="53">
        <v>10.917489</v>
      </c>
      <c r="EU20" s="507">
        <v>4780302.7784136077</v>
      </c>
      <c r="EV20" s="380">
        <f t="shared" si="22"/>
        <v>-339372.81690963078</v>
      </c>
      <c r="EW20" s="506">
        <v>54115643</v>
      </c>
      <c r="EX20" s="53">
        <v>10.880492</v>
      </c>
      <c r="EY20" s="507">
        <v>4973639.335427111</v>
      </c>
      <c r="EZ20" s="380">
        <f t="shared" si="23"/>
        <v>193336.55701350328</v>
      </c>
      <c r="FA20" s="506">
        <v>55625442</v>
      </c>
      <c r="FB20" s="53">
        <v>10.808491999999999</v>
      </c>
      <c r="FC20" s="507">
        <v>5146457.2486152556</v>
      </c>
      <c r="FD20" s="380">
        <f t="shared" si="24"/>
        <v>172817.91318814456</v>
      </c>
      <c r="FE20" s="506">
        <v>57013854</v>
      </c>
      <c r="FF20" s="53">
        <v>10.851991</v>
      </c>
      <c r="FG20" s="507">
        <v>5253769.0088390233</v>
      </c>
      <c r="FH20" s="380">
        <f t="shared" si="25"/>
        <v>107311.76022376772</v>
      </c>
      <c r="FI20" s="506">
        <v>61518723</v>
      </c>
      <c r="FJ20" s="53">
        <v>10.924499000000001</v>
      </c>
      <c r="FK20" s="507">
        <v>5631262.6327303424</v>
      </c>
      <c r="FL20" s="380">
        <f t="shared" si="26"/>
        <v>377493.62389131915</v>
      </c>
      <c r="FM20" s="506">
        <v>64448153</v>
      </c>
      <c r="FN20" s="53">
        <v>10.902004</v>
      </c>
      <c r="FO20" s="507">
        <v>5911587.7227709694</v>
      </c>
      <c r="FP20" s="380">
        <f t="shared" si="27"/>
        <v>280325.09004062694</v>
      </c>
      <c r="FQ20" s="506">
        <v>52647358</v>
      </c>
      <c r="FR20" s="53">
        <v>10.874503000000001</v>
      </c>
      <c r="FS20" s="507">
        <v>4841357.6234242609</v>
      </c>
      <c r="FT20" s="380">
        <f t="shared" si="28"/>
        <v>-1070230.0993467085</v>
      </c>
      <c r="FU20" s="506">
        <v>41106150</v>
      </c>
      <c r="FV20" s="53">
        <v>10.849996000000001</v>
      </c>
      <c r="FW20" s="507">
        <v>3788586.6501701935</v>
      </c>
      <c r="FX20" s="380">
        <f t="shared" si="29"/>
        <v>-1052770.9732540674</v>
      </c>
      <c r="FY20" s="506">
        <v>30616205</v>
      </c>
      <c r="FZ20" s="53">
        <v>10.817761000000001</v>
      </c>
      <c r="GA20" s="507">
        <v>2830179.4613506435</v>
      </c>
      <c r="GB20" s="380">
        <f t="shared" si="30"/>
        <v>-958407.18881954998</v>
      </c>
      <c r="GC20" s="506">
        <v>32242058</v>
      </c>
      <c r="GD20" s="53">
        <v>10.825991999999999</v>
      </c>
      <c r="GE20" s="507">
        <v>2978208.1863722051</v>
      </c>
      <c r="GF20" s="380">
        <f t="shared" si="31"/>
        <v>148028.72502156161</v>
      </c>
      <c r="GG20" s="506">
        <v>32485184</v>
      </c>
      <c r="GH20" s="53">
        <v>10.872005</v>
      </c>
      <c r="GI20" s="507">
        <v>2987966.2490957282</v>
      </c>
      <c r="GJ20" s="380">
        <f t="shared" si="32"/>
        <v>9758.0627235230058</v>
      </c>
      <c r="GK20" s="506">
        <v>32992006</v>
      </c>
      <c r="GL20" s="53">
        <v>10.876507</v>
      </c>
      <c r="GM20" s="507">
        <v>3033327.3356970209</v>
      </c>
      <c r="GN20" s="380">
        <f t="shared" si="33"/>
        <v>45361.086601292714</v>
      </c>
      <c r="GO20" s="506">
        <v>32992006</v>
      </c>
      <c r="GP20" s="53">
        <v>10.873488999999999</v>
      </c>
      <c r="GQ20" s="507">
        <v>3034169.2533095866</v>
      </c>
      <c r="GR20" s="380">
        <f t="shared" si="34"/>
        <v>841.91761256568134</v>
      </c>
      <c r="GS20" s="506">
        <v>36245727</v>
      </c>
      <c r="GT20" s="53">
        <v>10.866001000000001</v>
      </c>
      <c r="GU20" s="507">
        <v>3335700.686940853</v>
      </c>
      <c r="GV20" s="380">
        <f t="shared" si="35"/>
        <v>301531.43363126647</v>
      </c>
      <c r="GW20" s="506">
        <v>37877369</v>
      </c>
      <c r="GX20" s="53">
        <v>10.858991</v>
      </c>
      <c r="GY20" s="507">
        <v>3488111.2803206118</v>
      </c>
      <c r="GZ20" s="380">
        <f t="shared" si="36"/>
        <v>152410.59337975876</v>
      </c>
      <c r="HA20" s="506">
        <v>47640143</v>
      </c>
      <c r="HB20" s="53">
        <v>10.91901</v>
      </c>
      <c r="HC20" s="507">
        <v>4363046.0087498771</v>
      </c>
      <c r="HD20" s="380">
        <f t="shared" si="37"/>
        <v>874934.72842926532</v>
      </c>
      <c r="HE20" s="506">
        <v>52298433</v>
      </c>
      <c r="HF20" s="53">
        <v>10.938496000000001</v>
      </c>
      <c r="HG20" s="507">
        <v>4781135.6332717035</v>
      </c>
      <c r="HH20" s="380">
        <f t="shared" si="38"/>
        <v>418089.62452182639</v>
      </c>
      <c r="HI20" s="506">
        <v>51684032</v>
      </c>
      <c r="HJ20" s="53">
        <v>10.941000000000001</v>
      </c>
      <c r="HK20" s="507">
        <v>4723885.5680467961</v>
      </c>
      <c r="HL20" s="380">
        <f t="shared" si="39"/>
        <v>-57250.065224907361</v>
      </c>
      <c r="HM20" s="506">
        <v>51684032</v>
      </c>
      <c r="HN20" s="53">
        <v>10.9575</v>
      </c>
      <c r="HO20" s="507">
        <v>4716772.2564453576</v>
      </c>
      <c r="HP20" s="380">
        <f t="shared" si="40"/>
        <v>-7113.3116014385596</v>
      </c>
      <c r="HQ20" s="506">
        <v>52576205</v>
      </c>
      <c r="HR20" s="53">
        <v>10.945007</v>
      </c>
      <c r="HS20" s="507">
        <v>4803670.2945918627</v>
      </c>
      <c r="HT20" s="380">
        <f t="shared" si="41"/>
        <v>86898.038146505132</v>
      </c>
      <c r="HU20" s="506">
        <v>53165486</v>
      </c>
      <c r="HV20" s="53">
        <v>10.984994</v>
      </c>
      <c r="HW20" s="507">
        <v>4839828.4059144687</v>
      </c>
      <c r="HX20" s="380">
        <f t="shared" si="42"/>
        <v>36158.111322605982</v>
      </c>
      <c r="HY20" s="506">
        <v>55220827</v>
      </c>
      <c r="HZ20" s="53">
        <v>10.968007999999999</v>
      </c>
      <c r="IA20" s="507">
        <v>5034717.9724887144</v>
      </c>
      <c r="IB20" s="380">
        <f t="shared" si="43"/>
        <v>194889.56657424569</v>
      </c>
      <c r="IC20" s="506">
        <v>59083452</v>
      </c>
      <c r="ID20" s="53">
        <v>10.968007999999999</v>
      </c>
      <c r="IE20" s="507">
        <v>5386889.9439168898</v>
      </c>
      <c r="IF20" s="380">
        <f t="shared" si="44"/>
        <v>352171.97142817546</v>
      </c>
      <c r="IG20" s="506">
        <v>49349728</v>
      </c>
      <c r="IH20" s="53">
        <v>10.968007999999999</v>
      </c>
      <c r="II20" s="507">
        <v>4499424.8727754392</v>
      </c>
      <c r="IJ20" s="380">
        <f t="shared" si="45"/>
        <v>-887465.07114145067</v>
      </c>
      <c r="IK20" s="506">
        <v>61499440</v>
      </c>
      <c r="IL20" s="53">
        <v>10.968007999999999</v>
      </c>
      <c r="IM20" s="507">
        <v>5607165.8591058655</v>
      </c>
      <c r="IN20" s="380">
        <f t="shared" si="46"/>
        <v>1107740.9863304263</v>
      </c>
      <c r="IO20" s="506">
        <v>61499440</v>
      </c>
      <c r="IP20" s="53">
        <v>10.968007999999999</v>
      </c>
      <c r="IQ20" s="507">
        <v>5607165.8591058655</v>
      </c>
      <c r="IR20" s="380">
        <f t="shared" si="47"/>
        <v>0</v>
      </c>
      <c r="IS20" s="506">
        <v>43228523</v>
      </c>
      <c r="IT20" s="53">
        <v>10.968007999999999</v>
      </c>
      <c r="IU20" s="507">
        <v>3941328.5438887356</v>
      </c>
      <c r="IV20" s="380">
        <f t="shared" si="48"/>
        <v>-1665837.3152171299</v>
      </c>
      <c r="IW20" s="506">
        <v>40793285</v>
      </c>
      <c r="IX20" s="53">
        <v>11.064005</v>
      </c>
      <c r="IY20" s="507">
        <v>3687026.9852553392</v>
      </c>
      <c r="IZ20" s="380">
        <f t="shared" si="49"/>
        <v>-254301.5586333964</v>
      </c>
    </row>
    <row r="21" spans="1:260">
      <c r="A21" s="13">
        <v>30</v>
      </c>
      <c r="B21" s="13" t="s">
        <v>520</v>
      </c>
      <c r="C21" s="13" t="s">
        <v>154</v>
      </c>
      <c r="D21" s="13" t="s">
        <v>459</v>
      </c>
      <c r="E21" s="13" t="s">
        <v>2</v>
      </c>
      <c r="F21" s="13">
        <v>49903349</v>
      </c>
      <c r="G21" s="13" t="s">
        <v>530</v>
      </c>
      <c r="H21" s="49" t="s">
        <v>522</v>
      </c>
      <c r="I21" s="14">
        <f>+'IBP export - Colar'!A49</f>
        <v>38141</v>
      </c>
      <c r="J21" s="14">
        <f>+VLOOKUP(E21,'Summary - Colar'!$M$39:$N$54,2,FALSE)</f>
        <v>1</v>
      </c>
      <c r="K21" s="14">
        <f t="shared" si="50"/>
        <v>38141</v>
      </c>
      <c r="L21" s="506">
        <v>447102.39</v>
      </c>
      <c r="M21" s="53">
        <v>1</v>
      </c>
      <c r="N21" s="507">
        <v>447102.39</v>
      </c>
      <c r="O21" s="506">
        <v>417523.35</v>
      </c>
      <c r="P21" s="53">
        <v>1</v>
      </c>
      <c r="Q21" s="507">
        <v>417523.35</v>
      </c>
      <c r="R21" s="506">
        <v>400556.2</v>
      </c>
      <c r="S21" s="53">
        <v>1</v>
      </c>
      <c r="T21" s="507">
        <v>400556.2</v>
      </c>
      <c r="U21" s="506">
        <v>400551.07</v>
      </c>
      <c r="V21" s="53">
        <v>1</v>
      </c>
      <c r="W21" s="507">
        <v>400551.07</v>
      </c>
      <c r="X21" s="506">
        <v>342952.63</v>
      </c>
      <c r="Y21" s="53">
        <v>1</v>
      </c>
      <c r="Z21" s="507">
        <v>342952.63</v>
      </c>
      <c r="AA21" s="506">
        <v>379524.11</v>
      </c>
      <c r="AB21" s="53">
        <v>1</v>
      </c>
      <c r="AC21" s="507">
        <v>379524.11</v>
      </c>
      <c r="AD21" s="506">
        <v>382431.23</v>
      </c>
      <c r="AE21" s="53">
        <v>1</v>
      </c>
      <c r="AF21" s="507">
        <v>382431.23</v>
      </c>
      <c r="AG21" s="506">
        <v>373549.02</v>
      </c>
      <c r="AH21" s="53">
        <v>1</v>
      </c>
      <c r="AI21" s="507">
        <v>373549.02</v>
      </c>
      <c r="AJ21" s="506">
        <v>371548.89</v>
      </c>
      <c r="AK21" s="53">
        <v>1</v>
      </c>
      <c r="AL21" s="507">
        <v>371548.89</v>
      </c>
      <c r="AM21" s="506">
        <v>344752.14</v>
      </c>
      <c r="AN21" s="53">
        <v>1</v>
      </c>
      <c r="AO21" s="507">
        <v>344752.14</v>
      </c>
      <c r="AP21" s="506">
        <v>308701.43</v>
      </c>
      <c r="AQ21" s="53">
        <v>1</v>
      </c>
      <c r="AR21" s="507">
        <v>308701.43</v>
      </c>
      <c r="AS21" s="506">
        <v>396212</v>
      </c>
      <c r="AT21" s="53">
        <v>1</v>
      </c>
      <c r="AU21" s="507">
        <v>396212</v>
      </c>
      <c r="AV21" s="506">
        <v>414317.7</v>
      </c>
      <c r="AW21" s="53">
        <v>1</v>
      </c>
      <c r="AX21" s="507">
        <v>414317.7</v>
      </c>
      <c r="AY21" s="506">
        <v>404688.41</v>
      </c>
      <c r="AZ21" s="53">
        <v>1</v>
      </c>
      <c r="BA21" s="507">
        <v>404688.41</v>
      </c>
      <c r="BB21" s="506">
        <v>404688.41</v>
      </c>
      <c r="BC21" s="53">
        <v>1</v>
      </c>
      <c r="BD21" s="507">
        <v>404688.41</v>
      </c>
      <c r="BE21" s="506">
        <v>404688.41</v>
      </c>
      <c r="BF21" s="53">
        <v>1</v>
      </c>
      <c r="BG21" s="507">
        <v>404688.41</v>
      </c>
      <c r="BH21" s="380">
        <f t="shared" si="0"/>
        <v>404687.41</v>
      </c>
      <c r="BI21" s="506">
        <v>404688.41</v>
      </c>
      <c r="BJ21" s="53">
        <v>1</v>
      </c>
      <c r="BK21" s="507">
        <v>404688.41</v>
      </c>
      <c r="BL21" s="380">
        <f t="shared" si="1"/>
        <v>0</v>
      </c>
      <c r="BM21" s="506">
        <v>404688.41</v>
      </c>
      <c r="BN21" s="53">
        <v>1</v>
      </c>
      <c r="BO21" s="507">
        <v>404688.41</v>
      </c>
      <c r="BP21">
        <v>-26796.75</v>
      </c>
      <c r="BQ21" s="506">
        <v>404688.41</v>
      </c>
      <c r="BR21" s="53">
        <v>1</v>
      </c>
      <c r="BS21" s="507">
        <v>404688.41</v>
      </c>
      <c r="BT21" s="380">
        <f t="shared" si="2"/>
        <v>0</v>
      </c>
      <c r="BU21" s="506">
        <v>404688.41</v>
      </c>
      <c r="BV21" s="53">
        <v>1</v>
      </c>
      <c r="BW21" s="507">
        <v>404688.41</v>
      </c>
      <c r="BX21" s="380">
        <f t="shared" si="3"/>
        <v>0</v>
      </c>
      <c r="BY21" s="506">
        <v>404688.41</v>
      </c>
      <c r="BZ21" s="53">
        <v>1</v>
      </c>
      <c r="CA21" s="507">
        <v>404688.41</v>
      </c>
      <c r="CB21" s="380">
        <f t="shared" si="4"/>
        <v>0</v>
      </c>
      <c r="CC21" s="506">
        <v>364116.89</v>
      </c>
      <c r="CD21" s="53">
        <v>1</v>
      </c>
      <c r="CE21" s="507">
        <v>364116.89</v>
      </c>
      <c r="CF21" s="380">
        <f t="shared" si="5"/>
        <v>-40571.51999999996</v>
      </c>
      <c r="CG21" s="506">
        <v>364116.89</v>
      </c>
      <c r="CH21" s="53">
        <v>1</v>
      </c>
      <c r="CI21" s="507">
        <v>364116.89</v>
      </c>
      <c r="CJ21" s="380">
        <f t="shared" si="6"/>
        <v>0</v>
      </c>
      <c r="CK21" s="506">
        <v>364116.89</v>
      </c>
      <c r="CL21" s="53">
        <v>1</v>
      </c>
      <c r="CM21" s="507">
        <v>364116.89</v>
      </c>
      <c r="CN21" s="380">
        <f t="shared" si="7"/>
        <v>0</v>
      </c>
      <c r="CO21" s="506">
        <v>364116.89</v>
      </c>
      <c r="CP21" s="53">
        <v>1</v>
      </c>
      <c r="CQ21" s="507">
        <v>364116.89</v>
      </c>
      <c r="CR21" s="380">
        <f t="shared" si="8"/>
        <v>0</v>
      </c>
      <c r="CS21" s="506">
        <v>364116.89</v>
      </c>
      <c r="CT21" s="53">
        <v>1</v>
      </c>
      <c r="CU21" s="507">
        <v>364116.89</v>
      </c>
      <c r="CV21" s="380">
        <f t="shared" si="9"/>
        <v>0</v>
      </c>
      <c r="CW21" s="506">
        <v>364116.89</v>
      </c>
      <c r="CX21" s="53">
        <v>1</v>
      </c>
      <c r="CY21" s="507">
        <v>364116.89</v>
      </c>
      <c r="CZ21" s="380">
        <f t="shared" si="10"/>
        <v>0</v>
      </c>
      <c r="DA21" s="506">
        <v>364116.89</v>
      </c>
      <c r="DB21" s="53">
        <v>1</v>
      </c>
      <c r="DC21" s="507">
        <v>364116.89</v>
      </c>
      <c r="DD21" s="380">
        <f t="shared" si="11"/>
        <v>0</v>
      </c>
      <c r="DE21" s="506">
        <v>364116.89</v>
      </c>
      <c r="DF21" s="53">
        <v>1</v>
      </c>
      <c r="DG21" s="507">
        <v>364116.89</v>
      </c>
      <c r="DH21" s="380">
        <f t="shared" si="12"/>
        <v>0</v>
      </c>
      <c r="DI21" s="506">
        <v>364116.89</v>
      </c>
      <c r="DJ21" s="53">
        <v>1</v>
      </c>
      <c r="DK21" s="507">
        <v>364116.89</v>
      </c>
      <c r="DL21" s="380">
        <f t="shared" si="13"/>
        <v>0</v>
      </c>
      <c r="DM21" s="506">
        <v>364116.89</v>
      </c>
      <c r="DN21" s="53">
        <v>1</v>
      </c>
      <c r="DO21" s="507">
        <v>364116.89</v>
      </c>
      <c r="DP21" s="380">
        <f t="shared" si="14"/>
        <v>0</v>
      </c>
      <c r="DQ21" s="506">
        <v>362465.5</v>
      </c>
      <c r="DR21" s="53">
        <v>1</v>
      </c>
      <c r="DS21" s="507">
        <v>362465.5</v>
      </c>
      <c r="DT21" s="380">
        <f t="shared" si="15"/>
        <v>-1651.390000000014</v>
      </c>
      <c r="DU21" s="506">
        <v>169111.39</v>
      </c>
      <c r="DV21" s="53">
        <v>1</v>
      </c>
      <c r="DW21" s="507">
        <v>169111.39</v>
      </c>
      <c r="DX21" s="380">
        <f t="shared" si="16"/>
        <v>-193354.11</v>
      </c>
      <c r="DY21" s="506">
        <v>216129</v>
      </c>
      <c r="DZ21" s="53">
        <v>1</v>
      </c>
      <c r="EA21" s="507">
        <v>216129</v>
      </c>
      <c r="EB21" s="380">
        <f t="shared" si="17"/>
        <v>47017.609999999986</v>
      </c>
      <c r="EC21" s="506">
        <v>216129</v>
      </c>
      <c r="ED21" s="53">
        <v>1</v>
      </c>
      <c r="EE21" s="507">
        <v>216129</v>
      </c>
      <c r="EF21" s="380">
        <f t="shared" si="18"/>
        <v>0</v>
      </c>
      <c r="EG21" s="506">
        <v>216129</v>
      </c>
      <c r="EH21" s="53">
        <v>1</v>
      </c>
      <c r="EI21" s="507">
        <v>216129</v>
      </c>
      <c r="EJ21" s="380">
        <f t="shared" si="19"/>
        <v>0</v>
      </c>
      <c r="EK21" s="506">
        <v>216129</v>
      </c>
      <c r="EL21" s="53">
        <v>1</v>
      </c>
      <c r="EM21" s="507">
        <v>216129</v>
      </c>
      <c r="EN21" s="380">
        <f t="shared" si="20"/>
        <v>0</v>
      </c>
      <c r="EO21" s="506">
        <v>204579</v>
      </c>
      <c r="EP21" s="53">
        <v>1</v>
      </c>
      <c r="EQ21" s="507">
        <v>204579</v>
      </c>
      <c r="ER21" s="380">
        <f t="shared" si="21"/>
        <v>-11550</v>
      </c>
      <c r="ES21" s="506">
        <v>204579</v>
      </c>
      <c r="ET21" s="53">
        <v>1</v>
      </c>
      <c r="EU21" s="507">
        <v>204579</v>
      </c>
      <c r="EV21" s="380">
        <f t="shared" si="22"/>
        <v>0</v>
      </c>
      <c r="EW21" s="506">
        <v>204579</v>
      </c>
      <c r="EX21" s="53">
        <v>1</v>
      </c>
      <c r="EY21" s="507">
        <v>204579</v>
      </c>
      <c r="EZ21" s="380">
        <f t="shared" si="23"/>
        <v>0</v>
      </c>
      <c r="FA21" s="506">
        <v>204579</v>
      </c>
      <c r="FB21" s="53">
        <v>1</v>
      </c>
      <c r="FC21" s="507">
        <v>204579</v>
      </c>
      <c r="FD21" s="380">
        <f t="shared" si="24"/>
        <v>0</v>
      </c>
      <c r="FE21" s="506">
        <v>204579</v>
      </c>
      <c r="FF21" s="53">
        <v>1</v>
      </c>
      <c r="FG21" s="507">
        <v>204579</v>
      </c>
      <c r="FH21" s="380">
        <f t="shared" si="25"/>
        <v>0</v>
      </c>
      <c r="FI21" s="506">
        <v>203995</v>
      </c>
      <c r="FJ21" s="53">
        <v>1</v>
      </c>
      <c r="FK21" s="507">
        <v>203995</v>
      </c>
      <c r="FL21" s="380">
        <f t="shared" si="26"/>
        <v>-584</v>
      </c>
      <c r="FM21" s="506">
        <v>203995</v>
      </c>
      <c r="FN21" s="53">
        <v>1</v>
      </c>
      <c r="FO21" s="507">
        <v>203995</v>
      </c>
      <c r="FP21" s="380">
        <f t="shared" si="27"/>
        <v>0</v>
      </c>
      <c r="FQ21" s="506">
        <v>203995</v>
      </c>
      <c r="FR21" s="53">
        <v>1</v>
      </c>
      <c r="FS21" s="507">
        <v>203995</v>
      </c>
      <c r="FT21" s="380">
        <f t="shared" si="28"/>
        <v>0</v>
      </c>
      <c r="FU21" s="506">
        <v>211908</v>
      </c>
      <c r="FV21" s="53">
        <v>1</v>
      </c>
      <c r="FW21" s="507">
        <v>211908</v>
      </c>
      <c r="FX21" s="380">
        <f t="shared" si="29"/>
        <v>7913</v>
      </c>
      <c r="FY21" s="506">
        <v>211908</v>
      </c>
      <c r="FZ21" s="53">
        <v>1</v>
      </c>
      <c r="GA21" s="507">
        <v>211908</v>
      </c>
      <c r="GB21" s="380">
        <f t="shared" si="30"/>
        <v>0</v>
      </c>
      <c r="GC21" s="506">
        <v>211908</v>
      </c>
      <c r="GD21" s="53">
        <v>1</v>
      </c>
      <c r="GE21" s="507">
        <v>211908</v>
      </c>
      <c r="GF21" s="380">
        <f t="shared" si="31"/>
        <v>0</v>
      </c>
      <c r="GG21" s="506">
        <v>211908</v>
      </c>
      <c r="GH21" s="53">
        <v>1</v>
      </c>
      <c r="GI21" s="507">
        <v>211908</v>
      </c>
      <c r="GJ21" s="380">
        <f t="shared" si="32"/>
        <v>0</v>
      </c>
      <c r="GK21" s="506">
        <v>211908</v>
      </c>
      <c r="GL21" s="53">
        <v>1</v>
      </c>
      <c r="GM21" s="507">
        <v>211908</v>
      </c>
      <c r="GN21" s="380">
        <f t="shared" si="33"/>
        <v>0</v>
      </c>
      <c r="GO21" s="506">
        <v>211908</v>
      </c>
      <c r="GP21" s="53">
        <v>1</v>
      </c>
      <c r="GQ21" s="507">
        <v>211908</v>
      </c>
      <c r="GR21" s="380">
        <f t="shared" si="34"/>
        <v>0</v>
      </c>
      <c r="GS21" s="506">
        <v>211908</v>
      </c>
      <c r="GT21" s="53">
        <v>1</v>
      </c>
      <c r="GU21" s="507">
        <v>211908</v>
      </c>
      <c r="GV21" s="380">
        <f t="shared" si="35"/>
        <v>0</v>
      </c>
      <c r="GW21" s="506">
        <v>211908</v>
      </c>
      <c r="GX21" s="53">
        <v>1</v>
      </c>
      <c r="GY21" s="507">
        <v>211908</v>
      </c>
      <c r="GZ21" s="380">
        <f t="shared" si="36"/>
        <v>0</v>
      </c>
      <c r="HA21" s="506">
        <v>211908</v>
      </c>
      <c r="HB21" s="53">
        <v>1</v>
      </c>
      <c r="HC21" s="507">
        <v>211908</v>
      </c>
      <c r="HD21" s="380">
        <f t="shared" si="37"/>
        <v>0</v>
      </c>
      <c r="HE21" s="506">
        <v>192618</v>
      </c>
      <c r="HF21" s="53">
        <v>1</v>
      </c>
      <c r="HG21" s="507">
        <v>192618</v>
      </c>
      <c r="HH21" s="380">
        <f t="shared" si="38"/>
        <v>-19290</v>
      </c>
      <c r="HI21" s="506">
        <v>192618</v>
      </c>
      <c r="HJ21" s="53">
        <v>1</v>
      </c>
      <c r="HK21" s="507">
        <v>192618</v>
      </c>
      <c r="HL21" s="380">
        <f t="shared" si="39"/>
        <v>0</v>
      </c>
      <c r="HM21" s="506">
        <v>192618</v>
      </c>
      <c r="HN21" s="53">
        <v>1</v>
      </c>
      <c r="HO21" s="507">
        <v>192618</v>
      </c>
      <c r="HP21" s="380">
        <f t="shared" si="40"/>
        <v>0</v>
      </c>
      <c r="HQ21" s="506">
        <v>63184</v>
      </c>
      <c r="HR21" s="53">
        <v>1</v>
      </c>
      <c r="HS21" s="507">
        <v>63184</v>
      </c>
      <c r="HT21" s="380">
        <f t="shared" si="41"/>
        <v>-129434</v>
      </c>
      <c r="HU21" s="506">
        <v>71096</v>
      </c>
      <c r="HV21" s="53">
        <v>1</v>
      </c>
      <c r="HW21" s="507">
        <v>71096</v>
      </c>
      <c r="HX21" s="380">
        <f t="shared" si="42"/>
        <v>7912</v>
      </c>
      <c r="HY21" s="506">
        <v>71096</v>
      </c>
      <c r="HZ21" s="53">
        <v>1</v>
      </c>
      <c r="IA21" s="507">
        <v>71096</v>
      </c>
      <c r="IB21" s="380">
        <f t="shared" si="43"/>
        <v>0</v>
      </c>
      <c r="IC21" s="506">
        <v>71096</v>
      </c>
      <c r="ID21" s="53">
        <v>1</v>
      </c>
      <c r="IE21" s="507">
        <v>71096</v>
      </c>
      <c r="IF21" s="380">
        <f t="shared" si="44"/>
        <v>0</v>
      </c>
      <c r="IG21" s="506">
        <v>71096</v>
      </c>
      <c r="IH21" s="53">
        <v>1</v>
      </c>
      <c r="II21" s="507">
        <v>71096</v>
      </c>
      <c r="IJ21" s="380">
        <f t="shared" si="45"/>
        <v>0</v>
      </c>
      <c r="IK21" s="506">
        <v>77747</v>
      </c>
      <c r="IL21" s="53">
        <v>1</v>
      </c>
      <c r="IM21" s="507">
        <v>77747</v>
      </c>
      <c r="IN21" s="380">
        <f t="shared" si="46"/>
        <v>6651</v>
      </c>
      <c r="IO21" s="506">
        <v>77747</v>
      </c>
      <c r="IP21" s="53">
        <v>1</v>
      </c>
      <c r="IQ21" s="507">
        <v>77747</v>
      </c>
      <c r="IR21" s="380">
        <f t="shared" si="47"/>
        <v>0</v>
      </c>
      <c r="IS21" s="506">
        <v>77747</v>
      </c>
      <c r="IT21" s="53">
        <v>1</v>
      </c>
      <c r="IU21" s="507">
        <v>77747</v>
      </c>
      <c r="IV21" s="380">
        <f t="shared" si="48"/>
        <v>0</v>
      </c>
      <c r="IW21" s="506">
        <v>38141</v>
      </c>
      <c r="IX21" s="53">
        <v>1</v>
      </c>
      <c r="IY21" s="507">
        <v>38141</v>
      </c>
      <c r="IZ21" s="380">
        <f t="shared" si="49"/>
        <v>-39606</v>
      </c>
    </row>
    <row r="22" spans="1:260" ht="24.75">
      <c r="A22" s="13" t="s">
        <v>531</v>
      </c>
      <c r="B22" s="13" t="s">
        <v>532</v>
      </c>
      <c r="C22" s="13" t="s">
        <v>154</v>
      </c>
      <c r="D22" s="13" t="s">
        <v>459</v>
      </c>
      <c r="E22" s="13" t="s">
        <v>6</v>
      </c>
      <c r="F22" s="13" t="s">
        <v>533</v>
      </c>
      <c r="G22" s="13"/>
      <c r="H22" s="14" t="s">
        <v>534</v>
      </c>
      <c r="I22" s="14" t="s">
        <v>494</v>
      </c>
      <c r="J22" s="14">
        <f>+VLOOKUP(E22,'Summary - Colar'!$M$39:$N$54,2,FALSE)</f>
        <v>11.064005</v>
      </c>
      <c r="K22" s="14"/>
      <c r="L22" s="506" t="s">
        <v>494</v>
      </c>
      <c r="M22" s="53">
        <v>11.454999960514845</v>
      </c>
      <c r="N22" s="507"/>
      <c r="O22" s="506" t="s">
        <v>494</v>
      </c>
      <c r="P22" s="53">
        <v>11.435000500511592</v>
      </c>
      <c r="Q22" s="507"/>
      <c r="R22" s="506" t="s">
        <v>494</v>
      </c>
      <c r="S22" s="53">
        <v>11.492499208105174</v>
      </c>
      <c r="T22" s="507"/>
      <c r="U22" s="506" t="s">
        <v>494</v>
      </c>
      <c r="V22" s="53">
        <v>11.502500793332414</v>
      </c>
      <c r="W22" s="507"/>
      <c r="X22" s="506" t="s">
        <v>494</v>
      </c>
      <c r="Y22" s="53">
        <v>11.456999868201573</v>
      </c>
      <c r="Z22" s="507"/>
      <c r="AA22" s="506" t="s">
        <v>494</v>
      </c>
      <c r="AB22" s="53">
        <v>11.473500522428596</v>
      </c>
      <c r="AC22" s="507"/>
      <c r="AD22" s="506" t="s">
        <v>494</v>
      </c>
      <c r="AE22" s="53">
        <v>11.284499921375806</v>
      </c>
      <c r="AF22" s="507"/>
      <c r="AG22" s="506" t="s">
        <v>494</v>
      </c>
      <c r="AH22" s="53">
        <v>11.243500691464227</v>
      </c>
      <c r="AI22" s="507"/>
      <c r="AJ22" s="506" t="s">
        <v>494</v>
      </c>
      <c r="AK22" s="53">
        <v>11.138000053238743</v>
      </c>
      <c r="AL22" s="507"/>
      <c r="AM22" s="506" t="s">
        <v>494</v>
      </c>
      <c r="AN22" s="53">
        <v>11.185000303105333</v>
      </c>
      <c r="AO22" s="507"/>
      <c r="AP22" s="506" t="s">
        <v>494</v>
      </c>
      <c r="AQ22" s="53">
        <v>10.963483090740779</v>
      </c>
      <c r="AR22" s="507"/>
      <c r="AS22" s="506" t="s">
        <v>494</v>
      </c>
      <c r="AT22" s="53">
        <v>11.041558</v>
      </c>
      <c r="AU22" s="507"/>
      <c r="AV22" s="506" t="s">
        <v>494</v>
      </c>
      <c r="AW22" s="53">
        <v>10.930543555101721</v>
      </c>
      <c r="AX22" s="507"/>
      <c r="AY22" s="506" t="s">
        <v>494</v>
      </c>
      <c r="AZ22" s="53">
        <v>10.829951164464852</v>
      </c>
      <c r="BA22" s="507"/>
      <c r="BB22" s="506" t="s">
        <v>494</v>
      </c>
      <c r="BC22" s="53">
        <v>10.849582878527992</v>
      </c>
      <c r="BD22" s="507"/>
      <c r="BE22" s="506" t="s">
        <v>494</v>
      </c>
      <c r="BF22" s="53">
        <v>10.809970480851396</v>
      </c>
      <c r="BG22" s="507"/>
      <c r="BH22" s="380">
        <f t="shared" si="0"/>
        <v>-10.849582878527992</v>
      </c>
      <c r="BI22" s="506" t="s">
        <v>494</v>
      </c>
      <c r="BJ22" s="53">
        <v>10.75857203602768</v>
      </c>
      <c r="BK22" s="507"/>
      <c r="BL22" s="380">
        <f t="shared" si="1"/>
        <v>0</v>
      </c>
      <c r="BM22" s="506" t="s">
        <v>494</v>
      </c>
      <c r="BN22" s="53">
        <v>10.72196768255267</v>
      </c>
      <c r="BO22" s="507"/>
      <c r="BP22">
        <v>0</v>
      </c>
      <c r="BQ22" s="506" t="s">
        <v>494</v>
      </c>
      <c r="BR22" s="53">
        <v>10.994064597315436</v>
      </c>
      <c r="BS22" s="507"/>
      <c r="BT22" s="380">
        <f t="shared" si="2"/>
        <v>0</v>
      </c>
      <c r="BU22" s="506" t="s">
        <v>494</v>
      </c>
      <c r="BV22" s="53">
        <v>11.089187874172326</v>
      </c>
      <c r="BW22" s="507"/>
      <c r="BX22" s="380">
        <f t="shared" si="3"/>
        <v>0</v>
      </c>
      <c r="BY22" s="506" t="s">
        <v>494</v>
      </c>
      <c r="BZ22" s="53">
        <v>10.970595621782262</v>
      </c>
      <c r="CA22" s="507"/>
      <c r="CB22" s="380">
        <f t="shared" si="4"/>
        <v>0</v>
      </c>
      <c r="CC22" s="506" t="s">
        <v>494</v>
      </c>
      <c r="CD22" s="53">
        <v>11.074428529175647</v>
      </c>
      <c r="CE22" s="507"/>
      <c r="CF22" s="380">
        <f t="shared" si="5"/>
        <v>0</v>
      </c>
      <c r="CG22" s="506" t="s">
        <v>494</v>
      </c>
      <c r="CH22" s="53">
        <v>11.006530046613195</v>
      </c>
      <c r="CI22" s="507"/>
      <c r="CJ22" s="380">
        <f t="shared" si="6"/>
        <v>0</v>
      </c>
      <c r="CK22" s="506" t="s">
        <v>494</v>
      </c>
      <c r="CL22" s="53">
        <v>11.111047522150155</v>
      </c>
      <c r="CM22" s="507"/>
      <c r="CN22" s="380">
        <f t="shared" si="7"/>
        <v>0</v>
      </c>
      <c r="CO22" s="506" t="s">
        <v>494</v>
      </c>
      <c r="CP22" s="53">
        <v>11.007454537818655</v>
      </c>
      <c r="CQ22" s="507"/>
      <c r="CR22" s="380">
        <f t="shared" si="8"/>
        <v>0</v>
      </c>
      <c r="CS22" s="506" t="s">
        <v>494</v>
      </c>
      <c r="CT22" s="53">
        <v>11.059941767237742</v>
      </c>
      <c r="CU22" s="507"/>
      <c r="CV22" s="380">
        <f t="shared" si="9"/>
        <v>0</v>
      </c>
      <c r="CW22" s="506" t="s">
        <v>494</v>
      </c>
      <c r="CX22" s="53">
        <v>11.168573559177586</v>
      </c>
      <c r="CY22" s="507"/>
      <c r="CZ22" s="380">
        <f t="shared" si="10"/>
        <v>0</v>
      </c>
      <c r="DA22" s="506" t="s">
        <v>494</v>
      </c>
      <c r="DB22" s="53">
        <v>10.944940911178854</v>
      </c>
      <c r="DC22" s="507"/>
      <c r="DD22" s="380">
        <f t="shared" si="11"/>
        <v>0</v>
      </c>
      <c r="DE22" s="506" t="s">
        <v>494</v>
      </c>
      <c r="DF22" s="53">
        <v>10.963941352408442</v>
      </c>
      <c r="DG22" s="507"/>
      <c r="DH22" s="380">
        <f t="shared" si="12"/>
        <v>0</v>
      </c>
      <c r="DI22" s="506" t="s">
        <v>494</v>
      </c>
      <c r="DJ22" s="53">
        <v>10.923046468014171</v>
      </c>
      <c r="DK22" s="507"/>
      <c r="DL22" s="380">
        <f t="shared" si="13"/>
        <v>0</v>
      </c>
      <c r="DM22" s="506" t="s">
        <v>494</v>
      </c>
      <c r="DN22" s="53">
        <v>10.933526614383448</v>
      </c>
      <c r="DO22" s="507"/>
      <c r="DP22" s="380">
        <f t="shared" si="14"/>
        <v>0</v>
      </c>
      <c r="DQ22" s="506" t="s">
        <v>494</v>
      </c>
      <c r="DR22" s="53">
        <v>11.003988496336881</v>
      </c>
      <c r="DS22" s="507"/>
      <c r="DT22" s="380">
        <f t="shared" si="15"/>
        <v>0</v>
      </c>
      <c r="DU22" s="506" t="s">
        <v>494</v>
      </c>
      <c r="DV22" s="53">
        <v>10.999785913080709</v>
      </c>
      <c r="DW22" s="507"/>
      <c r="DX22" s="380">
        <f t="shared" si="16"/>
        <v>0</v>
      </c>
      <c r="DY22" s="506" t="s">
        <v>494</v>
      </c>
      <c r="DZ22" s="53">
        <v>10.948221</v>
      </c>
      <c r="EA22" s="507"/>
      <c r="EB22" s="380">
        <f t="shared" si="17"/>
        <v>0</v>
      </c>
      <c r="EC22" s="506" t="s">
        <v>494</v>
      </c>
      <c r="ED22" s="53">
        <v>10.930171</v>
      </c>
      <c r="EE22" s="507"/>
      <c r="EF22" s="380">
        <f t="shared" si="18"/>
        <v>0</v>
      </c>
      <c r="EG22" s="506" t="s">
        <v>494</v>
      </c>
      <c r="EH22" s="53">
        <v>10.891002</v>
      </c>
      <c r="EI22" s="507"/>
      <c r="EJ22" s="380">
        <f t="shared" si="19"/>
        <v>0</v>
      </c>
      <c r="EK22" s="506" t="s">
        <v>494</v>
      </c>
      <c r="EL22" s="53">
        <v>10.897506</v>
      </c>
      <c r="EM22" s="507"/>
      <c r="EN22" s="380">
        <f t="shared" si="20"/>
        <v>0</v>
      </c>
      <c r="EO22" s="506" t="s">
        <v>494</v>
      </c>
      <c r="EP22" s="53">
        <v>10.906008</v>
      </c>
      <c r="EQ22" s="507"/>
      <c r="ER22" s="380">
        <f t="shared" si="21"/>
        <v>0</v>
      </c>
      <c r="ES22" s="506" t="s">
        <v>494</v>
      </c>
      <c r="ET22" s="53">
        <v>10.917489</v>
      </c>
      <c r="EU22" s="507"/>
      <c r="EV22" s="380">
        <f t="shared" si="22"/>
        <v>0</v>
      </c>
      <c r="EW22" s="506" t="s">
        <v>494</v>
      </c>
      <c r="EX22" s="53">
        <v>10.880492</v>
      </c>
      <c r="EY22" s="507"/>
      <c r="EZ22" s="380">
        <f t="shared" si="23"/>
        <v>0</v>
      </c>
      <c r="FA22" s="506" t="s">
        <v>494</v>
      </c>
      <c r="FB22" s="53">
        <v>10.808491999999999</v>
      </c>
      <c r="FC22" s="507"/>
      <c r="FD22" s="380">
        <f t="shared" si="24"/>
        <v>0</v>
      </c>
      <c r="FE22" s="506" t="s">
        <v>494</v>
      </c>
      <c r="FF22" s="53">
        <v>10.851991</v>
      </c>
      <c r="FG22" s="507"/>
      <c r="FH22" s="380">
        <f t="shared" si="25"/>
        <v>0</v>
      </c>
      <c r="FI22" s="506" t="s">
        <v>494</v>
      </c>
      <c r="FJ22" s="53">
        <v>10.924499000000001</v>
      </c>
      <c r="FK22" s="507"/>
      <c r="FL22" s="380">
        <f t="shared" si="26"/>
        <v>0</v>
      </c>
      <c r="FM22" s="506" t="s">
        <v>494</v>
      </c>
      <c r="FN22" s="53">
        <v>10.902004</v>
      </c>
      <c r="FO22" s="507"/>
      <c r="FP22" s="380">
        <f t="shared" si="27"/>
        <v>0</v>
      </c>
      <c r="FQ22" s="506" t="s">
        <v>494</v>
      </c>
      <c r="FR22" s="53">
        <v>10.874503000000001</v>
      </c>
      <c r="FS22" s="507"/>
      <c r="FT22" s="380">
        <f t="shared" si="28"/>
        <v>0</v>
      </c>
      <c r="FU22" s="506" t="s">
        <v>494</v>
      </c>
      <c r="FV22" s="53">
        <v>10.849996000000001</v>
      </c>
      <c r="FW22" s="507"/>
      <c r="FX22" s="380">
        <f t="shared" si="29"/>
        <v>0</v>
      </c>
      <c r="FY22" s="506" t="s">
        <v>494</v>
      </c>
      <c r="FZ22" s="53">
        <v>10.817761000000001</v>
      </c>
      <c r="GA22" s="507"/>
      <c r="GB22" s="380">
        <f t="shared" si="30"/>
        <v>0</v>
      </c>
      <c r="GC22" s="506" t="s">
        <v>494</v>
      </c>
      <c r="GD22" s="53">
        <v>10.825991999999999</v>
      </c>
      <c r="GE22" s="507"/>
      <c r="GF22" s="380">
        <f t="shared" si="31"/>
        <v>0</v>
      </c>
      <c r="GG22" s="506" t="s">
        <v>494</v>
      </c>
      <c r="GH22" s="53">
        <v>10.872005</v>
      </c>
      <c r="GI22" s="507"/>
      <c r="GJ22" s="380">
        <f t="shared" si="32"/>
        <v>0</v>
      </c>
      <c r="GK22" s="506" t="s">
        <v>494</v>
      </c>
      <c r="GL22" s="53">
        <v>10.876507</v>
      </c>
      <c r="GM22" s="507"/>
      <c r="GN22" s="380">
        <f t="shared" si="33"/>
        <v>0</v>
      </c>
      <c r="GO22" s="506" t="s">
        <v>494</v>
      </c>
      <c r="GP22" s="53">
        <v>10.873488999999999</v>
      </c>
      <c r="GQ22" s="507"/>
      <c r="GR22" s="380">
        <f t="shared" si="34"/>
        <v>0</v>
      </c>
      <c r="GS22" s="506" t="s">
        <v>494</v>
      </c>
      <c r="GT22" s="53">
        <v>10.866001000000001</v>
      </c>
      <c r="GU22" s="507"/>
      <c r="GV22" s="380">
        <f t="shared" si="35"/>
        <v>0</v>
      </c>
      <c r="GW22" s="506" t="s">
        <v>494</v>
      </c>
      <c r="GX22" s="53">
        <v>10.858991</v>
      </c>
      <c r="GY22" s="507"/>
      <c r="GZ22" s="380">
        <f t="shared" si="36"/>
        <v>0</v>
      </c>
      <c r="HA22" s="506" t="s">
        <v>494</v>
      </c>
      <c r="HB22" s="53">
        <v>10.91901</v>
      </c>
      <c r="HC22" s="507"/>
      <c r="HD22" s="380">
        <f t="shared" si="37"/>
        <v>0</v>
      </c>
      <c r="HE22" s="506" t="s">
        <v>494</v>
      </c>
      <c r="HF22" s="53">
        <v>10.938496000000001</v>
      </c>
      <c r="HG22" s="507"/>
      <c r="HH22" s="380">
        <f t="shared" si="38"/>
        <v>0</v>
      </c>
      <c r="HI22" s="506" t="s">
        <v>494</v>
      </c>
      <c r="HJ22" s="53">
        <v>10.941000000000001</v>
      </c>
      <c r="HK22" s="507"/>
      <c r="HL22" s="380">
        <f t="shared" si="39"/>
        <v>0</v>
      </c>
      <c r="HM22" s="506" t="s">
        <v>494</v>
      </c>
      <c r="HN22" s="53">
        <v>10.9575</v>
      </c>
      <c r="HO22" s="507"/>
      <c r="HP22" s="380">
        <f t="shared" si="40"/>
        <v>0</v>
      </c>
      <c r="HQ22" s="506" t="s">
        <v>494</v>
      </c>
      <c r="HR22" s="53">
        <v>10.945007</v>
      </c>
      <c r="HS22" s="507"/>
      <c r="HT22" s="380">
        <f t="shared" si="41"/>
        <v>0</v>
      </c>
      <c r="HU22" s="506" t="s">
        <v>494</v>
      </c>
      <c r="HV22" s="53">
        <v>10.984994</v>
      </c>
      <c r="HW22" s="507"/>
      <c r="HX22" s="380">
        <f t="shared" si="42"/>
        <v>0</v>
      </c>
      <c r="HY22" s="506" t="s">
        <v>494</v>
      </c>
      <c r="HZ22" s="53">
        <v>10.968007999999999</v>
      </c>
      <c r="IA22" s="507"/>
      <c r="IB22" s="380">
        <f t="shared" si="43"/>
        <v>0</v>
      </c>
      <c r="IC22" s="506" t="s">
        <v>494</v>
      </c>
      <c r="ID22" s="53">
        <v>10.968007999999999</v>
      </c>
      <c r="IE22" s="507"/>
      <c r="IF22" s="380">
        <f t="shared" si="44"/>
        <v>0</v>
      </c>
      <c r="IG22" s="506" t="s">
        <v>494</v>
      </c>
      <c r="IH22" s="53">
        <v>10.968007999999999</v>
      </c>
      <c r="II22" s="507"/>
      <c r="IJ22" s="380">
        <f t="shared" si="45"/>
        <v>0</v>
      </c>
      <c r="IK22" s="506" t="s">
        <v>494</v>
      </c>
      <c r="IL22" s="53">
        <v>10.968007999999999</v>
      </c>
      <c r="IM22" s="507"/>
      <c r="IN22" s="380">
        <f t="shared" si="46"/>
        <v>0</v>
      </c>
      <c r="IO22" s="506" t="s">
        <v>494</v>
      </c>
      <c r="IP22" s="53">
        <v>10.968007999999999</v>
      </c>
      <c r="IQ22" s="507"/>
      <c r="IR22" s="380">
        <f t="shared" si="47"/>
        <v>0</v>
      </c>
      <c r="IS22" s="506" t="s">
        <v>494</v>
      </c>
      <c r="IT22" s="53">
        <v>10.968007999999999</v>
      </c>
      <c r="IU22" s="507"/>
      <c r="IV22" s="380">
        <f t="shared" si="48"/>
        <v>0</v>
      </c>
      <c r="IW22" s="506" t="s">
        <v>494</v>
      </c>
      <c r="IX22" s="53">
        <v>11.064005</v>
      </c>
      <c r="IY22" s="507"/>
      <c r="IZ22" s="380">
        <f t="shared" si="49"/>
        <v>0</v>
      </c>
    </row>
    <row r="23" spans="1:260">
      <c r="A23" s="13" t="s">
        <v>535</v>
      </c>
      <c r="B23" s="13" t="s">
        <v>250</v>
      </c>
      <c r="C23" s="13" t="s">
        <v>536</v>
      </c>
      <c r="D23" s="13" t="s">
        <v>460</v>
      </c>
      <c r="E23" s="13" t="s">
        <v>2</v>
      </c>
      <c r="F23" s="13" t="s">
        <v>537</v>
      </c>
      <c r="G23" s="13"/>
      <c r="H23" s="49" t="s">
        <v>538</v>
      </c>
      <c r="I23" s="14">
        <f>+'IBP export - Colar'!A85</f>
        <v>177608</v>
      </c>
      <c r="J23" s="14">
        <f>+VLOOKUP(E23,'Summary - Colar'!$M$39:$N$54,2,FALSE)</f>
        <v>1</v>
      </c>
      <c r="K23" s="14">
        <f t="shared" si="50"/>
        <v>177608</v>
      </c>
      <c r="L23" s="506">
        <v>142637.57999999999</v>
      </c>
      <c r="M23" s="53">
        <v>1</v>
      </c>
      <c r="N23" s="507">
        <v>142637.57999999999</v>
      </c>
      <c r="O23" s="506">
        <v>142637.57999999999</v>
      </c>
      <c r="P23" s="53">
        <v>1</v>
      </c>
      <c r="Q23" s="507">
        <v>142637.57999999999</v>
      </c>
      <c r="R23" s="506">
        <v>130167.92</v>
      </c>
      <c r="S23" s="53">
        <v>1</v>
      </c>
      <c r="T23" s="507">
        <v>130167.92</v>
      </c>
      <c r="U23" s="506">
        <v>130125.62</v>
      </c>
      <c r="V23" s="53">
        <v>1</v>
      </c>
      <c r="W23" s="507">
        <v>130125.62</v>
      </c>
      <c r="X23" s="506">
        <v>186635.85</v>
      </c>
      <c r="Y23" s="53">
        <v>1</v>
      </c>
      <c r="Z23" s="507">
        <v>186635.85</v>
      </c>
      <c r="AA23" s="506">
        <v>169446.46</v>
      </c>
      <c r="AB23" s="53">
        <v>1</v>
      </c>
      <c r="AC23" s="507">
        <v>169446.46</v>
      </c>
      <c r="AD23" s="506">
        <v>169411.46</v>
      </c>
      <c r="AE23" s="53">
        <v>1</v>
      </c>
      <c r="AF23" s="507">
        <v>169411.46</v>
      </c>
      <c r="AG23" s="506">
        <v>156134.42000000001</v>
      </c>
      <c r="AH23" s="53">
        <v>1</v>
      </c>
      <c r="AI23" s="507">
        <v>156134.42000000001</v>
      </c>
      <c r="AJ23" s="506">
        <v>155850.78</v>
      </c>
      <c r="AK23" s="53">
        <v>1</v>
      </c>
      <c r="AL23" s="507">
        <v>155850.78</v>
      </c>
      <c r="AM23" s="506">
        <v>172831.54</v>
      </c>
      <c r="AN23" s="53">
        <v>1</v>
      </c>
      <c r="AO23" s="507">
        <v>172831.54</v>
      </c>
      <c r="AP23" s="506">
        <v>172796.54</v>
      </c>
      <c r="AQ23" s="53">
        <v>1</v>
      </c>
      <c r="AR23" s="507">
        <v>172796.54</v>
      </c>
      <c r="AS23" s="506">
        <v>160580</v>
      </c>
      <c r="AT23" s="53">
        <v>1</v>
      </c>
      <c r="AU23" s="507">
        <v>160580</v>
      </c>
      <c r="AV23" s="506">
        <v>159877.51999999999</v>
      </c>
      <c r="AW23" s="53">
        <v>1</v>
      </c>
      <c r="AX23" s="507">
        <v>159877.51999999999</v>
      </c>
      <c r="AY23" s="506">
        <v>159875.51999999999</v>
      </c>
      <c r="AZ23" s="53">
        <v>1</v>
      </c>
      <c r="BA23" s="507">
        <v>159875.51999999999</v>
      </c>
      <c r="BB23" s="506">
        <v>125113.60000000001</v>
      </c>
      <c r="BC23" s="53">
        <v>1</v>
      </c>
      <c r="BD23" s="507">
        <v>125113.60000000001</v>
      </c>
      <c r="BE23" s="506">
        <v>125113.60000000001</v>
      </c>
      <c r="BF23" s="53">
        <v>1</v>
      </c>
      <c r="BG23" s="507">
        <v>125113.60000000001</v>
      </c>
      <c r="BH23" s="380">
        <f t="shared" si="0"/>
        <v>125112.6</v>
      </c>
      <c r="BI23" s="506">
        <v>125113.60000000001</v>
      </c>
      <c r="BJ23" s="53">
        <v>1</v>
      </c>
      <c r="BK23" s="507">
        <v>125113.60000000001</v>
      </c>
      <c r="BL23" s="380">
        <f t="shared" si="1"/>
        <v>0</v>
      </c>
      <c r="BM23" s="506">
        <v>125113.60000000001</v>
      </c>
      <c r="BN23" s="53">
        <v>1</v>
      </c>
      <c r="BO23" s="507">
        <v>125113.60000000001</v>
      </c>
      <c r="BP23">
        <v>16980.760000000009</v>
      </c>
      <c r="BQ23" s="506">
        <v>125113.60000000001</v>
      </c>
      <c r="BR23" s="53">
        <v>1</v>
      </c>
      <c r="BS23" s="507">
        <v>125113.60000000001</v>
      </c>
      <c r="BT23" s="380">
        <f t="shared" si="2"/>
        <v>0</v>
      </c>
      <c r="BU23" s="506">
        <v>125113.60000000001</v>
      </c>
      <c r="BV23" s="53">
        <v>1</v>
      </c>
      <c r="BW23" s="507">
        <v>125113.60000000001</v>
      </c>
      <c r="BX23" s="380">
        <f t="shared" si="3"/>
        <v>0</v>
      </c>
      <c r="BY23" s="506">
        <v>125078.6</v>
      </c>
      <c r="BZ23" s="53">
        <v>1</v>
      </c>
      <c r="CA23" s="507">
        <v>125078.6</v>
      </c>
      <c r="CB23" s="380">
        <f t="shared" si="4"/>
        <v>-35</v>
      </c>
      <c r="CC23" s="506">
        <v>125078.6</v>
      </c>
      <c r="CD23" s="53">
        <v>1</v>
      </c>
      <c r="CE23" s="507">
        <v>125078.6</v>
      </c>
      <c r="CF23" s="380">
        <f t="shared" si="5"/>
        <v>0</v>
      </c>
      <c r="CG23" s="506">
        <v>98175.5</v>
      </c>
      <c r="CH23" s="53">
        <v>1</v>
      </c>
      <c r="CI23" s="507">
        <v>98175.5</v>
      </c>
      <c r="CJ23" s="380">
        <f t="shared" si="6"/>
        <v>-26903.100000000006</v>
      </c>
      <c r="CK23" s="506">
        <v>98175.5</v>
      </c>
      <c r="CL23" s="53">
        <v>1</v>
      </c>
      <c r="CM23" s="507">
        <v>98175.5</v>
      </c>
      <c r="CN23" s="380">
        <f t="shared" si="7"/>
        <v>0</v>
      </c>
      <c r="CO23" s="506">
        <v>98175.5</v>
      </c>
      <c r="CP23" s="53">
        <v>1</v>
      </c>
      <c r="CQ23" s="507">
        <v>98175.5</v>
      </c>
      <c r="CR23" s="380">
        <f t="shared" si="8"/>
        <v>0</v>
      </c>
      <c r="CS23" s="506">
        <v>98175.5</v>
      </c>
      <c r="CT23" s="53">
        <v>1</v>
      </c>
      <c r="CU23" s="507">
        <v>98175.5</v>
      </c>
      <c r="CV23" s="380">
        <f t="shared" si="9"/>
        <v>0</v>
      </c>
      <c r="CW23" s="506">
        <v>98175.5</v>
      </c>
      <c r="CX23" s="53">
        <v>1</v>
      </c>
      <c r="CY23" s="507">
        <v>98175.5</v>
      </c>
      <c r="CZ23" s="380">
        <f t="shared" si="10"/>
        <v>0</v>
      </c>
      <c r="DA23" s="506">
        <v>97715.8</v>
      </c>
      <c r="DB23" s="53">
        <v>1</v>
      </c>
      <c r="DC23" s="507">
        <v>97715.8</v>
      </c>
      <c r="DD23" s="380">
        <f t="shared" si="11"/>
        <v>-459.69999999999709</v>
      </c>
      <c r="DE23" s="506">
        <v>97715.8</v>
      </c>
      <c r="DF23" s="53">
        <v>1</v>
      </c>
      <c r="DG23" s="507">
        <v>97715.8</v>
      </c>
      <c r="DH23" s="380">
        <f t="shared" si="12"/>
        <v>0</v>
      </c>
      <c r="DI23" s="506">
        <v>97715.8</v>
      </c>
      <c r="DJ23" s="53">
        <v>1</v>
      </c>
      <c r="DK23" s="507">
        <v>97715.8</v>
      </c>
      <c r="DL23" s="380">
        <f t="shared" si="13"/>
        <v>0</v>
      </c>
      <c r="DM23" s="506">
        <v>97715.8</v>
      </c>
      <c r="DN23" s="53">
        <v>1</v>
      </c>
      <c r="DO23" s="507">
        <v>97715.8</v>
      </c>
      <c r="DP23" s="380">
        <f t="shared" si="14"/>
        <v>0</v>
      </c>
      <c r="DQ23" s="506">
        <v>97208.72</v>
      </c>
      <c r="DR23" s="53">
        <v>1</v>
      </c>
      <c r="DS23" s="507">
        <v>97208.72</v>
      </c>
      <c r="DT23" s="380">
        <f t="shared" si="15"/>
        <v>-507.08000000000175</v>
      </c>
      <c r="DU23" s="506">
        <v>80374.16</v>
      </c>
      <c r="DV23" s="53">
        <v>1</v>
      </c>
      <c r="DW23" s="507">
        <v>80374.16</v>
      </c>
      <c r="DX23" s="380">
        <f t="shared" si="16"/>
        <v>-16834.559999999998</v>
      </c>
      <c r="DY23" s="506">
        <v>80374</v>
      </c>
      <c r="DZ23" s="53">
        <v>1</v>
      </c>
      <c r="EA23" s="507">
        <v>80374</v>
      </c>
      <c r="EB23" s="380">
        <f t="shared" si="17"/>
        <v>-0.16000000000349246</v>
      </c>
      <c r="EC23" s="506">
        <v>80252</v>
      </c>
      <c r="ED23" s="53">
        <v>1</v>
      </c>
      <c r="EE23" s="507">
        <v>80252</v>
      </c>
      <c r="EF23" s="380">
        <f t="shared" si="18"/>
        <v>-122</v>
      </c>
      <c r="EG23" s="506">
        <v>80252</v>
      </c>
      <c r="EH23" s="53">
        <v>1</v>
      </c>
      <c r="EI23" s="507">
        <v>80252</v>
      </c>
      <c r="EJ23" s="380">
        <f t="shared" si="19"/>
        <v>0</v>
      </c>
      <c r="EK23" s="506">
        <v>80252</v>
      </c>
      <c r="EL23" s="53">
        <v>1</v>
      </c>
      <c r="EM23" s="507">
        <v>80252</v>
      </c>
      <c r="EN23" s="380">
        <f t="shared" si="20"/>
        <v>0</v>
      </c>
      <c r="EO23" s="506">
        <v>80217</v>
      </c>
      <c r="EP23" s="53">
        <v>1</v>
      </c>
      <c r="EQ23" s="507">
        <v>80217</v>
      </c>
      <c r="ER23" s="380">
        <f t="shared" si="21"/>
        <v>-35</v>
      </c>
      <c r="ES23" s="506">
        <v>80108</v>
      </c>
      <c r="ET23" s="53">
        <v>1</v>
      </c>
      <c r="EU23" s="507">
        <v>80108</v>
      </c>
      <c r="EV23" s="380">
        <f t="shared" si="22"/>
        <v>-109</v>
      </c>
      <c r="EW23" s="506">
        <v>67113</v>
      </c>
      <c r="EX23" s="53">
        <v>1</v>
      </c>
      <c r="EY23" s="507">
        <v>67113</v>
      </c>
      <c r="EZ23" s="380">
        <f t="shared" si="23"/>
        <v>-12995</v>
      </c>
      <c r="FA23" s="506">
        <v>67113</v>
      </c>
      <c r="FB23" s="53">
        <v>1</v>
      </c>
      <c r="FC23" s="507">
        <v>67113</v>
      </c>
      <c r="FD23" s="380">
        <f t="shared" si="24"/>
        <v>0</v>
      </c>
      <c r="FE23" s="506">
        <v>67113</v>
      </c>
      <c r="FF23" s="53">
        <v>1</v>
      </c>
      <c r="FG23" s="507">
        <v>67113</v>
      </c>
      <c r="FH23" s="380">
        <f t="shared" si="25"/>
        <v>0</v>
      </c>
      <c r="FI23" s="506">
        <v>67113</v>
      </c>
      <c r="FJ23" s="53">
        <v>1</v>
      </c>
      <c r="FK23" s="507">
        <v>67113</v>
      </c>
      <c r="FL23" s="380">
        <f t="shared" si="26"/>
        <v>0</v>
      </c>
      <c r="FM23" s="506">
        <v>66843</v>
      </c>
      <c r="FN23" s="53">
        <v>1</v>
      </c>
      <c r="FO23" s="507">
        <v>66843</v>
      </c>
      <c r="FP23" s="380">
        <f t="shared" si="27"/>
        <v>-270</v>
      </c>
      <c r="FQ23" s="506">
        <v>66842</v>
      </c>
      <c r="FR23" s="53">
        <v>1</v>
      </c>
      <c r="FS23" s="507">
        <v>66842</v>
      </c>
      <c r="FT23" s="380">
        <f t="shared" si="28"/>
        <v>-1</v>
      </c>
      <c r="FU23" s="506">
        <v>66842</v>
      </c>
      <c r="FV23" s="53">
        <v>1</v>
      </c>
      <c r="FW23" s="507">
        <v>66842</v>
      </c>
      <c r="FX23" s="380">
        <f t="shared" si="29"/>
        <v>0</v>
      </c>
      <c r="FY23" s="506">
        <v>66398</v>
      </c>
      <c r="FZ23" s="53">
        <v>1</v>
      </c>
      <c r="GA23" s="507">
        <v>66398</v>
      </c>
      <c r="GB23" s="380">
        <f t="shared" si="30"/>
        <v>-444</v>
      </c>
      <c r="GC23" s="506">
        <v>66398</v>
      </c>
      <c r="GD23" s="53">
        <v>1</v>
      </c>
      <c r="GE23" s="507">
        <v>66398</v>
      </c>
      <c r="GF23" s="380">
        <f t="shared" si="31"/>
        <v>0</v>
      </c>
      <c r="GG23" s="506">
        <v>66396</v>
      </c>
      <c r="GH23" s="53">
        <v>1</v>
      </c>
      <c r="GI23" s="507">
        <v>66396</v>
      </c>
      <c r="GJ23" s="380">
        <f t="shared" si="32"/>
        <v>-2</v>
      </c>
      <c r="GK23" s="506">
        <v>66396</v>
      </c>
      <c r="GL23" s="53">
        <v>1</v>
      </c>
      <c r="GM23" s="507">
        <v>66396</v>
      </c>
      <c r="GN23" s="380">
        <f t="shared" si="33"/>
        <v>0</v>
      </c>
      <c r="GO23" s="506">
        <v>66396</v>
      </c>
      <c r="GP23" s="53">
        <v>1</v>
      </c>
      <c r="GQ23" s="507">
        <v>66396</v>
      </c>
      <c r="GR23" s="380">
        <f t="shared" si="34"/>
        <v>0</v>
      </c>
      <c r="GS23" s="506">
        <v>49439</v>
      </c>
      <c r="GT23" s="53">
        <v>1</v>
      </c>
      <c r="GU23" s="507">
        <v>49439</v>
      </c>
      <c r="GV23" s="380">
        <f t="shared" si="35"/>
        <v>-16957</v>
      </c>
      <c r="GW23" s="506">
        <v>49439</v>
      </c>
      <c r="GX23" s="53">
        <v>1</v>
      </c>
      <c r="GY23" s="507">
        <v>49439</v>
      </c>
      <c r="GZ23" s="380">
        <f t="shared" si="36"/>
        <v>0</v>
      </c>
      <c r="HA23" s="506">
        <v>49439</v>
      </c>
      <c r="HB23" s="53">
        <v>1</v>
      </c>
      <c r="HC23" s="507">
        <v>49439</v>
      </c>
      <c r="HD23" s="380">
        <f t="shared" si="37"/>
        <v>0</v>
      </c>
      <c r="HE23" s="506">
        <v>49439</v>
      </c>
      <c r="HF23" s="53">
        <v>1</v>
      </c>
      <c r="HG23" s="507">
        <v>49439</v>
      </c>
      <c r="HH23" s="380">
        <f t="shared" si="38"/>
        <v>0</v>
      </c>
      <c r="HI23" s="506">
        <v>49439</v>
      </c>
      <c r="HJ23" s="53">
        <v>1</v>
      </c>
      <c r="HK23" s="507">
        <v>49439</v>
      </c>
      <c r="HL23" s="380">
        <f t="shared" si="39"/>
        <v>0</v>
      </c>
      <c r="HM23" s="506">
        <v>49404</v>
      </c>
      <c r="HN23" s="53">
        <v>1</v>
      </c>
      <c r="HO23" s="507">
        <v>49404</v>
      </c>
      <c r="HP23" s="380">
        <f t="shared" si="40"/>
        <v>-35</v>
      </c>
      <c r="HQ23" s="506">
        <v>144481</v>
      </c>
      <c r="HR23" s="53">
        <v>1</v>
      </c>
      <c r="HS23" s="507">
        <v>144481</v>
      </c>
      <c r="HT23" s="380">
        <f t="shared" si="41"/>
        <v>95077</v>
      </c>
      <c r="HU23" s="506">
        <v>144481</v>
      </c>
      <c r="HV23" s="53">
        <v>1</v>
      </c>
      <c r="HW23" s="507">
        <v>144481</v>
      </c>
      <c r="HX23" s="380">
        <f t="shared" si="42"/>
        <v>0</v>
      </c>
      <c r="HY23" s="506">
        <v>144481</v>
      </c>
      <c r="HZ23" s="53">
        <v>1</v>
      </c>
      <c r="IA23" s="507">
        <v>144481</v>
      </c>
      <c r="IB23" s="380">
        <f t="shared" si="43"/>
        <v>0</v>
      </c>
      <c r="IC23" s="506">
        <v>144481</v>
      </c>
      <c r="ID23" s="53">
        <v>1</v>
      </c>
      <c r="IE23" s="507">
        <v>144481</v>
      </c>
      <c r="IF23" s="380">
        <f t="shared" si="44"/>
        <v>0</v>
      </c>
      <c r="IG23" s="506">
        <v>144481</v>
      </c>
      <c r="IH23" s="53">
        <v>1</v>
      </c>
      <c r="II23" s="507">
        <v>144481</v>
      </c>
      <c r="IJ23" s="380">
        <f t="shared" si="45"/>
        <v>0</v>
      </c>
      <c r="IK23" s="506">
        <v>144059</v>
      </c>
      <c r="IL23" s="53">
        <v>1</v>
      </c>
      <c r="IM23" s="507">
        <v>144059</v>
      </c>
      <c r="IN23" s="380">
        <f t="shared" si="46"/>
        <v>-422</v>
      </c>
      <c r="IO23" s="506">
        <v>143813</v>
      </c>
      <c r="IP23" s="53">
        <v>1</v>
      </c>
      <c r="IQ23" s="507">
        <v>143813</v>
      </c>
      <c r="IR23" s="380">
        <f t="shared" si="47"/>
        <v>-246</v>
      </c>
      <c r="IS23" s="506">
        <v>143813</v>
      </c>
      <c r="IT23" s="53">
        <v>1</v>
      </c>
      <c r="IU23" s="507">
        <v>143813</v>
      </c>
      <c r="IV23" s="380">
        <f t="shared" si="48"/>
        <v>0</v>
      </c>
      <c r="IW23" s="506">
        <v>177608</v>
      </c>
      <c r="IX23" s="53">
        <v>1</v>
      </c>
      <c r="IY23" s="507">
        <v>177608</v>
      </c>
      <c r="IZ23" s="380">
        <f t="shared" si="49"/>
        <v>33795</v>
      </c>
    </row>
    <row r="24" spans="1:260">
      <c r="A24" s="13">
        <v>51</v>
      </c>
      <c r="B24" s="13" t="s">
        <v>539</v>
      </c>
      <c r="C24" s="13" t="s">
        <v>449</v>
      </c>
      <c r="D24" s="13" t="s">
        <v>306</v>
      </c>
      <c r="E24" s="13" t="s">
        <v>5</v>
      </c>
      <c r="F24" s="13">
        <v>942175107</v>
      </c>
      <c r="G24" s="13"/>
      <c r="H24" s="49" t="s">
        <v>540</v>
      </c>
      <c r="I24" s="14">
        <f>+VLOOKUP(F24,'HSBC - Banco'!$B$3:$G$39,6, FALSE)</f>
        <v>1331889.53</v>
      </c>
      <c r="J24" s="14">
        <f>+VLOOKUP(E24,'Summary - Colar'!$M$39:$N$54,2,FALSE)</f>
        <v>1.1608000000000001</v>
      </c>
      <c r="K24" s="14">
        <f t="shared" si="50"/>
        <v>1147389.3263266713</v>
      </c>
      <c r="L24" s="506">
        <v>1097639.6000000001</v>
      </c>
      <c r="M24" s="53">
        <v>1.0393499809660025</v>
      </c>
      <c r="N24" s="507">
        <v>1056082.7633631374</v>
      </c>
      <c r="O24" s="506">
        <v>1023791.38</v>
      </c>
      <c r="P24" s="53">
        <v>1.0296499958937868</v>
      </c>
      <c r="Q24" s="507">
        <v>994310.08991681563</v>
      </c>
      <c r="R24" s="506">
        <v>1091481.05</v>
      </c>
      <c r="S24" s="53">
        <v>1.0305500350713117</v>
      </c>
      <c r="T24" s="507">
        <v>1059124.7516909472</v>
      </c>
      <c r="U24" s="506">
        <v>1068549.6100000001</v>
      </c>
      <c r="V24" s="53">
        <v>1.0294499127813821</v>
      </c>
      <c r="W24" s="507">
        <v>1037981.1555017552</v>
      </c>
      <c r="X24" s="506">
        <v>1355176.69</v>
      </c>
      <c r="Y24" s="53">
        <v>1.0474500171045873</v>
      </c>
      <c r="Z24" s="507">
        <v>1293786.4985157438</v>
      </c>
      <c r="AA24" s="506">
        <v>989839.82</v>
      </c>
      <c r="AB24" s="53">
        <v>1.0384500241697678</v>
      </c>
      <c r="AC24" s="507">
        <v>953189.65473698999</v>
      </c>
      <c r="AD24" s="506">
        <v>952495.6</v>
      </c>
      <c r="AE24" s="53">
        <v>1.0375500183032278</v>
      </c>
      <c r="AF24" s="507">
        <v>918023.78988694656</v>
      </c>
      <c r="AG24" s="506">
        <v>2860547.71</v>
      </c>
      <c r="AH24" s="53">
        <v>1.047149991583058</v>
      </c>
      <c r="AI24" s="507">
        <v>2731745.9131862167</v>
      </c>
      <c r="AJ24" s="506">
        <v>5519897.1799999997</v>
      </c>
      <c r="AK24" s="53">
        <v>1.0461499902620313</v>
      </c>
      <c r="AL24" s="507">
        <v>5276391.7520253668</v>
      </c>
      <c r="AM24" s="506">
        <v>3030040.71</v>
      </c>
      <c r="AN24" s="53">
        <v>1.0407499836552325</v>
      </c>
      <c r="AO24" s="507">
        <v>2911401.1603037952</v>
      </c>
      <c r="AP24" s="506">
        <v>3038046.54</v>
      </c>
      <c r="AQ24" s="53">
        <v>1.0854500032344994</v>
      </c>
      <c r="AR24" s="507">
        <v>2798882.0590050374</v>
      </c>
      <c r="AS24" s="506">
        <v>1340141.8600000001</v>
      </c>
      <c r="AT24" s="53">
        <v>1.08935</v>
      </c>
      <c r="AU24" s="507">
        <v>1230221.5633175748</v>
      </c>
      <c r="AV24" s="506">
        <v>1681680.99</v>
      </c>
      <c r="AW24" s="53">
        <v>1.0830999858771673</v>
      </c>
      <c r="AX24" s="507">
        <v>1552655.3521631353</v>
      </c>
      <c r="AY24" s="506">
        <v>457848.69</v>
      </c>
      <c r="AZ24" s="53">
        <v>1.0787497944244075</v>
      </c>
      <c r="BA24" s="507">
        <v>424425.28598051413</v>
      </c>
      <c r="BB24" s="506">
        <v>520510.52</v>
      </c>
      <c r="BC24" s="53">
        <v>1.0820998826422146</v>
      </c>
      <c r="BD24" s="507">
        <v>481018.92288264999</v>
      </c>
      <c r="BE24" s="506">
        <v>444317.37</v>
      </c>
      <c r="BF24" s="53">
        <v>1.0781999853387405</v>
      </c>
      <c r="BG24" s="507">
        <v>412091.79747893225</v>
      </c>
      <c r="BH24" s="380">
        <f t="shared" si="0"/>
        <v>412090.71537904959</v>
      </c>
      <c r="BI24" s="506">
        <v>437622.6</v>
      </c>
      <c r="BJ24" s="53">
        <v>1.0803999989493438</v>
      </c>
      <c r="BK24" s="507">
        <v>405056.090730817</v>
      </c>
      <c r="BL24" s="380">
        <f t="shared" si="1"/>
        <v>-7035.706748115248</v>
      </c>
      <c r="BM24" s="506">
        <v>824267.11</v>
      </c>
      <c r="BN24" s="53">
        <v>1.1088499954694768</v>
      </c>
      <c r="BO24" s="507">
        <v>743353.12564168149</v>
      </c>
      <c r="BP24">
        <v>-2364990.5917215715</v>
      </c>
      <c r="BQ24" s="506">
        <v>1290040.8</v>
      </c>
      <c r="BR24" s="53">
        <v>1.1058499740160905</v>
      </c>
      <c r="BS24" s="507">
        <v>1166560.4108258807</v>
      </c>
      <c r="BT24" s="380">
        <f t="shared" si="2"/>
        <v>423207.28518419922</v>
      </c>
      <c r="BU24" s="506">
        <v>1253512.96</v>
      </c>
      <c r="BV24" s="53">
        <v>1.0967500172467883</v>
      </c>
      <c r="BW24" s="507">
        <v>1142934.0691024007</v>
      </c>
      <c r="BX24" s="380">
        <f t="shared" si="3"/>
        <v>-23626.341723480029</v>
      </c>
      <c r="BY24" s="506">
        <v>1299208.48</v>
      </c>
      <c r="BZ24" s="53">
        <v>1.0935500267747675</v>
      </c>
      <c r="CA24" s="507">
        <v>1188064.9702252632</v>
      </c>
      <c r="CB24" s="380">
        <f t="shared" si="4"/>
        <v>45130.901122862473</v>
      </c>
      <c r="CC24" s="506">
        <v>790174.73</v>
      </c>
      <c r="CD24" s="53">
        <v>1.1035500028504495</v>
      </c>
      <c r="CE24" s="507">
        <v>716029.83821212733</v>
      </c>
      <c r="CF24" s="380">
        <f t="shared" si="5"/>
        <v>-472035.13201313582</v>
      </c>
      <c r="CG24" s="506">
        <v>858064.08</v>
      </c>
      <c r="CH24" s="53">
        <v>1.1071500373751093</v>
      </c>
      <c r="CI24" s="507">
        <v>775020.59434902272</v>
      </c>
      <c r="CJ24" s="380">
        <f t="shared" si="6"/>
        <v>58990.75613689539</v>
      </c>
      <c r="CK24" s="506">
        <v>1135679.46</v>
      </c>
      <c r="CL24" s="53">
        <v>1.1331000481425468</v>
      </c>
      <c r="CM24" s="507">
        <v>1002276.4202169804</v>
      </c>
      <c r="CN24" s="380">
        <f t="shared" si="7"/>
        <v>227255.82586795767</v>
      </c>
      <c r="CO24" s="506">
        <v>873779.31</v>
      </c>
      <c r="CP24" s="53">
        <v>1.1381500166600167</v>
      </c>
      <c r="CQ24" s="507">
        <v>767718.9273907569</v>
      </c>
      <c r="CR24" s="380">
        <f t="shared" si="8"/>
        <v>-234557.49282622349</v>
      </c>
      <c r="CS24" s="506">
        <v>772590.5</v>
      </c>
      <c r="CT24" s="53">
        <v>1.1324499897732652</v>
      </c>
      <c r="CU24" s="507">
        <v>682229.24365488766</v>
      </c>
      <c r="CV24" s="380">
        <f t="shared" si="9"/>
        <v>-85489.683735869243</v>
      </c>
      <c r="CW24" s="506">
        <v>770345.49</v>
      </c>
      <c r="CX24" s="53">
        <v>1.1362500452178652</v>
      </c>
      <c r="CY24" s="507">
        <v>677971.80140247522</v>
      </c>
      <c r="CZ24" s="380">
        <f t="shared" si="10"/>
        <v>-4257.4422524124384</v>
      </c>
      <c r="DA24" s="506">
        <v>1070888.25</v>
      </c>
      <c r="DB24" s="53">
        <v>1.1363000964193748</v>
      </c>
      <c r="DC24" s="507">
        <v>942434.35635929648</v>
      </c>
      <c r="DD24" s="380">
        <f t="shared" si="11"/>
        <v>264462.55495682126</v>
      </c>
      <c r="DE24" s="506">
        <v>1013839.95</v>
      </c>
      <c r="DF24" s="53">
        <v>1.1544499930632772</v>
      </c>
      <c r="DG24" s="507">
        <v>878201.70305499737</v>
      </c>
      <c r="DH24" s="380">
        <f t="shared" si="12"/>
        <v>-64232.653304299107</v>
      </c>
      <c r="DI24" s="506">
        <v>1109771.3400000001</v>
      </c>
      <c r="DJ24" s="53">
        <v>1.1486000091425401</v>
      </c>
      <c r="DK24" s="507">
        <v>966194.78597120452</v>
      </c>
      <c r="DL24" s="380">
        <f t="shared" si="13"/>
        <v>87993.082916207146</v>
      </c>
      <c r="DM24" s="506">
        <v>1109771.3400000001</v>
      </c>
      <c r="DN24" s="53">
        <v>1.1410499781207057</v>
      </c>
      <c r="DO24" s="507">
        <v>972587.84565052867</v>
      </c>
      <c r="DP24" s="380">
        <f t="shared" si="14"/>
        <v>6393.0596793241566</v>
      </c>
      <c r="DQ24" s="506">
        <v>1110588.22</v>
      </c>
      <c r="DR24" s="53">
        <v>1.135249966573922</v>
      </c>
      <c r="DS24" s="507">
        <v>978276.3732217066</v>
      </c>
      <c r="DT24" s="380">
        <f t="shared" si="15"/>
        <v>5688.527571177925</v>
      </c>
      <c r="DU24" s="506">
        <v>905235.54</v>
      </c>
      <c r="DV24" s="53">
        <v>1.1318500296229566</v>
      </c>
      <c r="DW24" s="507">
        <v>799783.99638470949</v>
      </c>
      <c r="DX24" s="380">
        <f t="shared" si="16"/>
        <v>-178492.37683699711</v>
      </c>
      <c r="DY24" s="506">
        <v>1027848.3</v>
      </c>
      <c r="DZ24" s="53">
        <v>1.1345499999999999</v>
      </c>
      <c r="EA24" s="507">
        <v>905952.40403684287</v>
      </c>
      <c r="EB24" s="380">
        <f t="shared" si="17"/>
        <v>106168.40765213338</v>
      </c>
      <c r="EC24" s="506">
        <v>1083000.81</v>
      </c>
      <c r="ED24" s="53">
        <v>1.13425</v>
      </c>
      <c r="EE24" s="507">
        <v>954816.67180956586</v>
      </c>
      <c r="EF24" s="380">
        <f t="shared" si="18"/>
        <v>48864.267772722989</v>
      </c>
      <c r="EG24" s="506">
        <v>1199358.5</v>
      </c>
      <c r="EH24" s="53">
        <v>1.1326499999999999</v>
      </c>
      <c r="EI24" s="507">
        <v>1058895.9519710415</v>
      </c>
      <c r="EJ24" s="380">
        <f t="shared" si="19"/>
        <v>104079.28016147565</v>
      </c>
      <c r="EK24" s="506">
        <v>1220538.7</v>
      </c>
      <c r="EL24" s="53">
        <v>1.13575</v>
      </c>
      <c r="EM24" s="507">
        <v>1074654.3693594541</v>
      </c>
      <c r="EN24" s="380">
        <f t="shared" si="20"/>
        <v>15758.417388412636</v>
      </c>
      <c r="EO24" s="506">
        <v>1287393.25</v>
      </c>
      <c r="EP24" s="53">
        <v>1.1295500000000001</v>
      </c>
      <c r="EQ24" s="507">
        <v>1139739.9406843432</v>
      </c>
      <c r="ER24" s="380">
        <f t="shared" si="21"/>
        <v>65085.571324889082</v>
      </c>
      <c r="ES24" s="506">
        <v>1441152.73</v>
      </c>
      <c r="ET24" s="53">
        <v>1.1253500000000001</v>
      </c>
      <c r="EU24" s="507">
        <v>1280626.2318389833</v>
      </c>
      <c r="EV24" s="380">
        <f t="shared" si="22"/>
        <v>140886.29115464003</v>
      </c>
      <c r="EW24" s="506">
        <v>1024689.38</v>
      </c>
      <c r="EX24" s="53">
        <v>1.1109500000000001</v>
      </c>
      <c r="EY24" s="507">
        <v>922354.18335658661</v>
      </c>
      <c r="EZ24" s="380">
        <f t="shared" si="23"/>
        <v>-358272.04848239664</v>
      </c>
      <c r="FA24" s="506">
        <v>1600878.04</v>
      </c>
      <c r="FB24" s="53">
        <v>1.1105499999999999</v>
      </c>
      <c r="FC24" s="507">
        <v>1441518.2026923597</v>
      </c>
      <c r="FD24" s="380">
        <f t="shared" si="24"/>
        <v>519164.01933577307</v>
      </c>
      <c r="FE24" s="506">
        <v>1100613.72</v>
      </c>
      <c r="FF24" s="53">
        <v>1.12155</v>
      </c>
      <c r="FG24" s="507">
        <v>981332.72702955722</v>
      </c>
      <c r="FH24" s="380">
        <f t="shared" si="25"/>
        <v>-460185.47566280246</v>
      </c>
      <c r="FI24" s="506">
        <v>1140922.77</v>
      </c>
      <c r="FJ24" s="53">
        <v>1.1194</v>
      </c>
      <c r="FK24" s="507">
        <v>1019227.0591388245</v>
      </c>
      <c r="FL24" s="380">
        <f t="shared" si="26"/>
        <v>37894.332109267241</v>
      </c>
      <c r="FM24" s="506">
        <v>1167044.1299999999</v>
      </c>
      <c r="FN24" s="53">
        <v>1.1271500000000001</v>
      </c>
      <c r="FO24" s="507">
        <v>1035393.8073903206</v>
      </c>
      <c r="FP24" s="380">
        <f t="shared" si="27"/>
        <v>16166.748251496116</v>
      </c>
      <c r="FQ24" s="506">
        <v>795875.41</v>
      </c>
      <c r="FR24" s="53">
        <v>1.1245499999999999</v>
      </c>
      <c r="FS24" s="507">
        <v>707727.90004890854</v>
      </c>
      <c r="FT24" s="380">
        <f t="shared" si="28"/>
        <v>-327665.90734141204</v>
      </c>
      <c r="FU24" s="506">
        <v>896144.64</v>
      </c>
      <c r="FV24" s="53">
        <v>1.13215</v>
      </c>
      <c r="FW24" s="507">
        <v>791542.32213045971</v>
      </c>
      <c r="FX24" s="380">
        <f t="shared" si="29"/>
        <v>83814.422081551165</v>
      </c>
      <c r="FY24" s="506">
        <v>856859.11</v>
      </c>
      <c r="FZ24" s="53">
        <v>1.1327499999999999</v>
      </c>
      <c r="GA24" s="507">
        <v>756441.50077245641</v>
      </c>
      <c r="GB24" s="380">
        <f t="shared" si="30"/>
        <v>-35100.821358003304</v>
      </c>
      <c r="GC24" s="506">
        <v>856859.11</v>
      </c>
      <c r="GD24" s="53">
        <v>1.13775</v>
      </c>
      <c r="GE24" s="507">
        <v>753117.21379916498</v>
      </c>
      <c r="GF24" s="380">
        <f t="shared" si="31"/>
        <v>-3324.286973291426</v>
      </c>
      <c r="GG24" s="506">
        <v>755659.76</v>
      </c>
      <c r="GH24" s="53">
        <v>1.1352500000000001</v>
      </c>
      <c r="GI24" s="507">
        <v>665632.90905086976</v>
      </c>
      <c r="GJ24" s="380">
        <f t="shared" si="32"/>
        <v>-87484.304748295224</v>
      </c>
      <c r="GK24" s="506">
        <v>871415.84</v>
      </c>
      <c r="GL24" s="53">
        <v>1.1318999999999999</v>
      </c>
      <c r="GM24" s="507">
        <v>769869.98851488647</v>
      </c>
      <c r="GN24" s="380">
        <f t="shared" si="33"/>
        <v>104237.07946401672</v>
      </c>
      <c r="GO24" s="506">
        <v>657101.80000000005</v>
      </c>
      <c r="GP24" s="53">
        <v>1.1270500000000001</v>
      </c>
      <c r="GQ24" s="507">
        <v>583028.08216139476</v>
      </c>
      <c r="GR24" s="380">
        <f t="shared" si="34"/>
        <v>-186841.90635349171</v>
      </c>
      <c r="GS24" s="506">
        <v>652874.51</v>
      </c>
      <c r="GT24" s="53">
        <v>1.13385</v>
      </c>
      <c r="GU24" s="507">
        <v>575803.24557922129</v>
      </c>
      <c r="GV24" s="380">
        <f t="shared" si="35"/>
        <v>-7224.8365821734769</v>
      </c>
      <c r="GW24" s="506">
        <v>440105.27</v>
      </c>
      <c r="GX24" s="53">
        <v>1.1415500000000001</v>
      </c>
      <c r="GY24" s="507">
        <v>385533.06469274231</v>
      </c>
      <c r="GZ24" s="380">
        <f t="shared" si="36"/>
        <v>-190270.18088647898</v>
      </c>
      <c r="HA24" s="506">
        <v>442503.53</v>
      </c>
      <c r="HB24" s="53">
        <v>1.1389499999999999</v>
      </c>
      <c r="HC24" s="507">
        <v>388518.83752579137</v>
      </c>
      <c r="HD24" s="380">
        <f t="shared" si="37"/>
        <v>2985.7728330490645</v>
      </c>
      <c r="HE24" s="506">
        <v>467078.37</v>
      </c>
      <c r="HF24" s="53">
        <v>1.1379999999999999</v>
      </c>
      <c r="HG24" s="507">
        <v>410437.93497363798</v>
      </c>
      <c r="HH24" s="380">
        <f t="shared" si="38"/>
        <v>21919.097447846609</v>
      </c>
      <c r="HI24" s="506">
        <v>664389.79</v>
      </c>
      <c r="HJ24" s="53">
        <v>1.1426499999999999</v>
      </c>
      <c r="HK24" s="507">
        <v>581446.45341968234</v>
      </c>
      <c r="HL24" s="380">
        <f t="shared" si="39"/>
        <v>171008.51844604436</v>
      </c>
      <c r="HM24" s="506">
        <v>805921.34</v>
      </c>
      <c r="HN24" s="53">
        <v>1.139869</v>
      </c>
      <c r="HO24" s="507">
        <v>707029.79026537261</v>
      </c>
      <c r="HP24" s="380">
        <f t="shared" si="40"/>
        <v>125583.33684569027</v>
      </c>
      <c r="HQ24" s="506">
        <v>764455.79</v>
      </c>
      <c r="HR24" s="53">
        <v>1.1428499999999999</v>
      </c>
      <c r="HS24" s="507">
        <v>668902.99689373071</v>
      </c>
      <c r="HT24" s="380">
        <f t="shared" si="41"/>
        <v>-38126.793371641892</v>
      </c>
      <c r="HU24" s="506">
        <v>744432.64000000001</v>
      </c>
      <c r="HV24" s="53">
        <v>1.1433</v>
      </c>
      <c r="HW24" s="507">
        <v>651126.24857867579</v>
      </c>
      <c r="HX24" s="380">
        <f t="shared" si="42"/>
        <v>-17776.748315054923</v>
      </c>
      <c r="HY24" s="506">
        <v>841892.11</v>
      </c>
      <c r="HZ24" s="53">
        <v>1.1509499999999999</v>
      </c>
      <c r="IA24" s="507">
        <v>731475.83300751552</v>
      </c>
      <c r="IB24" s="380">
        <f t="shared" si="43"/>
        <v>80349.584428839735</v>
      </c>
      <c r="IC24" s="506">
        <v>852245.24</v>
      </c>
      <c r="ID24" s="53">
        <v>1.1509499999999999</v>
      </c>
      <c r="IE24" s="507">
        <v>740471.12385420746</v>
      </c>
      <c r="IF24" s="380">
        <f t="shared" si="44"/>
        <v>8995.2908466919325</v>
      </c>
      <c r="IG24" s="506">
        <v>1233663.1299999999</v>
      </c>
      <c r="IH24" s="53">
        <v>1.1509499999999999</v>
      </c>
      <c r="II24" s="507">
        <v>1071865.094052739</v>
      </c>
      <c r="IJ24" s="380">
        <f t="shared" si="45"/>
        <v>331393.97019853152</v>
      </c>
      <c r="IK24" s="506">
        <v>1211383.5900000001</v>
      </c>
      <c r="IL24" s="53">
        <v>1.1509499999999999</v>
      </c>
      <c r="IM24" s="507">
        <v>1052507.5720057345</v>
      </c>
      <c r="IN24" s="380">
        <f t="shared" si="46"/>
        <v>-19357.52204700443</v>
      </c>
      <c r="IO24" s="506">
        <v>1264115.19</v>
      </c>
      <c r="IP24" s="53">
        <v>1.1509499999999999</v>
      </c>
      <c r="IQ24" s="507">
        <v>1098323.2894565358</v>
      </c>
      <c r="IR24" s="380">
        <f t="shared" si="47"/>
        <v>45815.717450801283</v>
      </c>
      <c r="IS24" s="506">
        <v>1330331.03</v>
      </c>
      <c r="IT24" s="53">
        <v>1.1509499999999999</v>
      </c>
      <c r="IU24" s="507">
        <v>1155854.7547678007</v>
      </c>
      <c r="IV24" s="380">
        <f t="shared" si="48"/>
        <v>57531.465311264852</v>
      </c>
      <c r="IW24" s="506">
        <v>1331889.53</v>
      </c>
      <c r="IX24" s="53">
        <v>1.1608000000000001</v>
      </c>
      <c r="IY24" s="507">
        <v>1147389.3263266713</v>
      </c>
      <c r="IZ24" s="380">
        <f t="shared" si="49"/>
        <v>-8465.428441129392</v>
      </c>
    </row>
    <row r="25" spans="1:260">
      <c r="A25" s="13" t="s">
        <v>541</v>
      </c>
      <c r="B25" s="13" t="s">
        <v>542</v>
      </c>
      <c r="C25" s="13" t="s">
        <v>449</v>
      </c>
      <c r="D25" s="13" t="s">
        <v>306</v>
      </c>
      <c r="E25" s="13" t="s">
        <v>5</v>
      </c>
      <c r="F25" s="13">
        <v>104043440</v>
      </c>
      <c r="G25" s="13"/>
      <c r="H25" s="49" t="s">
        <v>543</v>
      </c>
      <c r="I25" s="14">
        <f>+VLOOKUP(F25,'HSBC - Banco'!$B$3:$G$39,6, FALSE)</f>
        <v>1118.75</v>
      </c>
      <c r="J25" s="14">
        <f>+VLOOKUP(E25,'Summary - Colar'!$M$39:$N$54,2,FALSE)</f>
        <v>1.1608000000000001</v>
      </c>
      <c r="K25" s="14">
        <f t="shared" si="50"/>
        <v>963.77498277050302</v>
      </c>
      <c r="L25" s="506">
        <v>1328.56</v>
      </c>
      <c r="M25" s="53">
        <v>1.0393499809660025</v>
      </c>
      <c r="N25" s="507">
        <v>1278.2604746528182</v>
      </c>
      <c r="O25" s="506">
        <v>1328.56</v>
      </c>
      <c r="P25" s="53">
        <v>1.0296499958937868</v>
      </c>
      <c r="Q25" s="507">
        <v>1290.3025351316051</v>
      </c>
      <c r="R25" s="506">
        <v>1328.56</v>
      </c>
      <c r="S25" s="53">
        <v>1.0305500350713117</v>
      </c>
      <c r="T25" s="507">
        <v>1289.1756390150106</v>
      </c>
      <c r="U25" s="506">
        <v>1293.5999999999999</v>
      </c>
      <c r="V25" s="53">
        <v>1.0294499127813821</v>
      </c>
      <c r="W25" s="507">
        <v>1256.5934329965928</v>
      </c>
      <c r="X25" s="506">
        <v>1293.5999999999999</v>
      </c>
      <c r="Y25" s="53">
        <v>1.0474500171045873</v>
      </c>
      <c r="Z25" s="507">
        <v>1234.9992638081505</v>
      </c>
      <c r="AA25" s="506">
        <v>1293.5999999999999</v>
      </c>
      <c r="AB25" s="53">
        <v>1.0384500241697678</v>
      </c>
      <c r="AC25" s="507">
        <v>1245.7027010367901</v>
      </c>
      <c r="AD25" s="506">
        <v>1293.5999999999999</v>
      </c>
      <c r="AE25" s="53">
        <v>1.0375500183032278</v>
      </c>
      <c r="AF25" s="507">
        <v>1246.783265558134</v>
      </c>
      <c r="AG25" s="506">
        <v>1293.5999999999999</v>
      </c>
      <c r="AH25" s="53">
        <v>1.047149991583058</v>
      </c>
      <c r="AI25" s="507">
        <v>1235.3531112045987</v>
      </c>
      <c r="AJ25" s="506">
        <v>1258.6300000000001</v>
      </c>
      <c r="AK25" s="53">
        <v>1.0461499902620313</v>
      </c>
      <c r="AL25" s="507">
        <v>1203.1066402674712</v>
      </c>
      <c r="AM25" s="506">
        <v>1258.6300000000001</v>
      </c>
      <c r="AN25" s="53">
        <v>1.0407499836552325</v>
      </c>
      <c r="AO25" s="507">
        <v>1209.3490461364679</v>
      </c>
      <c r="AP25" s="506">
        <v>1258.6300000000001</v>
      </c>
      <c r="AQ25" s="53">
        <v>1.0854500032344994</v>
      </c>
      <c r="AR25" s="507">
        <v>1159.5467283149358</v>
      </c>
      <c r="AS25" s="506">
        <v>1258.6300000000001</v>
      </c>
      <c r="AT25" s="53">
        <v>1.08935</v>
      </c>
      <c r="AU25" s="507">
        <v>1155.3954192867307</v>
      </c>
      <c r="AV25" s="506">
        <v>1258.6300000000001</v>
      </c>
      <c r="AW25" s="53">
        <v>1.0830999858771673</v>
      </c>
      <c r="AX25" s="507">
        <v>1162.0626132504995</v>
      </c>
      <c r="AY25" s="506">
        <v>1223.6600000000001</v>
      </c>
      <c r="AZ25" s="53">
        <v>1.0787497944244075</v>
      </c>
      <c r="BA25" s="507">
        <v>1134.3316182534363</v>
      </c>
      <c r="BB25" s="506">
        <v>1223.6600000000001</v>
      </c>
      <c r="BC25" s="53">
        <v>1.0820998826422146</v>
      </c>
      <c r="BD25" s="507">
        <v>1130.8198250720918</v>
      </c>
      <c r="BE25" s="506">
        <v>1223.6600000000001</v>
      </c>
      <c r="BF25" s="53">
        <v>1.0781999853387405</v>
      </c>
      <c r="BG25" s="507">
        <v>1134.9100506763225</v>
      </c>
      <c r="BH25" s="380">
        <f t="shared" si="0"/>
        <v>1133.8279507936802</v>
      </c>
      <c r="BI25" s="506">
        <v>1223.6600000000001</v>
      </c>
      <c r="BJ25" s="53">
        <v>1.0803999989493438</v>
      </c>
      <c r="BK25" s="507">
        <v>1132.5990384949762</v>
      </c>
      <c r="BL25" s="380">
        <f t="shared" si="1"/>
        <v>-2.3110121813463138</v>
      </c>
      <c r="BM25" s="506">
        <v>1223.6600000000001</v>
      </c>
      <c r="BN25" s="53">
        <v>1.1088499954694768</v>
      </c>
      <c r="BO25" s="507">
        <v>1103.5397078050344</v>
      </c>
      <c r="BP25">
        <v>6.2424058689966841</v>
      </c>
      <c r="BQ25" s="506">
        <v>1223.6600000000001</v>
      </c>
      <c r="BR25" s="53">
        <v>1.1058499740160905</v>
      </c>
      <c r="BS25" s="507">
        <v>1106.5334618185698</v>
      </c>
      <c r="BT25" s="380">
        <f t="shared" si="2"/>
        <v>2.9937540135354084</v>
      </c>
      <c r="BU25" s="506">
        <v>1223.6600000000001</v>
      </c>
      <c r="BV25" s="53">
        <v>1.0967500172467883</v>
      </c>
      <c r="BW25" s="507">
        <v>1115.7145938067076</v>
      </c>
      <c r="BX25" s="380">
        <f t="shared" si="3"/>
        <v>9.1811319881378495</v>
      </c>
      <c r="BY25" s="506">
        <v>1223.6600000000001</v>
      </c>
      <c r="BZ25" s="53">
        <v>1.0935500267747675</v>
      </c>
      <c r="CA25" s="507">
        <v>1118.9794431343657</v>
      </c>
      <c r="CB25" s="380">
        <f t="shared" si="4"/>
        <v>3.2648493276581121</v>
      </c>
      <c r="CC25" s="506">
        <v>1223.6600000000001</v>
      </c>
      <c r="CD25" s="53">
        <v>1.1035500028504495</v>
      </c>
      <c r="CE25" s="507">
        <v>1108.8396509802988</v>
      </c>
      <c r="CF25" s="380">
        <f t="shared" si="5"/>
        <v>-10.139792154066981</v>
      </c>
      <c r="CG25" s="506">
        <v>1223.6600000000001</v>
      </c>
      <c r="CH25" s="53">
        <v>1.1071500373751093</v>
      </c>
      <c r="CI25" s="507">
        <v>1105.2341224691811</v>
      </c>
      <c r="CJ25" s="380">
        <f t="shared" si="6"/>
        <v>-3.6055285111176545</v>
      </c>
      <c r="CK25" s="506">
        <v>1223.6600000000001</v>
      </c>
      <c r="CL25" s="53">
        <v>1.1331000481425468</v>
      </c>
      <c r="CM25" s="507">
        <v>1079.9222910685646</v>
      </c>
      <c r="CN25" s="380">
        <f t="shared" si="7"/>
        <v>-25.311831400616484</v>
      </c>
      <c r="CO25" s="506">
        <v>1223.6600000000001</v>
      </c>
      <c r="CP25" s="53">
        <v>1.1381500166600167</v>
      </c>
      <c r="CQ25" s="507">
        <v>1075.1306788106181</v>
      </c>
      <c r="CR25" s="380">
        <f t="shared" si="8"/>
        <v>-4.7916122579465537</v>
      </c>
      <c r="CS25" s="506">
        <v>1223.6600000000001</v>
      </c>
      <c r="CT25" s="53">
        <v>1.1324499897732652</v>
      </c>
      <c r="CU25" s="507">
        <v>1080.542197051012</v>
      </c>
      <c r="CV25" s="380">
        <f t="shared" si="9"/>
        <v>5.4115182403938888</v>
      </c>
      <c r="CW25" s="506">
        <v>1223.6600000000001</v>
      </c>
      <c r="CX25" s="53">
        <v>1.1362500452178652</v>
      </c>
      <c r="CY25" s="507">
        <v>1076.9284499921625</v>
      </c>
      <c r="CZ25" s="380">
        <f t="shared" si="10"/>
        <v>-3.6137470588494125</v>
      </c>
      <c r="DA25" s="506">
        <v>1223.6600000000001</v>
      </c>
      <c r="DB25" s="53">
        <v>1.1363000964193748</v>
      </c>
      <c r="DC25" s="507">
        <v>1076.8810139644513</v>
      </c>
      <c r="DD25" s="380">
        <f t="shared" si="11"/>
        <v>-4.7436027711228235E-2</v>
      </c>
      <c r="DE25" s="506">
        <v>1188.69</v>
      </c>
      <c r="DF25" s="53">
        <v>1.1544499930632772</v>
      </c>
      <c r="DG25" s="507">
        <v>1029.6591512343196</v>
      </c>
      <c r="DH25" s="380">
        <f t="shared" si="12"/>
        <v>-47.221862730131761</v>
      </c>
      <c r="DI25" s="506">
        <v>1188.69</v>
      </c>
      <c r="DJ25" s="53">
        <v>1.1486000091425401</v>
      </c>
      <c r="DK25" s="507">
        <v>1034.903352375374</v>
      </c>
      <c r="DL25" s="380">
        <f t="shared" si="13"/>
        <v>5.2442011410544183</v>
      </c>
      <c r="DM25" s="506">
        <v>1188.69</v>
      </c>
      <c r="DN25" s="53">
        <v>1.1410499781207057</v>
      </c>
      <c r="DO25" s="507">
        <v>1041.7510387737414</v>
      </c>
      <c r="DP25" s="380">
        <f t="shared" si="14"/>
        <v>6.8476863983673866</v>
      </c>
      <c r="DQ25" s="506">
        <v>0</v>
      </c>
      <c r="DR25" s="53">
        <v>1.135249966573922</v>
      </c>
      <c r="DS25" s="507">
        <v>0</v>
      </c>
      <c r="DT25" s="380">
        <f t="shared" si="15"/>
        <v>-1041.7510387737414</v>
      </c>
      <c r="DU25" s="506">
        <v>0</v>
      </c>
      <c r="DV25" s="53">
        <v>1.1318500296229566</v>
      </c>
      <c r="DW25" s="507">
        <v>0</v>
      </c>
      <c r="DX25" s="380">
        <f t="shared" si="16"/>
        <v>0</v>
      </c>
      <c r="DY25" s="506">
        <v>1188.69</v>
      </c>
      <c r="DZ25" s="53">
        <v>1.1345499999999999</v>
      </c>
      <c r="EA25" s="507">
        <v>1047.7193600987177</v>
      </c>
      <c r="EB25" s="380">
        <f t="shared" si="17"/>
        <v>1047.7193600987177</v>
      </c>
      <c r="EC25" s="506">
        <v>1188.69</v>
      </c>
      <c r="ED25" s="53">
        <v>1.13425</v>
      </c>
      <c r="EE25" s="507">
        <v>1047.9964734405996</v>
      </c>
      <c r="EF25" s="380">
        <f t="shared" si="18"/>
        <v>0.2771133418818863</v>
      </c>
      <c r="EG25" s="506">
        <v>1188.69</v>
      </c>
      <c r="EH25" s="53">
        <v>1.1326499999999999</v>
      </c>
      <c r="EI25" s="507">
        <v>1049.4768904780824</v>
      </c>
      <c r="EJ25" s="380">
        <f t="shared" si="19"/>
        <v>1.4804170374827663</v>
      </c>
      <c r="EK25" s="506">
        <v>1188.69</v>
      </c>
      <c r="EL25" s="53">
        <v>1.13575</v>
      </c>
      <c r="EM25" s="507">
        <v>1046.6123706801673</v>
      </c>
      <c r="EN25" s="380">
        <f t="shared" si="20"/>
        <v>-2.8645197979151362</v>
      </c>
      <c r="EO25" s="506">
        <v>1188.69</v>
      </c>
      <c r="EP25" s="53">
        <v>1.1295500000000001</v>
      </c>
      <c r="EQ25" s="507">
        <v>1052.3571333716966</v>
      </c>
      <c r="ER25" s="380">
        <f t="shared" si="21"/>
        <v>5.7447626915293313</v>
      </c>
      <c r="ES25" s="506">
        <v>1188.69</v>
      </c>
      <c r="ET25" s="53">
        <v>1.1253500000000001</v>
      </c>
      <c r="EU25" s="507">
        <v>1056.2847114231129</v>
      </c>
      <c r="EV25" s="380">
        <f t="shared" si="22"/>
        <v>3.9275780514162761</v>
      </c>
      <c r="EW25" s="506">
        <v>1188.69</v>
      </c>
      <c r="EX25" s="53">
        <v>1.1109500000000001</v>
      </c>
      <c r="EY25" s="507">
        <v>1069.9761465412485</v>
      </c>
      <c r="EZ25" s="380">
        <f t="shared" si="23"/>
        <v>13.691435118135587</v>
      </c>
      <c r="FA25" s="506">
        <v>1188.69</v>
      </c>
      <c r="FB25" s="53">
        <v>1.1105499999999999</v>
      </c>
      <c r="FC25" s="507">
        <v>1070.3615325739499</v>
      </c>
      <c r="FD25" s="380">
        <f t="shared" si="24"/>
        <v>0.38538603270148997</v>
      </c>
      <c r="FE25" s="506">
        <v>1188.69</v>
      </c>
      <c r="FF25" s="53">
        <v>1.12155</v>
      </c>
      <c r="FG25" s="507">
        <v>1059.8635816503945</v>
      </c>
      <c r="FH25" s="380">
        <f t="shared" si="25"/>
        <v>-10.497950923555436</v>
      </c>
      <c r="FI25" s="506">
        <v>1188.69</v>
      </c>
      <c r="FJ25" s="53">
        <v>1.1194</v>
      </c>
      <c r="FK25" s="507">
        <v>1061.8992317312848</v>
      </c>
      <c r="FL25" s="380">
        <f t="shared" si="26"/>
        <v>2.0356500808902638</v>
      </c>
      <c r="FM25" s="506">
        <v>1153.72</v>
      </c>
      <c r="FN25" s="53">
        <v>1.1271500000000001</v>
      </c>
      <c r="FO25" s="507">
        <v>1023.5727276759969</v>
      </c>
      <c r="FP25" s="380">
        <f t="shared" si="27"/>
        <v>-38.326504055287842</v>
      </c>
      <c r="FQ25" s="506">
        <v>1153.72</v>
      </c>
      <c r="FR25" s="53">
        <v>1.1245499999999999</v>
      </c>
      <c r="FS25" s="507">
        <v>1025.9392645947269</v>
      </c>
      <c r="FT25" s="380">
        <f t="shared" si="28"/>
        <v>2.3665369187299348</v>
      </c>
      <c r="FU25" s="506">
        <v>1153.72</v>
      </c>
      <c r="FV25" s="53">
        <v>1.13215</v>
      </c>
      <c r="FW25" s="507">
        <v>1019.0522457271563</v>
      </c>
      <c r="FX25" s="380">
        <f t="shared" si="29"/>
        <v>-6.8870188675705322</v>
      </c>
      <c r="FY25" s="506">
        <v>1153.72</v>
      </c>
      <c r="FZ25" s="53">
        <v>1.1327499999999999</v>
      </c>
      <c r="GA25" s="507">
        <v>1018.5124696534982</v>
      </c>
      <c r="GB25" s="380">
        <f t="shared" si="30"/>
        <v>-0.53977607365811764</v>
      </c>
      <c r="GC25" s="506">
        <v>1153.72</v>
      </c>
      <c r="GD25" s="53">
        <v>1.13775</v>
      </c>
      <c r="GE25" s="507">
        <v>1014.0364754998901</v>
      </c>
      <c r="GF25" s="380">
        <f t="shared" si="31"/>
        <v>-4.4759941536080987</v>
      </c>
      <c r="GG25" s="506">
        <v>1153.72</v>
      </c>
      <c r="GH25" s="53">
        <v>1.1352500000000001</v>
      </c>
      <c r="GI25" s="507">
        <v>1016.2695441532701</v>
      </c>
      <c r="GJ25" s="380">
        <f t="shared" si="32"/>
        <v>2.2330686533799735</v>
      </c>
      <c r="GK25" s="506">
        <v>1153.72</v>
      </c>
      <c r="GL25" s="53">
        <v>1.1318999999999999</v>
      </c>
      <c r="GM25" s="507">
        <v>1019.2773213181378</v>
      </c>
      <c r="GN25" s="380">
        <f t="shared" si="33"/>
        <v>3.0077771648676617</v>
      </c>
      <c r="GO25" s="506">
        <v>1153.72</v>
      </c>
      <c r="GP25" s="53">
        <v>1.1270500000000001</v>
      </c>
      <c r="GQ25" s="507">
        <v>1023.6635464265116</v>
      </c>
      <c r="GR25" s="380">
        <f t="shared" si="34"/>
        <v>4.3862251083738784</v>
      </c>
      <c r="GS25" s="506">
        <v>0</v>
      </c>
      <c r="GT25" s="53">
        <v>1.13385</v>
      </c>
      <c r="GU25" s="507">
        <v>0</v>
      </c>
      <c r="GV25" s="380">
        <f t="shared" si="35"/>
        <v>-1023.6635464265116</v>
      </c>
      <c r="GW25" s="506">
        <v>1153.72</v>
      </c>
      <c r="GX25" s="53">
        <v>1.1415500000000001</v>
      </c>
      <c r="GY25" s="507">
        <v>1010.6609434540756</v>
      </c>
      <c r="GZ25" s="380">
        <f t="shared" si="36"/>
        <v>1010.6609434540756</v>
      </c>
      <c r="HA25" s="506">
        <v>1153.72</v>
      </c>
      <c r="HB25" s="53">
        <v>1.1389499999999999</v>
      </c>
      <c r="HC25" s="507">
        <v>1012.9680846393609</v>
      </c>
      <c r="HD25" s="380">
        <f t="shared" si="37"/>
        <v>2.3071411852853316</v>
      </c>
      <c r="HE25" s="506">
        <v>1153.72</v>
      </c>
      <c r="HF25" s="53">
        <v>1.1379999999999999</v>
      </c>
      <c r="HG25" s="507">
        <v>1013.8137082601056</v>
      </c>
      <c r="HH25" s="380">
        <f t="shared" si="38"/>
        <v>0.84562362074473185</v>
      </c>
      <c r="HI25" s="506">
        <v>1153.72</v>
      </c>
      <c r="HJ25" s="53">
        <v>1.1426499999999999</v>
      </c>
      <c r="HK25" s="507">
        <v>1009.6880059510787</v>
      </c>
      <c r="HL25" s="380">
        <f t="shared" si="39"/>
        <v>-4.1257023090269058</v>
      </c>
      <c r="HM25" s="506">
        <v>1153.72</v>
      </c>
      <c r="HN25" s="53">
        <v>1.139869</v>
      </c>
      <c r="HO25" s="507">
        <v>1012.1513963446677</v>
      </c>
      <c r="HP25" s="380">
        <f t="shared" si="40"/>
        <v>2.4633903935889521</v>
      </c>
      <c r="HQ25" s="506">
        <v>1153.72</v>
      </c>
      <c r="HR25" s="53">
        <v>1.1428499999999999</v>
      </c>
      <c r="HS25" s="507">
        <v>1009.5113094456841</v>
      </c>
      <c r="HT25" s="380">
        <f t="shared" si="41"/>
        <v>-2.6400868989835544</v>
      </c>
      <c r="HU25" s="506">
        <v>1153.72</v>
      </c>
      <c r="HV25" s="53">
        <v>1.1433</v>
      </c>
      <c r="HW25" s="507">
        <v>1009.1139683372694</v>
      </c>
      <c r="HX25" s="380">
        <f t="shared" si="42"/>
        <v>-0.39734110841470738</v>
      </c>
      <c r="HY25" s="506">
        <v>1153.72</v>
      </c>
      <c r="HZ25" s="53">
        <v>1.1509499999999999</v>
      </c>
      <c r="IA25" s="507">
        <v>1002.4067075024981</v>
      </c>
      <c r="IB25" s="380">
        <f t="shared" si="43"/>
        <v>-6.7072608347713185</v>
      </c>
      <c r="IC25" s="506">
        <v>1153.72</v>
      </c>
      <c r="ID25" s="53">
        <v>1.1509499999999999</v>
      </c>
      <c r="IE25" s="507">
        <v>1002.4067075024981</v>
      </c>
      <c r="IF25" s="380">
        <f t="shared" si="44"/>
        <v>0</v>
      </c>
      <c r="IG25" s="506">
        <v>1153.72</v>
      </c>
      <c r="IH25" s="53">
        <v>1.1509499999999999</v>
      </c>
      <c r="II25" s="507">
        <v>1002.4067075024981</v>
      </c>
      <c r="IJ25" s="380">
        <f t="shared" si="45"/>
        <v>0</v>
      </c>
      <c r="IK25" s="506">
        <v>1118.75</v>
      </c>
      <c r="IL25" s="53">
        <v>1.1509499999999999</v>
      </c>
      <c r="IM25" s="507">
        <v>972.02311134280387</v>
      </c>
      <c r="IN25" s="380">
        <f t="shared" si="46"/>
        <v>-30.383596159694207</v>
      </c>
      <c r="IO25" s="506">
        <v>1118.75</v>
      </c>
      <c r="IP25" s="53">
        <v>1.1509499999999999</v>
      </c>
      <c r="IQ25" s="507">
        <v>972.02311134280387</v>
      </c>
      <c r="IR25" s="380">
        <f t="shared" si="47"/>
        <v>0</v>
      </c>
      <c r="IS25" s="506">
        <v>1118.75</v>
      </c>
      <c r="IT25" s="53">
        <v>1.1509499999999999</v>
      </c>
      <c r="IU25" s="507">
        <v>972.02311134280387</v>
      </c>
      <c r="IV25" s="380">
        <f t="shared" si="48"/>
        <v>0</v>
      </c>
      <c r="IW25" s="506">
        <v>1118.75</v>
      </c>
      <c r="IX25" s="53">
        <v>1.1608000000000001</v>
      </c>
      <c r="IY25" s="507">
        <v>963.77498277050302</v>
      </c>
      <c r="IZ25" s="380">
        <f t="shared" si="49"/>
        <v>-8.2481285723008568</v>
      </c>
    </row>
    <row r="26" spans="1:260">
      <c r="A26" s="13" t="s">
        <v>544</v>
      </c>
      <c r="B26" s="13" t="s">
        <v>545</v>
      </c>
      <c r="C26" s="13" t="s">
        <v>449</v>
      </c>
      <c r="D26" s="13" t="s">
        <v>306</v>
      </c>
      <c r="E26" s="13" t="s">
        <v>5</v>
      </c>
      <c r="F26" s="13">
        <v>104051990</v>
      </c>
      <c r="G26" s="13"/>
      <c r="H26" s="49" t="s">
        <v>546</v>
      </c>
      <c r="I26" s="14">
        <f>+VLOOKUP(F26,'HSBC - Banco'!$B$3:$G$39,6, FALSE)</f>
        <v>57558.68</v>
      </c>
      <c r="J26" s="14">
        <f>+VLOOKUP(E26,'Summary - Colar'!$M$39:$N$54,2,FALSE)</f>
        <v>1.1608000000000001</v>
      </c>
      <c r="K26" s="14">
        <f t="shared" si="50"/>
        <v>49585.354927636108</v>
      </c>
      <c r="L26" s="506">
        <v>290870.61</v>
      </c>
      <c r="M26" s="53">
        <v>1.0393499809660025</v>
      </c>
      <c r="N26" s="507">
        <v>279858.19534018391</v>
      </c>
      <c r="O26" s="506">
        <v>290870.61</v>
      </c>
      <c r="P26" s="53">
        <v>1.0296499958937868</v>
      </c>
      <c r="Q26" s="507">
        <v>282494.64493758389</v>
      </c>
      <c r="R26" s="506">
        <v>318603.61</v>
      </c>
      <c r="S26" s="53">
        <v>1.0305500350713117</v>
      </c>
      <c r="T26" s="507">
        <v>309158.79788209737</v>
      </c>
      <c r="U26" s="506">
        <v>153414.82999999999</v>
      </c>
      <c r="V26" s="53">
        <v>1.0294499127813821</v>
      </c>
      <c r="W26" s="507">
        <v>149026.02651692074</v>
      </c>
      <c r="X26" s="506">
        <v>158142.82999999999</v>
      </c>
      <c r="Y26" s="53">
        <v>1.0474500171045873</v>
      </c>
      <c r="Z26" s="507">
        <v>150978.87958142973</v>
      </c>
      <c r="AA26" s="506">
        <v>235801.4</v>
      </c>
      <c r="AB26" s="53">
        <v>1.0384500241697678</v>
      </c>
      <c r="AC26" s="507">
        <v>227070.53253575804</v>
      </c>
      <c r="AD26" s="506">
        <v>406746.4</v>
      </c>
      <c r="AE26" s="53">
        <v>1.0375500183032278</v>
      </c>
      <c r="AF26" s="507">
        <v>392025.823164823</v>
      </c>
      <c r="AG26" s="506">
        <v>304963.82</v>
      </c>
      <c r="AH26" s="53">
        <v>1.047149991583058</v>
      </c>
      <c r="AI26" s="507">
        <v>291232.22313067346</v>
      </c>
      <c r="AJ26" s="506">
        <v>249866.33</v>
      </c>
      <c r="AK26" s="53">
        <v>1.0461499902620313</v>
      </c>
      <c r="AL26" s="507">
        <v>238843.69576624045</v>
      </c>
      <c r="AM26" s="506">
        <v>314671.23</v>
      </c>
      <c r="AN26" s="53">
        <v>1.0407499836552325</v>
      </c>
      <c r="AO26" s="507">
        <v>302350.45394364436</v>
      </c>
      <c r="AP26" s="506">
        <v>174150.23</v>
      </c>
      <c r="AQ26" s="53">
        <v>1.0854500032344994</v>
      </c>
      <c r="AR26" s="507">
        <v>160440.58176890234</v>
      </c>
      <c r="AS26" s="506">
        <v>178488.86</v>
      </c>
      <c r="AT26" s="53">
        <v>1.08935</v>
      </c>
      <c r="AU26" s="507">
        <v>163848.95579932985</v>
      </c>
      <c r="AV26" s="506">
        <v>77581.36</v>
      </c>
      <c r="AW26" s="53">
        <v>1.0830999858771673</v>
      </c>
      <c r="AX26" s="507">
        <v>71628.991793559471</v>
      </c>
      <c r="AY26" s="506">
        <v>62060.18</v>
      </c>
      <c r="AZ26" s="53">
        <v>1.0787497944244075</v>
      </c>
      <c r="BA26" s="507">
        <v>57529.725911200454</v>
      </c>
      <c r="BB26" s="506">
        <v>62060.18</v>
      </c>
      <c r="BC26" s="53">
        <v>1.0820998826422146</v>
      </c>
      <c r="BD26" s="507">
        <v>57351.618825116879</v>
      </c>
      <c r="BE26" s="506">
        <v>76560.179999999993</v>
      </c>
      <c r="BF26" s="53">
        <v>1.0781999853387405</v>
      </c>
      <c r="BG26" s="507">
        <v>71007.402189814457</v>
      </c>
      <c r="BH26" s="380">
        <f t="shared" si="0"/>
        <v>71006.320089931818</v>
      </c>
      <c r="BI26" s="506">
        <v>76560.179999999993</v>
      </c>
      <c r="BJ26" s="53">
        <v>1.0803999989493438</v>
      </c>
      <c r="BK26" s="507">
        <v>70862.810139256238</v>
      </c>
      <c r="BL26" s="380">
        <f t="shared" si="1"/>
        <v>-144.59205055821803</v>
      </c>
      <c r="BM26" s="506">
        <v>104532.18</v>
      </c>
      <c r="BN26" s="53">
        <v>1.1088499954694768</v>
      </c>
      <c r="BO26" s="507">
        <v>94270.803469446779</v>
      </c>
      <c r="BP26">
        <v>63506.758177403914</v>
      </c>
      <c r="BQ26" s="506">
        <v>104532.18</v>
      </c>
      <c r="BR26" s="53">
        <v>1.1058499740160905</v>
      </c>
      <c r="BS26" s="507">
        <v>94526.547412550746</v>
      </c>
      <c r="BT26" s="380">
        <f t="shared" si="2"/>
        <v>255.74394310396747</v>
      </c>
      <c r="BU26" s="506">
        <v>104532.18</v>
      </c>
      <c r="BV26" s="53">
        <v>1.0967500172467883</v>
      </c>
      <c r="BW26" s="507">
        <v>95310.853299470138</v>
      </c>
      <c r="BX26" s="380">
        <f t="shared" si="3"/>
        <v>784.30588691939192</v>
      </c>
      <c r="BY26" s="506">
        <v>104532.18</v>
      </c>
      <c r="BZ26" s="53">
        <v>1.0935500267747675</v>
      </c>
      <c r="CA26" s="507">
        <v>95589.75578675553</v>
      </c>
      <c r="CB26" s="380">
        <f t="shared" si="4"/>
        <v>278.90248728539154</v>
      </c>
      <c r="CC26" s="506">
        <v>34532.18</v>
      </c>
      <c r="CD26" s="53">
        <v>1.1035500028504495</v>
      </c>
      <c r="CE26" s="507">
        <v>31291.903321828653</v>
      </c>
      <c r="CF26" s="380">
        <f t="shared" si="5"/>
        <v>-64297.85246492688</v>
      </c>
      <c r="CG26" s="506">
        <v>34532.18</v>
      </c>
      <c r="CH26" s="53">
        <v>1.1071500373751093</v>
      </c>
      <c r="CI26" s="507">
        <v>31190.153849310926</v>
      </c>
      <c r="CJ26" s="380">
        <f t="shared" si="6"/>
        <v>-101.74947251772755</v>
      </c>
      <c r="CK26" s="506">
        <v>34532.18</v>
      </c>
      <c r="CL26" s="53">
        <v>1.1331000481425468</v>
      </c>
      <c r="CM26" s="507">
        <v>30475.843732075955</v>
      </c>
      <c r="CN26" s="380">
        <f t="shared" si="7"/>
        <v>-714.31011723497068</v>
      </c>
      <c r="CO26" s="506">
        <v>34532.18</v>
      </c>
      <c r="CP26" s="53">
        <v>1.1381500166600167</v>
      </c>
      <c r="CQ26" s="507">
        <v>30340.622496617074</v>
      </c>
      <c r="CR26" s="380">
        <f t="shared" si="8"/>
        <v>-135.22123545888098</v>
      </c>
      <c r="CS26" s="506">
        <v>35665.1</v>
      </c>
      <c r="CT26" s="53">
        <v>1.1324499897732652</v>
      </c>
      <c r="CU26" s="507">
        <v>31493.752767961727</v>
      </c>
      <c r="CV26" s="380">
        <f t="shared" si="9"/>
        <v>1153.130271344653</v>
      </c>
      <c r="CW26" s="506">
        <v>35665.1</v>
      </c>
      <c r="CX26" s="53">
        <v>1.1362500452178652</v>
      </c>
      <c r="CY26" s="507">
        <v>31388.42559355987</v>
      </c>
      <c r="CZ26" s="380">
        <f t="shared" si="10"/>
        <v>-105.32717440185661</v>
      </c>
      <c r="DA26" s="506">
        <v>35033.54</v>
      </c>
      <c r="DB26" s="53">
        <v>1.1363000964193748</v>
      </c>
      <c r="DC26" s="507">
        <v>30831.239133390125</v>
      </c>
      <c r="DD26" s="380">
        <f t="shared" si="11"/>
        <v>-557.18646016974526</v>
      </c>
      <c r="DE26" s="506">
        <v>37487.74</v>
      </c>
      <c r="DF26" s="53">
        <v>1.1544499930632772</v>
      </c>
      <c r="DG26" s="507">
        <v>32472.380982504139</v>
      </c>
      <c r="DH26" s="380">
        <f t="shared" si="12"/>
        <v>1641.1418491140139</v>
      </c>
      <c r="DI26" s="506">
        <v>37487.74</v>
      </c>
      <c r="DJ26" s="53">
        <v>1.1486000091425401</v>
      </c>
      <c r="DK26" s="507">
        <v>32637.76745743331</v>
      </c>
      <c r="DL26" s="380">
        <f t="shared" si="13"/>
        <v>165.38647492917153</v>
      </c>
      <c r="DM26" s="506">
        <v>37094.870000000003</v>
      </c>
      <c r="DN26" s="53">
        <v>1.1410499781207057</v>
      </c>
      <c r="DO26" s="507">
        <v>32509.417388618476</v>
      </c>
      <c r="DP26" s="380">
        <f t="shared" si="14"/>
        <v>-128.35006881483423</v>
      </c>
      <c r="DQ26" s="506">
        <v>63730.87</v>
      </c>
      <c r="DR26" s="53">
        <v>1.135249966573922</v>
      </c>
      <c r="DS26" s="507">
        <v>56138.182670318674</v>
      </c>
      <c r="DT26" s="380">
        <f t="shared" si="15"/>
        <v>23628.765281700198</v>
      </c>
      <c r="DU26" s="506">
        <v>78973.47</v>
      </c>
      <c r="DV26" s="53">
        <v>1.1318500296229566</v>
      </c>
      <c r="DW26" s="507">
        <v>69773.793288062865</v>
      </c>
      <c r="DX26" s="380">
        <f t="shared" si="16"/>
        <v>13635.610617744191</v>
      </c>
      <c r="DY26" s="506">
        <v>78973.47</v>
      </c>
      <c r="DZ26" s="53">
        <v>1.1345499999999999</v>
      </c>
      <c r="EA26" s="507">
        <v>69607.747565113925</v>
      </c>
      <c r="EB26" s="380">
        <f t="shared" si="17"/>
        <v>-166.04572294894024</v>
      </c>
      <c r="EC26" s="506">
        <v>78973.47</v>
      </c>
      <c r="ED26" s="53">
        <v>1.13425</v>
      </c>
      <c r="EE26" s="507">
        <v>69626.158254353097</v>
      </c>
      <c r="EF26" s="380">
        <f t="shared" si="18"/>
        <v>18.410689239171916</v>
      </c>
      <c r="EG26" s="506">
        <v>78535.47</v>
      </c>
      <c r="EH26" s="53">
        <v>1.1326499999999999</v>
      </c>
      <c r="EI26" s="507">
        <v>69337.809561647475</v>
      </c>
      <c r="EJ26" s="380">
        <f t="shared" si="19"/>
        <v>-288.34869270562194</v>
      </c>
      <c r="EK26" s="506">
        <v>248615.18</v>
      </c>
      <c r="EL26" s="53">
        <v>1.13575</v>
      </c>
      <c r="EM26" s="507">
        <v>218899.56416464891</v>
      </c>
      <c r="EN26" s="380">
        <f t="shared" si="20"/>
        <v>149561.75460300143</v>
      </c>
      <c r="EO26" s="506">
        <v>248615.18</v>
      </c>
      <c r="EP26" s="53">
        <v>1.1295500000000001</v>
      </c>
      <c r="EQ26" s="507">
        <v>220101.08450267804</v>
      </c>
      <c r="ER26" s="380">
        <f t="shared" si="21"/>
        <v>1201.520338029135</v>
      </c>
      <c r="ES26" s="506">
        <v>371465.18</v>
      </c>
      <c r="ET26" s="53">
        <v>1.1253500000000001</v>
      </c>
      <c r="EU26" s="507">
        <v>330088.57688719063</v>
      </c>
      <c r="EV26" s="380">
        <f t="shared" si="22"/>
        <v>109987.49238451259</v>
      </c>
      <c r="EW26" s="506">
        <v>71465.179999999993</v>
      </c>
      <c r="EX26" s="53">
        <v>1.1109500000000001</v>
      </c>
      <c r="EY26" s="507">
        <v>64327.98955848597</v>
      </c>
      <c r="EZ26" s="380">
        <f t="shared" si="23"/>
        <v>-265760.58732870466</v>
      </c>
      <c r="FA26" s="506">
        <v>71465.179999999993</v>
      </c>
      <c r="FB26" s="53">
        <v>1.1105499999999999</v>
      </c>
      <c r="FC26" s="507">
        <v>64351.159335464406</v>
      </c>
      <c r="FD26" s="380">
        <f t="shared" si="24"/>
        <v>23.169776978436857</v>
      </c>
      <c r="FE26" s="506">
        <v>71465.179999999993</v>
      </c>
      <c r="FF26" s="53">
        <v>1.12155</v>
      </c>
      <c r="FG26" s="507">
        <v>63720.012482724793</v>
      </c>
      <c r="FH26" s="380">
        <f t="shared" si="25"/>
        <v>-631.14685273961368</v>
      </c>
      <c r="FI26" s="506">
        <v>97642.39</v>
      </c>
      <c r="FJ26" s="53">
        <v>1.1194</v>
      </c>
      <c r="FK26" s="507">
        <v>87227.434339824904</v>
      </c>
      <c r="FL26" s="380">
        <f t="shared" si="26"/>
        <v>23507.421857100111</v>
      </c>
      <c r="FM26" s="506">
        <v>106032.63</v>
      </c>
      <c r="FN26" s="53">
        <v>1.1271500000000001</v>
      </c>
      <c r="FO26" s="507">
        <v>94071.445681586294</v>
      </c>
      <c r="FP26" s="380">
        <f t="shared" si="27"/>
        <v>6844.0113417613902</v>
      </c>
      <c r="FQ26" s="506">
        <v>106032.63</v>
      </c>
      <c r="FR26" s="53">
        <v>1.1245499999999999</v>
      </c>
      <c r="FS26" s="507">
        <v>94288.942243564103</v>
      </c>
      <c r="FT26" s="380">
        <f t="shared" si="28"/>
        <v>217.4965619778086</v>
      </c>
      <c r="FU26" s="506">
        <v>106032.63</v>
      </c>
      <c r="FV26" s="53">
        <v>1.13215</v>
      </c>
      <c r="FW26" s="507">
        <v>93655.990813938086</v>
      </c>
      <c r="FX26" s="380">
        <f t="shared" si="29"/>
        <v>-632.95142962601676</v>
      </c>
      <c r="FY26" s="506">
        <v>106032.63</v>
      </c>
      <c r="FZ26" s="53">
        <v>1.1327499999999999</v>
      </c>
      <c r="GA26" s="507">
        <v>93606.38269697639</v>
      </c>
      <c r="GB26" s="380">
        <f t="shared" si="30"/>
        <v>-49.608116961695487</v>
      </c>
      <c r="GC26" s="506">
        <v>106032.63</v>
      </c>
      <c r="GD26" s="53">
        <v>1.13775</v>
      </c>
      <c r="GE26" s="507">
        <v>93195.016479894533</v>
      </c>
      <c r="GF26" s="380">
        <f t="shared" si="31"/>
        <v>-411.36621708185703</v>
      </c>
      <c r="GG26" s="506">
        <v>106032.63</v>
      </c>
      <c r="GH26" s="53">
        <v>1.1352500000000001</v>
      </c>
      <c r="GI26" s="507">
        <v>93400.246641708873</v>
      </c>
      <c r="GJ26" s="380">
        <f t="shared" si="32"/>
        <v>205.23016181433923</v>
      </c>
      <c r="GK26" s="506">
        <v>106032.63</v>
      </c>
      <c r="GL26" s="53">
        <v>1.1318999999999999</v>
      </c>
      <c r="GM26" s="507">
        <v>93676.676384839666</v>
      </c>
      <c r="GN26" s="380">
        <f t="shared" si="33"/>
        <v>276.42974313079321</v>
      </c>
      <c r="GO26" s="506">
        <v>106032.63</v>
      </c>
      <c r="GP26" s="53">
        <v>1.1270500000000001</v>
      </c>
      <c r="GQ26" s="507">
        <v>94079.792378332815</v>
      </c>
      <c r="GR26" s="380">
        <f t="shared" si="34"/>
        <v>403.11599349314929</v>
      </c>
      <c r="GS26" s="506">
        <v>182413.83</v>
      </c>
      <c r="GT26" s="53">
        <v>1.13385</v>
      </c>
      <c r="GU26" s="507">
        <v>160880.03704193674</v>
      </c>
      <c r="GV26" s="380">
        <f t="shared" si="35"/>
        <v>66800.244663603924</v>
      </c>
      <c r="GW26" s="506">
        <v>182413.83</v>
      </c>
      <c r="GX26" s="53">
        <v>1.1415500000000001</v>
      </c>
      <c r="GY26" s="507">
        <v>159794.86662870657</v>
      </c>
      <c r="GZ26" s="380">
        <f t="shared" si="36"/>
        <v>-1085.1704132301675</v>
      </c>
      <c r="HA26" s="506">
        <v>200151.7</v>
      </c>
      <c r="HB26" s="53">
        <v>1.1389499999999999</v>
      </c>
      <c r="HC26" s="507">
        <v>175733.52649370037</v>
      </c>
      <c r="HD26" s="380">
        <f t="shared" si="37"/>
        <v>15938.659864993795</v>
      </c>
      <c r="HE26" s="506">
        <v>200151.7</v>
      </c>
      <c r="HF26" s="53">
        <v>1.1379999999999999</v>
      </c>
      <c r="HG26" s="507">
        <v>175880.22847100178</v>
      </c>
      <c r="HH26" s="380">
        <f t="shared" si="38"/>
        <v>146.70197730141808</v>
      </c>
      <c r="HI26" s="506">
        <v>50151.7</v>
      </c>
      <c r="HJ26" s="53">
        <v>1.1426499999999999</v>
      </c>
      <c r="HK26" s="507">
        <v>43890.692688049712</v>
      </c>
      <c r="HL26" s="380">
        <f t="shared" si="39"/>
        <v>-131989.53578295207</v>
      </c>
      <c r="HM26" s="506">
        <v>50151.7</v>
      </c>
      <c r="HN26" s="53">
        <v>1.139869</v>
      </c>
      <c r="HO26" s="507">
        <v>43997.775182937687</v>
      </c>
      <c r="HP26" s="380">
        <f t="shared" si="40"/>
        <v>107.08249488797446</v>
      </c>
      <c r="HQ26" s="506">
        <v>50151.7</v>
      </c>
      <c r="HR26" s="53">
        <v>1.1428499999999999</v>
      </c>
      <c r="HS26" s="507">
        <v>43883.011768823555</v>
      </c>
      <c r="HT26" s="380">
        <f t="shared" si="41"/>
        <v>-114.76341411413159</v>
      </c>
      <c r="HU26" s="506">
        <v>10151.700000000001</v>
      </c>
      <c r="HV26" s="53">
        <v>1.1433</v>
      </c>
      <c r="HW26" s="507">
        <v>8879.2967725006565</v>
      </c>
      <c r="HX26" s="380">
        <f t="shared" si="42"/>
        <v>-35003.714996322902</v>
      </c>
      <c r="HY26" s="506">
        <v>10151.700000000001</v>
      </c>
      <c r="HZ26" s="53">
        <v>1.1509499999999999</v>
      </c>
      <c r="IA26" s="507">
        <v>8820.2789000390985</v>
      </c>
      <c r="IB26" s="380">
        <f t="shared" si="43"/>
        <v>-59.017872461557999</v>
      </c>
      <c r="IC26" s="506">
        <v>10151.700000000001</v>
      </c>
      <c r="ID26" s="53">
        <v>1.1509499999999999</v>
      </c>
      <c r="IE26" s="507">
        <v>8820.2789000390985</v>
      </c>
      <c r="IF26" s="380">
        <f t="shared" si="44"/>
        <v>0</v>
      </c>
      <c r="IG26" s="506">
        <v>10096.58</v>
      </c>
      <c r="IH26" s="53">
        <v>1.1509499999999999</v>
      </c>
      <c r="II26" s="507">
        <v>8772.3880272818114</v>
      </c>
      <c r="IJ26" s="380">
        <f t="shared" si="45"/>
        <v>-47.89087275728707</v>
      </c>
      <c r="IK26" s="506">
        <v>57558.68</v>
      </c>
      <c r="IL26" s="53">
        <v>1.1509499999999999</v>
      </c>
      <c r="IM26" s="507">
        <v>50009.713714757381</v>
      </c>
      <c r="IN26" s="380">
        <f t="shared" si="46"/>
        <v>41237.325687475568</v>
      </c>
      <c r="IO26" s="506">
        <v>57558.68</v>
      </c>
      <c r="IP26" s="53">
        <v>1.1509499999999999</v>
      </c>
      <c r="IQ26" s="507">
        <v>50009.713714757381</v>
      </c>
      <c r="IR26" s="380">
        <f t="shared" si="47"/>
        <v>0</v>
      </c>
      <c r="IS26" s="506">
        <v>57558.68</v>
      </c>
      <c r="IT26" s="53">
        <v>1.1509499999999999</v>
      </c>
      <c r="IU26" s="507">
        <v>50009.713714757381</v>
      </c>
      <c r="IV26" s="380">
        <f t="shared" si="48"/>
        <v>0</v>
      </c>
      <c r="IW26" s="506">
        <v>57558.68</v>
      </c>
      <c r="IX26" s="53">
        <v>1.1608000000000001</v>
      </c>
      <c r="IY26" s="507">
        <v>49585.354927636108</v>
      </c>
      <c r="IZ26" s="380">
        <f t="shared" si="49"/>
        <v>-424.35878712127305</v>
      </c>
    </row>
    <row r="27" spans="1:260">
      <c r="A27" s="13" t="s">
        <v>547</v>
      </c>
      <c r="B27" s="13" t="s">
        <v>454</v>
      </c>
      <c r="C27" s="13" t="s">
        <v>449</v>
      </c>
      <c r="D27" s="13" t="s">
        <v>306</v>
      </c>
      <c r="E27" s="13" t="s">
        <v>5</v>
      </c>
      <c r="F27" s="13">
        <v>104052597</v>
      </c>
      <c r="G27" s="13"/>
      <c r="H27" s="49" t="s">
        <v>546</v>
      </c>
      <c r="I27" s="14">
        <f>+VLOOKUP(F27,'HSBC - Banco'!$B$3:$G$39,6, FALSE)</f>
        <v>10069.040000000001</v>
      </c>
      <c r="J27" s="14">
        <f>+VLOOKUP(E27,'Summary - Colar'!$M$39:$N$54,2,FALSE)</f>
        <v>1.1608000000000001</v>
      </c>
      <c r="K27" s="14">
        <f t="shared" si="50"/>
        <v>8674.2246726395588</v>
      </c>
      <c r="L27" s="506">
        <v>312002.17</v>
      </c>
      <c r="M27" s="53">
        <v>1.0393499809660025</v>
      </c>
      <c r="N27" s="507">
        <v>300189.7106016358</v>
      </c>
      <c r="O27" s="506">
        <v>312002.17</v>
      </c>
      <c r="P27" s="53">
        <v>1.0296499958937868</v>
      </c>
      <c r="Q27" s="507">
        <v>303017.69654179114</v>
      </c>
      <c r="R27" s="506">
        <v>412665.22</v>
      </c>
      <c r="S27" s="53">
        <v>1.0305500350713117</v>
      </c>
      <c r="T27" s="507">
        <v>400432.00810860627</v>
      </c>
      <c r="U27" s="506">
        <v>196687.31</v>
      </c>
      <c r="V27" s="53">
        <v>1.0294499127813821</v>
      </c>
      <c r="W27" s="507">
        <v>191060.59222307135</v>
      </c>
      <c r="X27" s="506">
        <v>196687.31</v>
      </c>
      <c r="Y27" s="53">
        <v>1.0474500171045873</v>
      </c>
      <c r="Z27" s="507">
        <v>187777.27508534747</v>
      </c>
      <c r="AA27" s="506">
        <v>224849.53</v>
      </c>
      <c r="AB27" s="53">
        <v>1.0384500241697678</v>
      </c>
      <c r="AC27" s="507">
        <v>216524.17041423378</v>
      </c>
      <c r="AD27" s="506">
        <v>224849.53</v>
      </c>
      <c r="AE27" s="53">
        <v>1.0375500183032278</v>
      </c>
      <c r="AF27" s="507">
        <v>216711.99077969356</v>
      </c>
      <c r="AG27" s="506">
        <v>105301.1</v>
      </c>
      <c r="AH27" s="53">
        <v>1.047149991583058</v>
      </c>
      <c r="AI27" s="507">
        <v>100559.71049649549</v>
      </c>
      <c r="AJ27" s="506">
        <v>105253.38</v>
      </c>
      <c r="AK27" s="53">
        <v>1.0461499902620313</v>
      </c>
      <c r="AL27" s="507">
        <v>100610.2193564395</v>
      </c>
      <c r="AM27" s="506">
        <v>176656.23</v>
      </c>
      <c r="AN27" s="53">
        <v>1.0407499836552325</v>
      </c>
      <c r="AO27" s="507">
        <v>169739.35409497985</v>
      </c>
      <c r="AP27" s="506">
        <v>91038.23</v>
      </c>
      <c r="AQ27" s="53">
        <v>1.0854500032344994</v>
      </c>
      <c r="AR27" s="507">
        <v>83871.417134569027</v>
      </c>
      <c r="AS27" s="506">
        <v>93541.55</v>
      </c>
      <c r="AT27" s="53">
        <v>1.08935</v>
      </c>
      <c r="AU27" s="507">
        <v>85869.142148987929</v>
      </c>
      <c r="AV27" s="506">
        <v>47039.9</v>
      </c>
      <c r="AW27" s="53">
        <v>1.0830999858771673</v>
      </c>
      <c r="AX27" s="507">
        <v>43430.801046409324</v>
      </c>
      <c r="AY27" s="506">
        <v>24973.84</v>
      </c>
      <c r="AZ27" s="53">
        <v>1.0787497944244075</v>
      </c>
      <c r="BA27" s="507">
        <v>23150.725153394244</v>
      </c>
      <c r="BB27" s="506">
        <v>24973.84</v>
      </c>
      <c r="BC27" s="53">
        <v>1.0820998826422146</v>
      </c>
      <c r="BD27" s="507">
        <v>23079.052498388774</v>
      </c>
      <c r="BE27" s="506">
        <v>24973.84</v>
      </c>
      <c r="BF27" s="53">
        <v>1.0781999853387405</v>
      </c>
      <c r="BG27" s="507">
        <v>23162.530457792498</v>
      </c>
      <c r="BH27" s="380">
        <f t="shared" si="0"/>
        <v>23161.448357909856</v>
      </c>
      <c r="BI27" s="506">
        <v>24973.84</v>
      </c>
      <c r="BJ27" s="53">
        <v>1.0803999989493438</v>
      </c>
      <c r="BK27" s="507">
        <v>23115.364702227231</v>
      </c>
      <c r="BL27" s="380">
        <f t="shared" si="1"/>
        <v>-47.165755565267318</v>
      </c>
      <c r="BM27" s="506">
        <v>24973.84</v>
      </c>
      <c r="BN27" s="53">
        <v>1.1088499954694768</v>
      </c>
      <c r="BO27" s="507">
        <v>22522.288949846916</v>
      </c>
      <c r="BP27">
        <v>69129.13473854035</v>
      </c>
      <c r="BQ27" s="506">
        <v>24973.84</v>
      </c>
      <c r="BR27" s="53">
        <v>1.1058499740160905</v>
      </c>
      <c r="BS27" s="507">
        <v>22583.388874444754</v>
      </c>
      <c r="BT27" s="380">
        <f t="shared" si="2"/>
        <v>61.099924597838253</v>
      </c>
      <c r="BU27" s="506">
        <v>18762.84</v>
      </c>
      <c r="BV27" s="53">
        <v>1.0967500172467883</v>
      </c>
      <c r="BW27" s="507">
        <v>17107.672400225754</v>
      </c>
      <c r="BX27" s="380">
        <f t="shared" si="3"/>
        <v>-5475.7164742189998</v>
      </c>
      <c r="BY27" s="506">
        <v>17092.89</v>
      </c>
      <c r="BZ27" s="53">
        <v>1.0935500267747675</v>
      </c>
      <c r="CA27" s="507">
        <v>15630.642934930427</v>
      </c>
      <c r="CB27" s="380">
        <f t="shared" si="4"/>
        <v>-1477.0294652953271</v>
      </c>
      <c r="CC27" s="506">
        <v>17092.89</v>
      </c>
      <c r="CD27" s="53">
        <v>1.1035500028504495</v>
      </c>
      <c r="CE27" s="507">
        <v>15489.003629966361</v>
      </c>
      <c r="CF27" s="380">
        <f t="shared" si="5"/>
        <v>-141.63930496406647</v>
      </c>
      <c r="CG27" s="506">
        <v>17092.89</v>
      </c>
      <c r="CH27" s="53">
        <v>1.1071500373751093</v>
      </c>
      <c r="CI27" s="507">
        <v>15438.639229534545</v>
      </c>
      <c r="CJ27" s="380">
        <f t="shared" si="6"/>
        <v>-50.364400431815739</v>
      </c>
      <c r="CK27" s="506">
        <v>28356.89</v>
      </c>
      <c r="CL27" s="53">
        <v>1.1331000481425468</v>
      </c>
      <c r="CM27" s="507">
        <v>25025.936629765842</v>
      </c>
      <c r="CN27" s="380">
        <f t="shared" si="7"/>
        <v>9587.2974002312967</v>
      </c>
      <c r="CO27" s="506">
        <v>28356.89</v>
      </c>
      <c r="CP27" s="53">
        <v>1.1381500166600167</v>
      </c>
      <c r="CQ27" s="507">
        <v>24914.896617245009</v>
      </c>
      <c r="CR27" s="380">
        <f t="shared" si="8"/>
        <v>-111.04001252083253</v>
      </c>
      <c r="CS27" s="506">
        <v>28356.89</v>
      </c>
      <c r="CT27" s="53">
        <v>1.1324499897732652</v>
      </c>
      <c r="CU27" s="507">
        <v>25040.302226217962</v>
      </c>
      <c r="CV27" s="380">
        <f t="shared" si="9"/>
        <v>125.4056089729529</v>
      </c>
      <c r="CW27" s="506">
        <v>28356.89</v>
      </c>
      <c r="CX27" s="53">
        <v>1.1362500452178652</v>
      </c>
      <c r="CY27" s="507">
        <v>24956.557862721875</v>
      </c>
      <c r="CZ27" s="380">
        <f t="shared" si="10"/>
        <v>-83.744363496087317</v>
      </c>
      <c r="DA27" s="506">
        <v>28320.26</v>
      </c>
      <c r="DB27" s="53">
        <v>1.1363000964193748</v>
      </c>
      <c r="DC27" s="507">
        <v>24923.222385741861</v>
      </c>
      <c r="DD27" s="380">
        <f t="shared" si="11"/>
        <v>-33.335476980013482</v>
      </c>
      <c r="DE27" s="506">
        <v>28320.26</v>
      </c>
      <c r="DF27" s="53">
        <v>1.1544499930632772</v>
      </c>
      <c r="DG27" s="507">
        <v>24531.387388078681</v>
      </c>
      <c r="DH27" s="380">
        <f t="shared" si="12"/>
        <v>-391.83499766317982</v>
      </c>
      <c r="DI27" s="506">
        <v>28320.26</v>
      </c>
      <c r="DJ27" s="53">
        <v>1.1486000091425401</v>
      </c>
      <c r="DK27" s="507">
        <v>24656.329248283579</v>
      </c>
      <c r="DL27" s="380">
        <f t="shared" si="13"/>
        <v>124.94186020489724</v>
      </c>
      <c r="DM27" s="506">
        <v>28320.26</v>
      </c>
      <c r="DN27" s="53">
        <v>1.1410499781207057</v>
      </c>
      <c r="DO27" s="507">
        <v>24819.473768049225</v>
      </c>
      <c r="DP27" s="380">
        <f t="shared" si="14"/>
        <v>163.14451976564669</v>
      </c>
      <c r="DQ27" s="506">
        <v>28320.26</v>
      </c>
      <c r="DR27" s="53">
        <v>1.135249966573922</v>
      </c>
      <c r="DS27" s="507">
        <v>24946.276885140891</v>
      </c>
      <c r="DT27" s="380">
        <f t="shared" si="15"/>
        <v>126.80311709166563</v>
      </c>
      <c r="DU27" s="506">
        <v>28320.26</v>
      </c>
      <c r="DV27" s="53">
        <v>1.1318500296229566</v>
      </c>
      <c r="DW27" s="507">
        <v>25021.212403408324</v>
      </c>
      <c r="DX27" s="380">
        <f t="shared" si="16"/>
        <v>74.935518267433508</v>
      </c>
      <c r="DY27" s="506">
        <v>57034.87</v>
      </c>
      <c r="DZ27" s="53">
        <v>1.1345499999999999</v>
      </c>
      <c r="EA27" s="507">
        <v>50270.917985104228</v>
      </c>
      <c r="EB27" s="380">
        <f t="shared" si="17"/>
        <v>25249.705581695904</v>
      </c>
      <c r="EC27" s="506">
        <v>57034.87</v>
      </c>
      <c r="ED27" s="53">
        <v>1.13425</v>
      </c>
      <c r="EE27" s="507">
        <v>50284.214238483582</v>
      </c>
      <c r="EF27" s="380">
        <f t="shared" si="18"/>
        <v>13.296253379354312</v>
      </c>
      <c r="EG27" s="506">
        <v>57034.87</v>
      </c>
      <c r="EH27" s="53">
        <v>1.1326499999999999</v>
      </c>
      <c r="EI27" s="507">
        <v>50355.246545711387</v>
      </c>
      <c r="EJ27" s="380">
        <f t="shared" si="19"/>
        <v>71.032307227804267</v>
      </c>
      <c r="EK27" s="506">
        <v>57034.87</v>
      </c>
      <c r="EL27" s="53">
        <v>1.13575</v>
      </c>
      <c r="EM27" s="507">
        <v>50217.803213735417</v>
      </c>
      <c r="EN27" s="380">
        <f t="shared" si="20"/>
        <v>-137.44333197597007</v>
      </c>
      <c r="EO27" s="506">
        <v>57034.87</v>
      </c>
      <c r="EP27" s="53">
        <v>1.1295500000000001</v>
      </c>
      <c r="EQ27" s="507">
        <v>50493.44429197468</v>
      </c>
      <c r="ER27" s="380">
        <f t="shared" si="21"/>
        <v>275.64107823926315</v>
      </c>
      <c r="ES27" s="506">
        <v>57034.87</v>
      </c>
      <c r="ET27" s="53">
        <v>1.1253500000000001</v>
      </c>
      <c r="EU27" s="507">
        <v>50681.894521704358</v>
      </c>
      <c r="EV27" s="380">
        <f t="shared" si="22"/>
        <v>188.45022972967854</v>
      </c>
      <c r="EW27" s="506">
        <v>47383.12</v>
      </c>
      <c r="EX27" s="53">
        <v>1.1109500000000001</v>
      </c>
      <c r="EY27" s="507">
        <v>42650.992393897111</v>
      </c>
      <c r="EZ27" s="380">
        <f t="shared" si="23"/>
        <v>-8030.9021278072469</v>
      </c>
      <c r="FA27" s="506">
        <v>47383.12</v>
      </c>
      <c r="FB27" s="53">
        <v>1.1105499999999999</v>
      </c>
      <c r="FC27" s="507">
        <v>42666.354509027064</v>
      </c>
      <c r="FD27" s="380">
        <f t="shared" si="24"/>
        <v>15.362115129952144</v>
      </c>
      <c r="FE27" s="506">
        <v>47383.12</v>
      </c>
      <c r="FF27" s="53">
        <v>1.12155</v>
      </c>
      <c r="FG27" s="507">
        <v>42247.889082073918</v>
      </c>
      <c r="FH27" s="380">
        <f t="shared" si="25"/>
        <v>-418.46542695314565</v>
      </c>
      <c r="FI27" s="506">
        <v>47383.12</v>
      </c>
      <c r="FJ27" s="53">
        <v>1.1194</v>
      </c>
      <c r="FK27" s="507">
        <v>42329.033410755765</v>
      </c>
      <c r="FL27" s="380">
        <f t="shared" si="26"/>
        <v>81.144328681846673</v>
      </c>
      <c r="FM27" s="506">
        <v>47345.1</v>
      </c>
      <c r="FN27" s="53">
        <v>1.1271500000000001</v>
      </c>
      <c r="FO27" s="507">
        <v>42004.258528146202</v>
      </c>
      <c r="FP27" s="380">
        <f t="shared" si="27"/>
        <v>-324.77488260956306</v>
      </c>
      <c r="FQ27" s="506">
        <v>47345.1</v>
      </c>
      <c r="FR27" s="53">
        <v>1.1245499999999999</v>
      </c>
      <c r="FS27" s="507">
        <v>42101.373882886488</v>
      </c>
      <c r="FT27" s="380">
        <f t="shared" si="28"/>
        <v>97.115354740286421</v>
      </c>
      <c r="FU27" s="506">
        <v>47345.1</v>
      </c>
      <c r="FV27" s="53">
        <v>1.13215</v>
      </c>
      <c r="FW27" s="507">
        <v>41818.751932164465</v>
      </c>
      <c r="FX27" s="380">
        <f t="shared" si="29"/>
        <v>-282.62195072202303</v>
      </c>
      <c r="FY27" s="506">
        <v>47345.1</v>
      </c>
      <c r="FZ27" s="53">
        <v>1.1327499999999999</v>
      </c>
      <c r="GA27" s="507">
        <v>41796.601191789894</v>
      </c>
      <c r="GB27" s="380">
        <f t="shared" si="30"/>
        <v>-22.150740374570887</v>
      </c>
      <c r="GC27" s="506">
        <v>47345.1</v>
      </c>
      <c r="GD27" s="53">
        <v>1.13775</v>
      </c>
      <c r="GE27" s="507">
        <v>41612.920237310478</v>
      </c>
      <c r="GF27" s="380">
        <f t="shared" si="31"/>
        <v>-183.68095447941596</v>
      </c>
      <c r="GG27" s="506">
        <v>78388.66</v>
      </c>
      <c r="GH27" s="53">
        <v>1.1352500000000001</v>
      </c>
      <c r="GI27" s="507">
        <v>69049.689495705796</v>
      </c>
      <c r="GJ27" s="380">
        <f t="shared" si="32"/>
        <v>27436.769258395318</v>
      </c>
      <c r="GK27" s="506">
        <v>78388.66</v>
      </c>
      <c r="GL27" s="53">
        <v>1.1318999999999999</v>
      </c>
      <c r="GM27" s="507">
        <v>69254.050711193573</v>
      </c>
      <c r="GN27" s="380">
        <f t="shared" si="33"/>
        <v>204.36121548777737</v>
      </c>
      <c r="GO27" s="506">
        <v>78388.66</v>
      </c>
      <c r="GP27" s="53">
        <v>1.1270500000000001</v>
      </c>
      <c r="GQ27" s="507">
        <v>69552.069562131219</v>
      </c>
      <c r="GR27" s="380">
        <f t="shared" si="34"/>
        <v>298.01885093764577</v>
      </c>
      <c r="GS27" s="506">
        <v>78388.66</v>
      </c>
      <c r="GT27" s="53">
        <v>1.13385</v>
      </c>
      <c r="GU27" s="507">
        <v>69134.947303435198</v>
      </c>
      <c r="GV27" s="380">
        <f t="shared" si="35"/>
        <v>-417.12225869602116</v>
      </c>
      <c r="GW27" s="506">
        <v>78388.66</v>
      </c>
      <c r="GX27" s="53">
        <v>1.1415500000000001</v>
      </c>
      <c r="GY27" s="507">
        <v>68668.617230957912</v>
      </c>
      <c r="GZ27" s="380">
        <f t="shared" si="36"/>
        <v>-466.33007247728528</v>
      </c>
      <c r="HA27" s="506">
        <v>78388.66</v>
      </c>
      <c r="HB27" s="53">
        <v>1.1389499999999999</v>
      </c>
      <c r="HC27" s="507">
        <v>68825.374248211083</v>
      </c>
      <c r="HD27" s="380">
        <f t="shared" si="37"/>
        <v>156.75701725317049</v>
      </c>
      <c r="HE27" s="506">
        <v>78388.66</v>
      </c>
      <c r="HF27" s="53">
        <v>1.1379999999999999</v>
      </c>
      <c r="HG27" s="507">
        <v>68882.829525483306</v>
      </c>
      <c r="HH27" s="380">
        <f t="shared" si="38"/>
        <v>57.455277272223611</v>
      </c>
      <c r="HI27" s="506">
        <v>28388.66</v>
      </c>
      <c r="HJ27" s="53">
        <v>1.1426499999999999</v>
      </c>
      <c r="HK27" s="507">
        <v>24844.580580230169</v>
      </c>
      <c r="HL27" s="380">
        <f t="shared" si="39"/>
        <v>-44038.248945253137</v>
      </c>
      <c r="HM27" s="506">
        <v>28388.66</v>
      </c>
      <c r="HN27" s="53">
        <v>1.139869</v>
      </c>
      <c r="HO27" s="507">
        <v>24905.195246120387</v>
      </c>
      <c r="HP27" s="380">
        <f t="shared" si="40"/>
        <v>60.614665890218021</v>
      </c>
      <c r="HQ27" s="506">
        <v>28388.66</v>
      </c>
      <c r="HR27" s="53">
        <v>1.1428499999999999</v>
      </c>
      <c r="HS27" s="507">
        <v>24840.2327514547</v>
      </c>
      <c r="HT27" s="380">
        <f t="shared" si="41"/>
        <v>-64.9624946656877</v>
      </c>
      <c r="HU27" s="506">
        <v>10388.66</v>
      </c>
      <c r="HV27" s="53">
        <v>1.1433</v>
      </c>
      <c r="HW27" s="507">
        <v>9086.5564593719937</v>
      </c>
      <c r="HX27" s="380">
        <f t="shared" si="42"/>
        <v>-15753.676292082706</v>
      </c>
      <c r="HY27" s="506">
        <v>10388.66</v>
      </c>
      <c r="HZ27" s="53">
        <v>1.1509499999999999</v>
      </c>
      <c r="IA27" s="507">
        <v>9026.1609974369003</v>
      </c>
      <c r="IB27" s="380">
        <f t="shared" si="43"/>
        <v>-60.395461935093408</v>
      </c>
      <c r="IC27" s="506">
        <v>75108.350000000006</v>
      </c>
      <c r="ID27" s="53">
        <v>1.1509499999999999</v>
      </c>
      <c r="IE27" s="507">
        <v>65257.700160736793</v>
      </c>
      <c r="IF27" s="380">
        <f t="shared" si="44"/>
        <v>56231.539163299894</v>
      </c>
      <c r="IG27" s="506">
        <v>10069.040000000001</v>
      </c>
      <c r="IH27" s="53">
        <v>1.1509499999999999</v>
      </c>
      <c r="II27" s="507">
        <v>8748.4599678526447</v>
      </c>
      <c r="IJ27" s="380">
        <f t="shared" si="45"/>
        <v>-56509.24019288415</v>
      </c>
      <c r="IK27" s="506">
        <v>10069.040000000001</v>
      </c>
      <c r="IL27" s="53">
        <v>1.1509499999999999</v>
      </c>
      <c r="IM27" s="507">
        <v>8748.4599678526447</v>
      </c>
      <c r="IN27" s="380">
        <f t="shared" si="46"/>
        <v>0</v>
      </c>
      <c r="IO27" s="506">
        <v>10069.040000000001</v>
      </c>
      <c r="IP27" s="53">
        <v>1.1509499999999999</v>
      </c>
      <c r="IQ27" s="507">
        <v>8748.4599678526447</v>
      </c>
      <c r="IR27" s="380">
        <f t="shared" si="47"/>
        <v>0</v>
      </c>
      <c r="IS27" s="506">
        <v>10069.040000000001</v>
      </c>
      <c r="IT27" s="53">
        <v>1.1509499999999999</v>
      </c>
      <c r="IU27" s="507">
        <v>8748.4599678526447</v>
      </c>
      <c r="IV27" s="380">
        <f t="shared" si="48"/>
        <v>0</v>
      </c>
      <c r="IW27" s="506">
        <v>10069.040000000001</v>
      </c>
      <c r="IX27" s="53">
        <v>1.1608000000000001</v>
      </c>
      <c r="IY27" s="507">
        <v>8674.2246726395588</v>
      </c>
      <c r="IZ27" s="380">
        <f t="shared" si="49"/>
        <v>-74.235295213085919</v>
      </c>
    </row>
    <row r="28" spans="1:260">
      <c r="A28" s="13" t="s">
        <v>548</v>
      </c>
      <c r="B28" s="13" t="s">
        <v>549</v>
      </c>
      <c r="C28" s="13" t="s">
        <v>38</v>
      </c>
      <c r="D28" s="13" t="s">
        <v>306</v>
      </c>
      <c r="E28" s="13" t="s">
        <v>5</v>
      </c>
      <c r="F28" s="13" t="s">
        <v>443</v>
      </c>
      <c r="G28" s="13" t="s">
        <v>550</v>
      </c>
      <c r="H28" s="49" t="s">
        <v>551</v>
      </c>
      <c r="I28" s="14">
        <f>+VLOOKUP(F28,'HSBC - Banco'!$B$3:$G$39,6, FALSE)</f>
        <v>0</v>
      </c>
      <c r="J28" s="14">
        <f>+VLOOKUP(E28,'Summary - Colar'!$M$39:$N$54,2,FALSE)</f>
        <v>1.1608000000000001</v>
      </c>
      <c r="K28" s="14">
        <f t="shared" si="50"/>
        <v>0</v>
      </c>
      <c r="L28" s="506">
        <v>4513.66</v>
      </c>
      <c r="M28" s="53">
        <v>1.0393499809660025</v>
      </c>
      <c r="N28" s="507">
        <v>4342.7720042914434</v>
      </c>
      <c r="O28" s="506">
        <v>100000</v>
      </c>
      <c r="P28" s="53">
        <v>1.0296499958937868</v>
      </c>
      <c r="Q28" s="507">
        <v>97120.381099205551</v>
      </c>
      <c r="R28" s="506">
        <v>0</v>
      </c>
      <c r="S28" s="53">
        <v>1.0305500350713117</v>
      </c>
      <c r="T28" s="507">
        <v>0</v>
      </c>
      <c r="U28" s="506">
        <v>0</v>
      </c>
      <c r="V28" s="53">
        <v>1.0294499127813821</v>
      </c>
      <c r="W28" s="507">
        <v>0</v>
      </c>
      <c r="X28" s="506">
        <v>0</v>
      </c>
      <c r="Y28" s="53">
        <v>1.0474500171045873</v>
      </c>
      <c r="Z28" s="507">
        <v>0</v>
      </c>
      <c r="AA28" s="506">
        <v>0</v>
      </c>
      <c r="AB28" s="53">
        <v>1.0384500241697678</v>
      </c>
      <c r="AC28" s="507">
        <v>0</v>
      </c>
      <c r="AD28" s="506">
        <v>4513.66</v>
      </c>
      <c r="AE28" s="53">
        <v>1.0375500183032278</v>
      </c>
      <c r="AF28" s="507">
        <v>4350.3059326060038</v>
      </c>
      <c r="AG28" s="506">
        <v>0</v>
      </c>
      <c r="AH28" s="53">
        <v>1.047149991583058</v>
      </c>
      <c r="AI28" s="507">
        <v>0</v>
      </c>
      <c r="AJ28" s="506">
        <v>0</v>
      </c>
      <c r="AK28" s="53">
        <v>1.0461499902620313</v>
      </c>
      <c r="AL28" s="507">
        <v>0</v>
      </c>
      <c r="AM28" s="506">
        <v>0</v>
      </c>
      <c r="AN28" s="53">
        <v>1.0407499836552325</v>
      </c>
      <c r="AO28" s="507">
        <v>0</v>
      </c>
      <c r="AP28" s="506">
        <v>300000</v>
      </c>
      <c r="AQ28" s="53">
        <v>1.0854500032344994</v>
      </c>
      <c r="AR28" s="507">
        <v>276383.06610718055</v>
      </c>
      <c r="AS28" s="506">
        <v>0</v>
      </c>
      <c r="AT28" s="53">
        <v>1.08935</v>
      </c>
      <c r="AU28" s="507">
        <v>0</v>
      </c>
      <c r="AV28" s="506">
        <v>0</v>
      </c>
      <c r="AW28" s="53">
        <v>1.0830999858771673</v>
      </c>
      <c r="AX28" s="507">
        <v>0</v>
      </c>
      <c r="AY28" s="506">
        <v>0</v>
      </c>
      <c r="AZ28" s="53">
        <v>1.0787497944244075</v>
      </c>
      <c r="BA28" s="507">
        <v>0</v>
      </c>
      <c r="BB28" s="506">
        <v>49975</v>
      </c>
      <c r="BC28" s="53">
        <v>1.0820998826422146</v>
      </c>
      <c r="BD28" s="507">
        <v>46183.352204025447</v>
      </c>
      <c r="BE28" s="506">
        <v>0</v>
      </c>
      <c r="BF28" s="53">
        <v>1.0781999853387405</v>
      </c>
      <c r="BG28" s="507">
        <v>0</v>
      </c>
      <c r="BH28" s="380">
        <f t="shared" si="0"/>
        <v>-1.0820998826422146</v>
      </c>
      <c r="BI28" s="506">
        <v>0</v>
      </c>
      <c r="BJ28" s="53">
        <v>1.0803999989493438</v>
      </c>
      <c r="BK28" s="507">
        <v>0</v>
      </c>
      <c r="BL28" s="380">
        <f t="shared" si="1"/>
        <v>0</v>
      </c>
      <c r="BM28" s="506">
        <v>0</v>
      </c>
      <c r="BN28" s="53">
        <v>1.1088499954694768</v>
      </c>
      <c r="BO28" s="507">
        <v>0</v>
      </c>
      <c r="BP28">
        <v>0</v>
      </c>
      <c r="BQ28" s="506">
        <v>0</v>
      </c>
      <c r="BR28" s="53">
        <v>1.1058499740160905</v>
      </c>
      <c r="BS28" s="507">
        <v>0</v>
      </c>
      <c r="BT28" s="380">
        <f t="shared" si="2"/>
        <v>0</v>
      </c>
      <c r="BU28" s="506">
        <v>0</v>
      </c>
      <c r="BV28" s="53">
        <v>1.0967500172467883</v>
      </c>
      <c r="BW28" s="507">
        <v>0</v>
      </c>
      <c r="BX28" s="380">
        <f t="shared" si="3"/>
        <v>0</v>
      </c>
      <c r="BY28" s="506">
        <v>0</v>
      </c>
      <c r="BZ28" s="53">
        <v>1.0935500267747675</v>
      </c>
      <c r="CA28" s="507">
        <v>0</v>
      </c>
      <c r="CB28" s="380">
        <f t="shared" si="4"/>
        <v>0</v>
      </c>
      <c r="CC28" s="506">
        <v>500000</v>
      </c>
      <c r="CD28" s="53">
        <v>1.1035500028504495</v>
      </c>
      <c r="CE28" s="507">
        <v>453083.2302193006</v>
      </c>
      <c r="CF28" s="380">
        <f t="shared" si="5"/>
        <v>453083.2302193006</v>
      </c>
      <c r="CG28" s="506">
        <v>0</v>
      </c>
      <c r="CH28" s="53">
        <v>1.1071500373751093</v>
      </c>
      <c r="CI28" s="507">
        <v>0</v>
      </c>
      <c r="CJ28" s="380">
        <f t="shared" si="6"/>
        <v>-453083.2302193006</v>
      </c>
      <c r="CK28" s="506">
        <v>0</v>
      </c>
      <c r="CL28" s="53">
        <v>1.1331000481425468</v>
      </c>
      <c r="CM28" s="507">
        <v>0</v>
      </c>
      <c r="CN28" s="380">
        <f t="shared" si="7"/>
        <v>0</v>
      </c>
      <c r="CO28" s="506">
        <v>0</v>
      </c>
      <c r="CP28" s="53">
        <v>1.1381500166600167</v>
      </c>
      <c r="CQ28" s="507">
        <v>0</v>
      </c>
      <c r="CR28" s="380">
        <f t="shared" si="8"/>
        <v>0</v>
      </c>
      <c r="CS28" s="506">
        <v>0</v>
      </c>
      <c r="CT28" s="53">
        <v>1.1324499897732652</v>
      </c>
      <c r="CU28" s="507">
        <v>0</v>
      </c>
      <c r="CV28" s="380">
        <f t="shared" si="9"/>
        <v>0</v>
      </c>
      <c r="CW28" s="506">
        <v>0</v>
      </c>
      <c r="CX28" s="53">
        <v>1.1362500452178652</v>
      </c>
      <c r="CY28" s="507">
        <v>0</v>
      </c>
      <c r="CZ28" s="380">
        <f t="shared" si="10"/>
        <v>0</v>
      </c>
      <c r="DA28" s="506">
        <v>0</v>
      </c>
      <c r="DB28" s="53">
        <v>1.1363000964193748</v>
      </c>
      <c r="DC28" s="507">
        <v>0</v>
      </c>
      <c r="DD28" s="380">
        <f t="shared" si="11"/>
        <v>0</v>
      </c>
      <c r="DE28" s="506">
        <v>0</v>
      </c>
      <c r="DF28" s="53">
        <v>1.1544499930632772</v>
      </c>
      <c r="DG28" s="507">
        <v>0</v>
      </c>
      <c r="DH28" s="380">
        <f t="shared" si="12"/>
        <v>0</v>
      </c>
      <c r="DI28" s="506">
        <v>0</v>
      </c>
      <c r="DJ28" s="53">
        <v>1.1486000091425401</v>
      </c>
      <c r="DK28" s="507">
        <v>0</v>
      </c>
      <c r="DL28" s="380">
        <f t="shared" si="13"/>
        <v>0</v>
      </c>
      <c r="DM28" s="506">
        <v>0</v>
      </c>
      <c r="DN28" s="53">
        <v>1.1410499781207057</v>
      </c>
      <c r="DO28" s="507">
        <v>0</v>
      </c>
      <c r="DP28" s="380">
        <f t="shared" si="14"/>
        <v>0</v>
      </c>
      <c r="DQ28" s="506">
        <v>0</v>
      </c>
      <c r="DR28" s="53">
        <v>1.135249966573922</v>
      </c>
      <c r="DS28" s="507">
        <v>0</v>
      </c>
      <c r="DT28" s="380">
        <f t="shared" si="15"/>
        <v>0</v>
      </c>
      <c r="DU28" s="506">
        <v>0</v>
      </c>
      <c r="DV28" s="53">
        <v>1.1318500296229566</v>
      </c>
      <c r="DW28" s="507">
        <v>0</v>
      </c>
      <c r="DX28" s="380">
        <f t="shared" si="16"/>
        <v>0</v>
      </c>
      <c r="DY28" s="506">
        <v>0</v>
      </c>
      <c r="DZ28" s="53">
        <v>1.1345499999999999</v>
      </c>
      <c r="EA28" s="507">
        <v>0</v>
      </c>
      <c r="EB28" s="380">
        <f t="shared" si="17"/>
        <v>0</v>
      </c>
      <c r="EC28" s="506">
        <v>0</v>
      </c>
      <c r="ED28" s="53">
        <v>1.13425</v>
      </c>
      <c r="EE28" s="507">
        <v>0</v>
      </c>
      <c r="EF28" s="380">
        <f t="shared" si="18"/>
        <v>0</v>
      </c>
      <c r="EG28" s="506">
        <v>0</v>
      </c>
      <c r="EH28" s="53">
        <v>1.1326499999999999</v>
      </c>
      <c r="EI28" s="507">
        <v>0</v>
      </c>
      <c r="EJ28" s="380">
        <f t="shared" si="19"/>
        <v>0</v>
      </c>
      <c r="EK28" s="506">
        <v>0</v>
      </c>
      <c r="EL28" s="53">
        <v>1.13575</v>
      </c>
      <c r="EM28" s="507">
        <v>0</v>
      </c>
      <c r="EN28" s="380">
        <f t="shared" si="20"/>
        <v>0</v>
      </c>
      <c r="EO28" s="506">
        <v>0</v>
      </c>
      <c r="EP28" s="53">
        <v>1.1295500000000001</v>
      </c>
      <c r="EQ28" s="507">
        <v>0</v>
      </c>
      <c r="ER28" s="380">
        <f t="shared" si="21"/>
        <v>0</v>
      </c>
      <c r="ES28" s="506">
        <v>0</v>
      </c>
      <c r="ET28" s="53">
        <v>1.1253500000000001</v>
      </c>
      <c r="EU28" s="507">
        <v>0</v>
      </c>
      <c r="EV28" s="380">
        <f t="shared" si="22"/>
        <v>0</v>
      </c>
      <c r="EW28" s="506">
        <v>600000</v>
      </c>
      <c r="EX28" s="53">
        <v>1.1109500000000001</v>
      </c>
      <c r="EY28" s="507">
        <v>540078.31135514646</v>
      </c>
      <c r="EZ28" s="380">
        <f t="shared" si="23"/>
        <v>540078.31135514646</v>
      </c>
      <c r="FA28" s="506">
        <v>0</v>
      </c>
      <c r="FB28" s="53">
        <v>1.1105499999999999</v>
      </c>
      <c r="FC28" s="507">
        <v>0</v>
      </c>
      <c r="FD28" s="380">
        <f t="shared" si="24"/>
        <v>-540078.31135514646</v>
      </c>
      <c r="FE28" s="506">
        <v>0</v>
      </c>
      <c r="FF28" s="53">
        <v>1.12155</v>
      </c>
      <c r="FG28" s="507">
        <v>0</v>
      </c>
      <c r="FH28" s="380">
        <f t="shared" si="25"/>
        <v>0</v>
      </c>
      <c r="FI28" s="506">
        <v>0</v>
      </c>
      <c r="FJ28" s="53">
        <v>1.1194</v>
      </c>
      <c r="FK28" s="507">
        <v>0</v>
      </c>
      <c r="FL28" s="380">
        <f t="shared" si="26"/>
        <v>0</v>
      </c>
      <c r="FM28" s="506">
        <v>0</v>
      </c>
      <c r="FN28" s="53">
        <v>1.1271500000000001</v>
      </c>
      <c r="FO28" s="507">
        <v>0</v>
      </c>
      <c r="FP28" s="380">
        <f t="shared" si="27"/>
        <v>0</v>
      </c>
      <c r="FQ28" s="506">
        <v>0</v>
      </c>
      <c r="FR28" s="53">
        <v>1.1245499999999999</v>
      </c>
      <c r="FS28" s="507">
        <v>0</v>
      </c>
      <c r="FT28" s="380">
        <f t="shared" si="28"/>
        <v>0</v>
      </c>
      <c r="FU28" s="506">
        <v>0</v>
      </c>
      <c r="FV28" s="53">
        <v>1.13215</v>
      </c>
      <c r="FW28" s="507">
        <v>0</v>
      </c>
      <c r="FX28" s="380">
        <f t="shared" si="29"/>
        <v>0</v>
      </c>
      <c r="FY28" s="506">
        <v>0</v>
      </c>
      <c r="FZ28" s="53">
        <v>1.1327499999999999</v>
      </c>
      <c r="GA28" s="507">
        <v>0</v>
      </c>
      <c r="GB28" s="380">
        <f t="shared" si="30"/>
        <v>0</v>
      </c>
      <c r="GC28" s="506">
        <v>0</v>
      </c>
      <c r="GD28" s="53">
        <v>1.13775</v>
      </c>
      <c r="GE28" s="507">
        <v>0</v>
      </c>
      <c r="GF28" s="380">
        <f t="shared" si="31"/>
        <v>0</v>
      </c>
      <c r="GG28" s="506">
        <v>0</v>
      </c>
      <c r="GH28" s="53">
        <v>1.1352500000000001</v>
      </c>
      <c r="GI28" s="507">
        <v>0</v>
      </c>
      <c r="GJ28" s="380">
        <f t="shared" si="32"/>
        <v>0</v>
      </c>
      <c r="GK28" s="506">
        <v>0</v>
      </c>
      <c r="GL28" s="53">
        <v>1.1318999999999999</v>
      </c>
      <c r="GM28" s="507">
        <v>0</v>
      </c>
      <c r="GN28" s="380">
        <f t="shared" si="33"/>
        <v>0</v>
      </c>
      <c r="GO28" s="506">
        <v>0</v>
      </c>
      <c r="GP28" s="53">
        <v>1.1270500000000001</v>
      </c>
      <c r="GQ28" s="507">
        <v>0</v>
      </c>
      <c r="GR28" s="380">
        <f t="shared" si="34"/>
        <v>0</v>
      </c>
      <c r="GS28" s="506">
        <v>0</v>
      </c>
      <c r="GT28" s="53">
        <v>1.13385</v>
      </c>
      <c r="GU28" s="507">
        <v>0</v>
      </c>
      <c r="GV28" s="380">
        <f t="shared" si="35"/>
        <v>0</v>
      </c>
      <c r="GW28" s="506">
        <v>0</v>
      </c>
      <c r="GX28" s="53">
        <v>1.1415500000000001</v>
      </c>
      <c r="GY28" s="507">
        <v>0</v>
      </c>
      <c r="GZ28" s="380">
        <f t="shared" si="36"/>
        <v>0</v>
      </c>
      <c r="HA28" s="506">
        <v>0</v>
      </c>
      <c r="HB28" s="53">
        <v>1.1389499999999999</v>
      </c>
      <c r="HC28" s="507">
        <v>0</v>
      </c>
      <c r="HD28" s="380">
        <f t="shared" si="37"/>
        <v>0</v>
      </c>
      <c r="HE28" s="506">
        <v>0</v>
      </c>
      <c r="HF28" s="53">
        <v>1.1379999999999999</v>
      </c>
      <c r="HG28" s="507">
        <v>0</v>
      </c>
      <c r="HH28" s="380">
        <f t="shared" si="38"/>
        <v>0</v>
      </c>
      <c r="HI28" s="506">
        <v>0</v>
      </c>
      <c r="HJ28" s="53">
        <v>1.1426499999999999</v>
      </c>
      <c r="HK28" s="507">
        <v>0</v>
      </c>
      <c r="HL28" s="380">
        <f t="shared" si="39"/>
        <v>0</v>
      </c>
      <c r="HM28" s="506">
        <v>0</v>
      </c>
      <c r="HN28" s="53">
        <v>1.139869</v>
      </c>
      <c r="HO28" s="507">
        <v>0</v>
      </c>
      <c r="HP28" s="380">
        <f t="shared" si="40"/>
        <v>0</v>
      </c>
      <c r="HQ28" s="506">
        <v>0</v>
      </c>
      <c r="HR28" s="53">
        <v>1.1428499999999999</v>
      </c>
      <c r="HS28" s="507">
        <v>0</v>
      </c>
      <c r="HT28" s="380">
        <f t="shared" si="41"/>
        <v>0</v>
      </c>
      <c r="HU28" s="506">
        <v>0</v>
      </c>
      <c r="HV28" s="53">
        <v>1.1433</v>
      </c>
      <c r="HW28" s="507">
        <v>0</v>
      </c>
      <c r="HX28" s="380">
        <f t="shared" si="42"/>
        <v>0</v>
      </c>
      <c r="HY28" s="506">
        <v>292959.96000000002</v>
      </c>
      <c r="HZ28" s="53">
        <v>1.1509499999999999</v>
      </c>
      <c r="IA28" s="507">
        <v>254537.52117815721</v>
      </c>
      <c r="IB28" s="380">
        <f t="shared" si="43"/>
        <v>254537.52117815721</v>
      </c>
      <c r="IC28" s="506">
        <v>292959.96000000002</v>
      </c>
      <c r="ID28" s="53">
        <v>1.1509499999999999</v>
      </c>
      <c r="IE28" s="507">
        <v>254537.52117815721</v>
      </c>
      <c r="IF28" s="380">
        <f t="shared" si="44"/>
        <v>0</v>
      </c>
      <c r="IG28" s="506">
        <v>0</v>
      </c>
      <c r="IH28" s="53">
        <v>1.1509499999999999</v>
      </c>
      <c r="II28" s="507">
        <v>0</v>
      </c>
      <c r="IJ28" s="380">
        <f t="shared" si="45"/>
        <v>-254537.52117815721</v>
      </c>
      <c r="IK28" s="506">
        <v>0</v>
      </c>
      <c r="IL28" s="53">
        <v>1.1509499999999999</v>
      </c>
      <c r="IM28" s="507">
        <v>0</v>
      </c>
      <c r="IN28" s="380">
        <f t="shared" si="46"/>
        <v>0</v>
      </c>
      <c r="IO28" s="506">
        <v>0</v>
      </c>
      <c r="IP28" s="53">
        <v>1.1509499999999999</v>
      </c>
      <c r="IQ28" s="507">
        <v>0</v>
      </c>
      <c r="IR28" s="380">
        <f t="shared" si="47"/>
        <v>0</v>
      </c>
      <c r="IS28" s="506">
        <v>0</v>
      </c>
      <c r="IT28" s="53">
        <v>1.1509499999999999</v>
      </c>
      <c r="IU28" s="507">
        <v>0</v>
      </c>
      <c r="IV28" s="380">
        <f t="shared" si="48"/>
        <v>0</v>
      </c>
      <c r="IW28" s="506">
        <v>0</v>
      </c>
      <c r="IX28" s="53">
        <v>1.1608000000000001</v>
      </c>
      <c r="IY28" s="507">
        <v>0</v>
      </c>
      <c r="IZ28" s="380">
        <f t="shared" si="49"/>
        <v>0</v>
      </c>
    </row>
    <row r="29" spans="1:260">
      <c r="A29" s="13" t="s">
        <v>552</v>
      </c>
      <c r="B29" s="13" t="s">
        <v>553</v>
      </c>
      <c r="C29" s="13" t="s">
        <v>554</v>
      </c>
      <c r="D29" s="13" t="s">
        <v>306</v>
      </c>
      <c r="E29" s="13" t="s">
        <v>259</v>
      </c>
      <c r="F29" s="13" t="s">
        <v>432</v>
      </c>
      <c r="G29" s="13"/>
      <c r="H29" s="49" t="s">
        <v>555</v>
      </c>
      <c r="I29" s="14">
        <f>+VLOOKUP(F29,'HSBC - Banco'!$B$3:$G$39,6, FALSE)</f>
        <v>2100476.5</v>
      </c>
      <c r="J29" s="14">
        <f>+VLOOKUP(E29,'Summary - Colar'!$M$39:$N$54,2,FALSE)</f>
        <v>4.8617999999999997</v>
      </c>
      <c r="K29" s="54">
        <f t="shared" si="50"/>
        <v>432036.79707104369</v>
      </c>
      <c r="L29" s="506">
        <v>200502.6</v>
      </c>
      <c r="M29" s="53">
        <v>4.8617999300000001</v>
      </c>
      <c r="N29" s="507">
        <v>41240.405382127683</v>
      </c>
      <c r="O29" s="506">
        <v>200502.6</v>
      </c>
      <c r="P29" s="53">
        <v>4.8617999300000001</v>
      </c>
      <c r="Q29" s="507">
        <v>41240.405382127683</v>
      </c>
      <c r="R29" s="506">
        <v>726956.4</v>
      </c>
      <c r="S29" s="53">
        <v>4.8617999300000001</v>
      </c>
      <c r="T29" s="507">
        <v>149524.129019435</v>
      </c>
      <c r="U29" s="506">
        <v>910162.6</v>
      </c>
      <c r="V29" s="53">
        <v>4.8617999300000001</v>
      </c>
      <c r="W29" s="507">
        <v>187206.92194341283</v>
      </c>
      <c r="X29" s="506">
        <v>461809.6</v>
      </c>
      <c r="Y29" s="53">
        <v>4.8617999300000001</v>
      </c>
      <c r="Z29" s="507">
        <v>94987.372300200761</v>
      </c>
      <c r="AA29" s="506">
        <v>460212.26</v>
      </c>
      <c r="AB29" s="53">
        <v>4.8617999300000001</v>
      </c>
      <c r="AC29" s="507">
        <v>94658.823198428072</v>
      </c>
      <c r="AD29" s="506">
        <v>433450.49</v>
      </c>
      <c r="AE29" s="53">
        <v>4.8617999300000001</v>
      </c>
      <c r="AF29" s="507">
        <v>89154.324785224133</v>
      </c>
      <c r="AG29" s="506">
        <v>433101.46</v>
      </c>
      <c r="AH29" s="53">
        <v>4.8617999300000001</v>
      </c>
      <c r="AI29" s="507">
        <v>89082.534500756388</v>
      </c>
      <c r="AJ29" s="506">
        <v>1147820.1100000001</v>
      </c>
      <c r="AK29" s="53">
        <v>4.8617999300000001</v>
      </c>
      <c r="AL29" s="507">
        <v>236089.54019627871</v>
      </c>
      <c r="AM29" s="506">
        <v>832700.74</v>
      </c>
      <c r="AN29" s="53">
        <v>4.8617999300000001</v>
      </c>
      <c r="AO29" s="507">
        <v>171274.16841276723</v>
      </c>
      <c r="AP29" s="506">
        <v>808534.44</v>
      </c>
      <c r="AQ29" s="53">
        <v>4.8617999300000001</v>
      </c>
      <c r="AR29" s="507">
        <v>166303.51961027732</v>
      </c>
      <c r="AS29" s="506">
        <v>1186841.8600000001</v>
      </c>
      <c r="AT29" s="53">
        <v>4.8617999999999997</v>
      </c>
      <c r="AU29" s="507">
        <v>244115.73079929248</v>
      </c>
      <c r="AV29" s="506">
        <v>2210174.46</v>
      </c>
      <c r="AW29" s="53">
        <v>4.8617999300000001</v>
      </c>
      <c r="AX29" s="507">
        <v>454600.04356863775</v>
      </c>
      <c r="AY29" s="506">
        <v>1254148.48</v>
      </c>
      <c r="AZ29" s="53">
        <v>4.8617999300000001</v>
      </c>
      <c r="BA29" s="507">
        <v>257959.70588201476</v>
      </c>
      <c r="BB29" s="506">
        <v>1254148.48</v>
      </c>
      <c r="BC29" s="53">
        <v>4.8617999300000001</v>
      </c>
      <c r="BD29" s="507">
        <v>257959.70588201476</v>
      </c>
      <c r="BE29" s="506">
        <v>1254148.48</v>
      </c>
      <c r="BF29" s="53">
        <v>4.8617999300000001</v>
      </c>
      <c r="BG29" s="507">
        <v>257959.70588201476</v>
      </c>
      <c r="BH29" s="380">
        <f t="shared" si="0"/>
        <v>257954.84408208478</v>
      </c>
      <c r="BI29" s="506">
        <v>1266580.58</v>
      </c>
      <c r="BJ29" s="53">
        <v>4.8617999300000001</v>
      </c>
      <c r="BK29" s="507">
        <v>260516.80411291626</v>
      </c>
      <c r="BL29" s="380">
        <f t="shared" si="1"/>
        <v>2557.0982309014944</v>
      </c>
      <c r="BM29" s="506">
        <v>1242414.48</v>
      </c>
      <c r="BN29" s="53">
        <v>4.8617999300000001</v>
      </c>
      <c r="BO29" s="507">
        <v>255546.19644745439</v>
      </c>
      <c r="BP29">
        <v>-64815.37178351148</v>
      </c>
      <c r="BQ29" s="506">
        <v>1242414.48</v>
      </c>
      <c r="BR29" s="53">
        <v>4.8617999300000001</v>
      </c>
      <c r="BS29" s="507">
        <v>255546.19644745439</v>
      </c>
      <c r="BT29" s="380">
        <f t="shared" si="2"/>
        <v>0</v>
      </c>
      <c r="BU29" s="506">
        <v>1242414.48</v>
      </c>
      <c r="BV29" s="53">
        <v>4.8617999300000001</v>
      </c>
      <c r="BW29" s="507">
        <v>255546.19644745439</v>
      </c>
      <c r="BX29" s="380">
        <f t="shared" si="3"/>
        <v>0</v>
      </c>
      <c r="BY29" s="506">
        <v>1242334.3799999999</v>
      </c>
      <c r="BZ29" s="53">
        <v>4.8617999300000001</v>
      </c>
      <c r="CA29" s="507">
        <v>255529.72106772807</v>
      </c>
      <c r="CB29" s="380">
        <f t="shared" si="4"/>
        <v>-16.475379726325627</v>
      </c>
      <c r="CC29" s="506">
        <v>1242334.3799999999</v>
      </c>
      <c r="CD29" s="53">
        <v>4.8617999300000001</v>
      </c>
      <c r="CE29" s="507">
        <v>255529.72106772807</v>
      </c>
      <c r="CF29" s="380">
        <f t="shared" si="5"/>
        <v>0</v>
      </c>
      <c r="CG29" s="506">
        <v>1242334.3799999999</v>
      </c>
      <c r="CH29" s="53">
        <v>4.8617999300000001</v>
      </c>
      <c r="CI29" s="507">
        <v>255529.72106772807</v>
      </c>
      <c r="CJ29" s="380">
        <f t="shared" si="6"/>
        <v>0</v>
      </c>
      <c r="CK29" s="506">
        <v>1242334.3799999999</v>
      </c>
      <c r="CL29" s="53">
        <v>4.8617999300000001</v>
      </c>
      <c r="CM29" s="507">
        <v>255529.72106772807</v>
      </c>
      <c r="CN29" s="380">
        <f t="shared" si="7"/>
        <v>0</v>
      </c>
      <c r="CO29" s="506">
        <v>1242334.3799999999</v>
      </c>
      <c r="CP29" s="53">
        <v>4.8617999300000001</v>
      </c>
      <c r="CQ29" s="507">
        <v>255529.72106772807</v>
      </c>
      <c r="CR29" s="380">
        <f t="shared" si="8"/>
        <v>0</v>
      </c>
      <c r="CS29" s="506">
        <v>1242334.3799999999</v>
      </c>
      <c r="CT29" s="53">
        <v>4.8617999300000001</v>
      </c>
      <c r="CU29" s="507">
        <v>255529.72106772807</v>
      </c>
      <c r="CV29" s="380">
        <f t="shared" si="9"/>
        <v>0</v>
      </c>
      <c r="CW29" s="506">
        <v>1242334.3799999999</v>
      </c>
      <c r="CX29" s="53">
        <v>4.8617999300000001</v>
      </c>
      <c r="CY29" s="507">
        <v>255529.72106772807</v>
      </c>
      <c r="CZ29" s="380">
        <f t="shared" si="10"/>
        <v>0</v>
      </c>
      <c r="DA29" s="506">
        <v>1357454.63</v>
      </c>
      <c r="DB29" s="53">
        <v>4.8617999300000001</v>
      </c>
      <c r="DC29" s="507">
        <v>279208.24582347629</v>
      </c>
      <c r="DD29" s="380">
        <f t="shared" si="11"/>
        <v>23678.524755748222</v>
      </c>
      <c r="DE29" s="506">
        <v>1357454.63</v>
      </c>
      <c r="DF29" s="53">
        <v>4.8617999300000001</v>
      </c>
      <c r="DG29" s="507">
        <v>279208.24582347629</v>
      </c>
      <c r="DH29" s="380">
        <f t="shared" si="12"/>
        <v>0</v>
      </c>
      <c r="DI29" s="506">
        <v>1067757.56</v>
      </c>
      <c r="DJ29" s="53">
        <v>4.8617999300000001</v>
      </c>
      <c r="DK29" s="507">
        <v>219621.8633784875</v>
      </c>
      <c r="DL29" s="380">
        <f t="shared" si="13"/>
        <v>-59586.382444988791</v>
      </c>
      <c r="DM29" s="506">
        <v>938032.59</v>
      </c>
      <c r="DN29" s="53">
        <v>4.8617999300000001</v>
      </c>
      <c r="DO29" s="507">
        <v>192939.36474263761</v>
      </c>
      <c r="DP29" s="380">
        <f t="shared" si="14"/>
        <v>-26682.498635849886</v>
      </c>
      <c r="DQ29" s="506">
        <v>938032.59</v>
      </c>
      <c r="DR29" s="53">
        <v>4.8617999300000001</v>
      </c>
      <c r="DS29" s="507">
        <v>192939.36474263761</v>
      </c>
      <c r="DT29" s="380">
        <f t="shared" si="15"/>
        <v>0</v>
      </c>
      <c r="DU29" s="506">
        <v>938032.59</v>
      </c>
      <c r="DV29" s="53">
        <v>4.8617999300000001</v>
      </c>
      <c r="DW29" s="507">
        <v>192939.36474263761</v>
      </c>
      <c r="DX29" s="380">
        <f t="shared" si="16"/>
        <v>0</v>
      </c>
      <c r="DY29" s="506">
        <v>938032.59</v>
      </c>
      <c r="DZ29" s="53">
        <v>4.8617999999999997</v>
      </c>
      <c r="EA29" s="507">
        <v>192939.36196470444</v>
      </c>
      <c r="EB29" s="380">
        <f t="shared" si="17"/>
        <v>-2.7779331721831113E-3</v>
      </c>
      <c r="EC29" s="506">
        <v>938032.59</v>
      </c>
      <c r="ED29" s="53">
        <v>4.8617999999999997</v>
      </c>
      <c r="EE29" s="507">
        <v>192939.36196470444</v>
      </c>
      <c r="EF29" s="380">
        <f t="shared" si="18"/>
        <v>0</v>
      </c>
      <c r="EG29" s="506">
        <v>938032.59</v>
      </c>
      <c r="EH29" s="53">
        <v>4.8617999999999997</v>
      </c>
      <c r="EI29" s="507">
        <v>192939.36196470444</v>
      </c>
      <c r="EJ29" s="380">
        <f t="shared" si="19"/>
        <v>0</v>
      </c>
      <c r="EK29" s="506">
        <v>913866.59</v>
      </c>
      <c r="EL29" s="53">
        <v>4.8617999999999997</v>
      </c>
      <c r="EM29" s="507">
        <v>187968.7749393229</v>
      </c>
      <c r="EN29" s="380">
        <f t="shared" si="20"/>
        <v>-4970.5870253815374</v>
      </c>
      <c r="EO29" s="506">
        <v>913866.59</v>
      </c>
      <c r="EP29" s="53">
        <v>4.8617999999999997</v>
      </c>
      <c r="EQ29" s="507">
        <v>187968.7749393229</v>
      </c>
      <c r="ER29" s="380">
        <f t="shared" si="21"/>
        <v>0</v>
      </c>
      <c r="ES29" s="506">
        <v>913866.59</v>
      </c>
      <c r="ET29" s="53">
        <v>4.8617999999999997</v>
      </c>
      <c r="EU29" s="507">
        <v>187968.7749393229</v>
      </c>
      <c r="EV29" s="380">
        <f t="shared" si="22"/>
        <v>0</v>
      </c>
      <c r="EW29" s="506">
        <v>913866.59</v>
      </c>
      <c r="EX29" s="53">
        <v>4.8617999999999997</v>
      </c>
      <c r="EY29" s="507">
        <v>187968.7749393229</v>
      </c>
      <c r="EZ29" s="380">
        <f t="shared" si="23"/>
        <v>0</v>
      </c>
      <c r="FA29" s="506">
        <v>913602.35</v>
      </c>
      <c r="FB29" s="53">
        <v>4.8617999999999997</v>
      </c>
      <c r="FC29" s="507">
        <v>187914.42469867127</v>
      </c>
      <c r="FD29" s="380">
        <f t="shared" si="24"/>
        <v>-54.350240651634522</v>
      </c>
      <c r="FE29" s="506">
        <v>913602.35</v>
      </c>
      <c r="FF29" s="53">
        <v>4.8617999999999997</v>
      </c>
      <c r="FG29" s="507">
        <v>187914.42469867127</v>
      </c>
      <c r="FH29" s="380">
        <f t="shared" si="25"/>
        <v>0</v>
      </c>
      <c r="FI29" s="506">
        <v>1151602.3500000001</v>
      </c>
      <c r="FJ29" s="53">
        <v>4.8617999999999997</v>
      </c>
      <c r="FK29" s="507">
        <v>236867.4873503641</v>
      </c>
      <c r="FL29" s="380">
        <f t="shared" si="26"/>
        <v>48953.062651692831</v>
      </c>
      <c r="FM29" s="506">
        <v>1151602.3500000001</v>
      </c>
      <c r="FN29" s="53">
        <v>4.8617999999999997</v>
      </c>
      <c r="FO29" s="507">
        <v>236867.4873503641</v>
      </c>
      <c r="FP29" s="380">
        <f t="shared" si="27"/>
        <v>0</v>
      </c>
      <c r="FQ29" s="506">
        <v>1151322.3500000001</v>
      </c>
      <c r="FR29" s="53">
        <v>4.8617999999999997</v>
      </c>
      <c r="FS29" s="507">
        <v>236809.89551195034</v>
      </c>
      <c r="FT29" s="380">
        <f t="shared" si="28"/>
        <v>-57.591838413762162</v>
      </c>
      <c r="FU29" s="506">
        <v>1108793.28</v>
      </c>
      <c r="FV29" s="53">
        <v>4.8617999999999997</v>
      </c>
      <c r="FW29" s="507">
        <v>228062.29791435273</v>
      </c>
      <c r="FX29" s="380">
        <f t="shared" si="29"/>
        <v>-8747.5975975976035</v>
      </c>
      <c r="FY29" s="506">
        <v>687993.96</v>
      </c>
      <c r="FZ29" s="53">
        <v>4.8617999999999997</v>
      </c>
      <c r="GA29" s="507">
        <v>141510.13204985808</v>
      </c>
      <c r="GB29" s="380">
        <f t="shared" si="30"/>
        <v>-86552.165864494658</v>
      </c>
      <c r="GC29" s="506">
        <v>687993.96</v>
      </c>
      <c r="GD29" s="53">
        <v>4.8617999999999997</v>
      </c>
      <c r="GE29" s="507">
        <v>141510.13204985808</v>
      </c>
      <c r="GF29" s="380">
        <f t="shared" si="31"/>
        <v>0</v>
      </c>
      <c r="GG29" s="506">
        <v>798326.76</v>
      </c>
      <c r="GH29" s="53">
        <v>4.8617999999999997</v>
      </c>
      <c r="GI29" s="507">
        <v>164203.94915463409</v>
      </c>
      <c r="GJ29" s="380">
        <f t="shared" si="32"/>
        <v>22693.817104776012</v>
      </c>
      <c r="GK29" s="506">
        <v>798326.76</v>
      </c>
      <c r="GL29" s="53">
        <v>4.8617999999999997</v>
      </c>
      <c r="GM29" s="507">
        <v>164203.94915463409</v>
      </c>
      <c r="GN29" s="380">
        <f t="shared" si="33"/>
        <v>0</v>
      </c>
      <c r="GO29" s="506">
        <v>798326.76</v>
      </c>
      <c r="GP29" s="53">
        <v>4.8617999999999997</v>
      </c>
      <c r="GQ29" s="507">
        <v>164203.94915463409</v>
      </c>
      <c r="GR29" s="380">
        <f t="shared" si="34"/>
        <v>0</v>
      </c>
      <c r="GS29" s="506">
        <v>798326.76</v>
      </c>
      <c r="GT29" s="53">
        <v>4.8617999999999997</v>
      </c>
      <c r="GU29" s="507">
        <v>164203.94915463409</v>
      </c>
      <c r="GV29" s="380">
        <f t="shared" si="35"/>
        <v>0</v>
      </c>
      <c r="GW29" s="506">
        <v>798326.76</v>
      </c>
      <c r="GX29" s="53">
        <v>4.8617999999999997</v>
      </c>
      <c r="GY29" s="507">
        <v>164203.94915463409</v>
      </c>
      <c r="GZ29" s="380">
        <f t="shared" si="36"/>
        <v>0</v>
      </c>
      <c r="HA29" s="506">
        <v>815740.09</v>
      </c>
      <c r="HB29" s="53">
        <v>4.8617999999999997</v>
      </c>
      <c r="HC29" s="507">
        <v>167785.61232465343</v>
      </c>
      <c r="HD29" s="380">
        <f t="shared" si="37"/>
        <v>3581.6631700193393</v>
      </c>
      <c r="HE29" s="506">
        <v>815740.09</v>
      </c>
      <c r="HF29" s="53">
        <v>4.8617999999999997</v>
      </c>
      <c r="HG29" s="507">
        <v>167785.61232465343</v>
      </c>
      <c r="HH29" s="380">
        <f t="shared" si="38"/>
        <v>0</v>
      </c>
      <c r="HI29" s="506">
        <v>815740.09</v>
      </c>
      <c r="HJ29" s="53">
        <v>4.8617999999999997</v>
      </c>
      <c r="HK29" s="507">
        <v>167785.61232465343</v>
      </c>
      <c r="HL29" s="380">
        <f t="shared" si="39"/>
        <v>0</v>
      </c>
      <c r="HM29" s="506">
        <v>815740.09</v>
      </c>
      <c r="HN29" s="53">
        <v>4.8617999999999997</v>
      </c>
      <c r="HO29" s="507">
        <v>167785.61232465343</v>
      </c>
      <c r="HP29" s="380">
        <f t="shared" si="40"/>
        <v>0</v>
      </c>
      <c r="HQ29" s="506">
        <v>1141720.76</v>
      </c>
      <c r="HR29" s="53">
        <v>4.8617999999999997</v>
      </c>
      <c r="HS29" s="507">
        <v>234834.99115553912</v>
      </c>
      <c r="HT29" s="380">
        <f t="shared" si="41"/>
        <v>67049.378830885689</v>
      </c>
      <c r="HU29" s="506">
        <v>1141716.43</v>
      </c>
      <c r="HV29" s="53">
        <v>4.8617999999999997</v>
      </c>
      <c r="HW29" s="507">
        <v>234834.10053889506</v>
      </c>
      <c r="HX29" s="380">
        <f t="shared" si="42"/>
        <v>-0.89061664405744523</v>
      </c>
      <c r="HY29" s="506">
        <v>1141716.43</v>
      </c>
      <c r="HZ29" s="53">
        <v>4.8617999999999997</v>
      </c>
      <c r="IA29" s="507">
        <v>234834.10053889506</v>
      </c>
      <c r="IB29" s="380">
        <f t="shared" si="43"/>
        <v>0</v>
      </c>
      <c r="IC29" s="506">
        <v>1141716.43</v>
      </c>
      <c r="ID29" s="53">
        <v>4.8617999999999997</v>
      </c>
      <c r="IE29" s="507">
        <v>234834.10053889506</v>
      </c>
      <c r="IF29" s="380">
        <f t="shared" si="44"/>
        <v>0</v>
      </c>
      <c r="IG29" s="506">
        <v>1128708.73</v>
      </c>
      <c r="IH29" s="53">
        <v>4.8617999999999997</v>
      </c>
      <c r="II29" s="507">
        <v>232158.60997984288</v>
      </c>
      <c r="IJ29" s="380">
        <f t="shared" si="45"/>
        <v>-2675.4905590521812</v>
      </c>
      <c r="IK29" s="506">
        <v>1128708.73</v>
      </c>
      <c r="IL29" s="53">
        <v>4.8617999999999997</v>
      </c>
      <c r="IM29" s="507">
        <v>232158.60997984288</v>
      </c>
      <c r="IN29" s="380">
        <f t="shared" si="46"/>
        <v>0</v>
      </c>
      <c r="IO29" s="506">
        <v>1128708.73</v>
      </c>
      <c r="IP29" s="53">
        <v>4.8617999999999997</v>
      </c>
      <c r="IQ29" s="507">
        <v>232158.60997984288</v>
      </c>
      <c r="IR29" s="380">
        <f t="shared" si="47"/>
        <v>0</v>
      </c>
      <c r="IS29" s="506">
        <v>1780959.9</v>
      </c>
      <c r="IT29" s="53">
        <v>4.8617999999999997</v>
      </c>
      <c r="IU29" s="507">
        <v>366316.98136492656</v>
      </c>
      <c r="IV29" s="380">
        <f t="shared" si="48"/>
        <v>134158.37138508368</v>
      </c>
      <c r="IW29" s="506">
        <v>2100476.5</v>
      </c>
      <c r="IX29" s="53">
        <v>4.8617999999999997</v>
      </c>
      <c r="IY29" s="507">
        <v>432036.79707104369</v>
      </c>
      <c r="IZ29" s="380">
        <f t="shared" si="49"/>
        <v>65719.815706117137</v>
      </c>
    </row>
    <row r="30" spans="1:260">
      <c r="A30" s="13" t="s">
        <v>552</v>
      </c>
      <c r="B30" s="13" t="s">
        <v>556</v>
      </c>
      <c r="C30" s="13" t="s">
        <v>554</v>
      </c>
      <c r="D30" s="13" t="s">
        <v>306</v>
      </c>
      <c r="E30" s="13" t="s">
        <v>259</v>
      </c>
      <c r="F30" s="13" t="s">
        <v>557</v>
      </c>
      <c r="G30" s="13"/>
      <c r="H30" s="49" t="s">
        <v>494</v>
      </c>
      <c r="I30" s="14" t="s">
        <v>494</v>
      </c>
      <c r="J30" s="14">
        <f>+VLOOKUP(E30,'Summary - Colar'!$M$39:$N$54,2,FALSE)</f>
        <v>4.8617999999999997</v>
      </c>
      <c r="K30" s="54"/>
      <c r="L30" s="506" t="s">
        <v>494</v>
      </c>
      <c r="M30" s="53">
        <v>4.8617999300000001</v>
      </c>
      <c r="N30" s="507"/>
      <c r="O30" s="506" t="s">
        <v>494</v>
      </c>
      <c r="P30" s="53">
        <v>4.8617999300000001</v>
      </c>
      <c r="Q30" s="507"/>
      <c r="R30" s="506" t="s">
        <v>494</v>
      </c>
      <c r="S30" s="53">
        <v>4.8617999300000001</v>
      </c>
      <c r="T30" s="507"/>
      <c r="U30" s="506" t="s">
        <v>494</v>
      </c>
      <c r="V30" s="53">
        <v>4.8617999300000001</v>
      </c>
      <c r="W30" s="507"/>
      <c r="X30" s="506" t="s">
        <v>494</v>
      </c>
      <c r="Y30" s="53">
        <v>4.8617999300000001</v>
      </c>
      <c r="Z30" s="507"/>
      <c r="AA30" s="506" t="s">
        <v>494</v>
      </c>
      <c r="AB30" s="53">
        <v>4.8617999300000001</v>
      </c>
      <c r="AC30" s="507"/>
      <c r="AD30" s="506" t="s">
        <v>494</v>
      </c>
      <c r="AE30" s="53">
        <v>4.8617999300000001</v>
      </c>
      <c r="AF30" s="507"/>
      <c r="AG30" s="506" t="s">
        <v>494</v>
      </c>
      <c r="AH30" s="53">
        <v>4.8617999300000001</v>
      </c>
      <c r="AI30" s="507"/>
      <c r="AJ30" s="506" t="s">
        <v>494</v>
      </c>
      <c r="AK30" s="53">
        <v>4.8617999300000001</v>
      </c>
      <c r="AL30" s="507"/>
      <c r="AM30" s="506" t="s">
        <v>494</v>
      </c>
      <c r="AN30" s="53">
        <v>4.8617999300000001</v>
      </c>
      <c r="AO30" s="507"/>
      <c r="AP30" s="506" t="s">
        <v>494</v>
      </c>
      <c r="AQ30" s="53">
        <v>4.8617999300000001</v>
      </c>
      <c r="AR30" s="507"/>
      <c r="AS30" s="506" t="s">
        <v>494</v>
      </c>
      <c r="AT30" s="53">
        <v>4.8617999999999997</v>
      </c>
      <c r="AU30" s="507"/>
      <c r="AV30" s="506" t="s">
        <v>494</v>
      </c>
      <c r="AW30" s="53">
        <v>4.8617999300000001</v>
      </c>
      <c r="AX30" s="507"/>
      <c r="AY30" s="506" t="s">
        <v>494</v>
      </c>
      <c r="AZ30" s="53">
        <v>4.8617999300000001</v>
      </c>
      <c r="BA30" s="507"/>
      <c r="BB30" s="506" t="s">
        <v>494</v>
      </c>
      <c r="BC30" s="53">
        <v>4.8617999300000001</v>
      </c>
      <c r="BD30" s="507"/>
      <c r="BE30" s="506" t="s">
        <v>494</v>
      </c>
      <c r="BF30" s="53">
        <v>4.8617999300000001</v>
      </c>
      <c r="BG30" s="507"/>
      <c r="BH30" s="380">
        <f t="shared" si="0"/>
        <v>-4.8617999300000001</v>
      </c>
      <c r="BI30" s="506" t="s">
        <v>494</v>
      </c>
      <c r="BJ30" s="53">
        <v>4.8617999300000001</v>
      </c>
      <c r="BK30" s="507"/>
      <c r="BL30" s="380">
        <f t="shared" si="1"/>
        <v>0</v>
      </c>
      <c r="BM30" s="506" t="s">
        <v>494</v>
      </c>
      <c r="BN30" s="53">
        <v>4.8617999300000001</v>
      </c>
      <c r="BO30" s="507"/>
      <c r="BP30">
        <v>0</v>
      </c>
      <c r="BQ30" s="506" t="s">
        <v>494</v>
      </c>
      <c r="BR30" s="53">
        <v>4.8617999300000001</v>
      </c>
      <c r="BS30" s="507"/>
      <c r="BT30" s="380">
        <f t="shared" si="2"/>
        <v>0</v>
      </c>
      <c r="BU30" s="506" t="s">
        <v>494</v>
      </c>
      <c r="BV30" s="53">
        <v>4.8617999300000001</v>
      </c>
      <c r="BW30" s="507"/>
      <c r="BX30" s="380">
        <f t="shared" si="3"/>
        <v>0</v>
      </c>
      <c r="BY30" s="506" t="s">
        <v>494</v>
      </c>
      <c r="BZ30" s="53">
        <v>4.8617999300000001</v>
      </c>
      <c r="CA30" s="507"/>
      <c r="CB30" s="380">
        <f t="shared" si="4"/>
        <v>0</v>
      </c>
      <c r="CC30" s="506" t="s">
        <v>494</v>
      </c>
      <c r="CD30" s="53">
        <v>4.8617999300000001</v>
      </c>
      <c r="CE30" s="507"/>
      <c r="CF30" s="380">
        <f t="shared" si="5"/>
        <v>0</v>
      </c>
      <c r="CG30" s="506" t="s">
        <v>494</v>
      </c>
      <c r="CH30" s="53">
        <v>4.8617999300000001</v>
      </c>
      <c r="CI30" s="507"/>
      <c r="CJ30" s="380">
        <f t="shared" si="6"/>
        <v>0</v>
      </c>
      <c r="CK30" s="506" t="s">
        <v>494</v>
      </c>
      <c r="CL30" s="53">
        <v>4.8617999300000001</v>
      </c>
      <c r="CM30" s="507"/>
      <c r="CN30" s="380">
        <f t="shared" si="7"/>
        <v>0</v>
      </c>
      <c r="CO30" s="506" t="s">
        <v>494</v>
      </c>
      <c r="CP30" s="53">
        <v>4.8617999300000001</v>
      </c>
      <c r="CQ30" s="507"/>
      <c r="CR30" s="380">
        <f t="shared" si="8"/>
        <v>0</v>
      </c>
      <c r="CS30" s="506" t="s">
        <v>494</v>
      </c>
      <c r="CT30" s="53">
        <v>4.8617999300000001</v>
      </c>
      <c r="CU30" s="507"/>
      <c r="CV30" s="380">
        <f t="shared" si="9"/>
        <v>0</v>
      </c>
      <c r="CW30" s="506" t="s">
        <v>494</v>
      </c>
      <c r="CX30" s="53">
        <v>4.8617999300000001</v>
      </c>
      <c r="CY30" s="507"/>
      <c r="CZ30" s="380">
        <f t="shared" si="10"/>
        <v>0</v>
      </c>
      <c r="DA30" s="506" t="s">
        <v>494</v>
      </c>
      <c r="DB30" s="53">
        <v>4.8617999300000001</v>
      </c>
      <c r="DC30" s="507"/>
      <c r="DD30" s="380">
        <f t="shared" si="11"/>
        <v>0</v>
      </c>
      <c r="DE30" s="506" t="s">
        <v>494</v>
      </c>
      <c r="DF30" s="53">
        <v>4.8617999300000001</v>
      </c>
      <c r="DG30" s="507"/>
      <c r="DH30" s="380">
        <f t="shared" si="12"/>
        <v>0</v>
      </c>
      <c r="DI30" s="506" t="s">
        <v>494</v>
      </c>
      <c r="DJ30" s="53">
        <v>4.8617999300000001</v>
      </c>
      <c r="DK30" s="507"/>
      <c r="DL30" s="380">
        <f t="shared" si="13"/>
        <v>0</v>
      </c>
      <c r="DM30" s="506" t="s">
        <v>494</v>
      </c>
      <c r="DN30" s="53">
        <v>4.8617999300000001</v>
      </c>
      <c r="DO30" s="507"/>
      <c r="DP30" s="380">
        <f t="shared" si="14"/>
        <v>0</v>
      </c>
      <c r="DQ30" s="506" t="s">
        <v>494</v>
      </c>
      <c r="DR30" s="53">
        <v>4.8617999300000001</v>
      </c>
      <c r="DS30" s="507"/>
      <c r="DT30" s="380">
        <f t="shared" si="15"/>
        <v>0</v>
      </c>
      <c r="DU30" s="506" t="s">
        <v>494</v>
      </c>
      <c r="DV30" s="53">
        <v>4.8617999300000001</v>
      </c>
      <c r="DW30" s="507"/>
      <c r="DX30" s="380">
        <f t="shared" si="16"/>
        <v>0</v>
      </c>
      <c r="DY30" s="506" t="s">
        <v>494</v>
      </c>
      <c r="DZ30" s="53">
        <v>4.8617999999999997</v>
      </c>
      <c r="EA30" s="507"/>
      <c r="EB30" s="380">
        <f t="shared" si="17"/>
        <v>0</v>
      </c>
      <c r="EC30" s="506" t="s">
        <v>494</v>
      </c>
      <c r="ED30" s="53">
        <v>4.8617999999999997</v>
      </c>
      <c r="EE30" s="507"/>
      <c r="EF30" s="380">
        <f t="shared" si="18"/>
        <v>0</v>
      </c>
      <c r="EG30" s="506" t="s">
        <v>494</v>
      </c>
      <c r="EH30" s="53">
        <v>4.8617999999999997</v>
      </c>
      <c r="EI30" s="507"/>
      <c r="EJ30" s="380">
        <f t="shared" si="19"/>
        <v>0</v>
      </c>
      <c r="EK30" s="506" t="s">
        <v>494</v>
      </c>
      <c r="EL30" s="53">
        <v>4.8617999999999997</v>
      </c>
      <c r="EM30" s="507"/>
      <c r="EN30" s="380">
        <f t="shared" si="20"/>
        <v>0</v>
      </c>
      <c r="EO30" s="506" t="s">
        <v>494</v>
      </c>
      <c r="EP30" s="53">
        <v>4.8617999999999997</v>
      </c>
      <c r="EQ30" s="507"/>
      <c r="ER30" s="380">
        <f t="shared" si="21"/>
        <v>0</v>
      </c>
      <c r="ES30" s="506" t="s">
        <v>494</v>
      </c>
      <c r="ET30" s="53">
        <v>4.8617999999999997</v>
      </c>
      <c r="EU30" s="507"/>
      <c r="EV30" s="380">
        <f t="shared" si="22"/>
        <v>0</v>
      </c>
      <c r="EW30" s="506" t="s">
        <v>494</v>
      </c>
      <c r="EX30" s="53">
        <v>4.8617999999999997</v>
      </c>
      <c r="EY30" s="507"/>
      <c r="EZ30" s="380">
        <f t="shared" si="23"/>
        <v>0</v>
      </c>
      <c r="FA30" s="506" t="s">
        <v>494</v>
      </c>
      <c r="FB30" s="53">
        <v>4.8617999999999997</v>
      </c>
      <c r="FC30" s="507"/>
      <c r="FD30" s="380">
        <f t="shared" si="24"/>
        <v>0</v>
      </c>
      <c r="FE30" s="506" t="s">
        <v>494</v>
      </c>
      <c r="FF30" s="53">
        <v>4.8617999999999997</v>
      </c>
      <c r="FG30" s="507"/>
      <c r="FH30" s="380">
        <f t="shared" si="25"/>
        <v>0</v>
      </c>
      <c r="FI30" s="506" t="s">
        <v>494</v>
      </c>
      <c r="FJ30" s="53">
        <v>4.8617999999999997</v>
      </c>
      <c r="FK30" s="507"/>
      <c r="FL30" s="380">
        <f t="shared" si="26"/>
        <v>0</v>
      </c>
      <c r="FM30" s="506" t="s">
        <v>494</v>
      </c>
      <c r="FN30" s="53">
        <v>4.8617999999999997</v>
      </c>
      <c r="FO30" s="507"/>
      <c r="FP30" s="380">
        <f t="shared" si="27"/>
        <v>0</v>
      </c>
      <c r="FQ30" s="506" t="s">
        <v>494</v>
      </c>
      <c r="FR30" s="53">
        <v>4.8617999999999997</v>
      </c>
      <c r="FS30" s="507"/>
      <c r="FT30" s="380">
        <f t="shared" si="28"/>
        <v>0</v>
      </c>
      <c r="FU30" s="506" t="s">
        <v>494</v>
      </c>
      <c r="FV30" s="53">
        <v>4.8617999999999997</v>
      </c>
      <c r="FW30" s="507"/>
      <c r="FX30" s="380">
        <f t="shared" si="29"/>
        <v>0</v>
      </c>
      <c r="FY30" s="506" t="s">
        <v>494</v>
      </c>
      <c r="FZ30" s="53">
        <v>4.8617999999999997</v>
      </c>
      <c r="GA30" s="507"/>
      <c r="GB30" s="380">
        <f t="shared" si="30"/>
        <v>0</v>
      </c>
      <c r="GC30" s="506" t="s">
        <v>494</v>
      </c>
      <c r="GD30" s="53">
        <v>4.8617999999999997</v>
      </c>
      <c r="GE30" s="507"/>
      <c r="GF30" s="380">
        <f t="shared" si="31"/>
        <v>0</v>
      </c>
      <c r="GG30" s="506" t="s">
        <v>494</v>
      </c>
      <c r="GH30" s="53">
        <v>4.8617999999999997</v>
      </c>
      <c r="GI30" s="507"/>
      <c r="GJ30" s="380">
        <f t="shared" si="32"/>
        <v>0</v>
      </c>
      <c r="GK30" s="506" t="s">
        <v>494</v>
      </c>
      <c r="GL30" s="53">
        <v>4.8617999999999997</v>
      </c>
      <c r="GM30" s="507"/>
      <c r="GN30" s="380">
        <f t="shared" si="33"/>
        <v>0</v>
      </c>
      <c r="GO30" s="506" t="s">
        <v>494</v>
      </c>
      <c r="GP30" s="53">
        <v>4.8617999999999997</v>
      </c>
      <c r="GQ30" s="507"/>
      <c r="GR30" s="380">
        <f t="shared" si="34"/>
        <v>0</v>
      </c>
      <c r="GS30" s="506" t="s">
        <v>494</v>
      </c>
      <c r="GT30" s="53">
        <v>4.8617999999999997</v>
      </c>
      <c r="GU30" s="507"/>
      <c r="GV30" s="380">
        <f t="shared" si="35"/>
        <v>0</v>
      </c>
      <c r="GW30" s="506" t="s">
        <v>494</v>
      </c>
      <c r="GX30" s="53">
        <v>4.8617999999999997</v>
      </c>
      <c r="GY30" s="507"/>
      <c r="GZ30" s="380">
        <f t="shared" si="36"/>
        <v>0</v>
      </c>
      <c r="HA30" s="506" t="s">
        <v>494</v>
      </c>
      <c r="HB30" s="53">
        <v>4.8617999999999997</v>
      </c>
      <c r="HC30" s="507"/>
      <c r="HD30" s="380">
        <f t="shared" si="37"/>
        <v>0</v>
      </c>
      <c r="HE30" s="506" t="s">
        <v>494</v>
      </c>
      <c r="HF30" s="53">
        <v>4.8617999999999997</v>
      </c>
      <c r="HG30" s="507"/>
      <c r="HH30" s="380">
        <f t="shared" si="38"/>
        <v>0</v>
      </c>
      <c r="HI30" s="506" t="s">
        <v>494</v>
      </c>
      <c r="HJ30" s="53">
        <v>4.8617999999999997</v>
      </c>
      <c r="HK30" s="507"/>
      <c r="HL30" s="380">
        <f t="shared" si="39"/>
        <v>0</v>
      </c>
      <c r="HM30" s="506" t="s">
        <v>494</v>
      </c>
      <c r="HN30" s="53">
        <v>4.8617999999999997</v>
      </c>
      <c r="HO30" s="507"/>
      <c r="HP30" s="380">
        <f t="shared" si="40"/>
        <v>0</v>
      </c>
      <c r="HQ30" s="506" t="s">
        <v>494</v>
      </c>
      <c r="HR30" s="53">
        <v>4.8617999999999997</v>
      </c>
      <c r="HS30" s="507"/>
      <c r="HT30" s="380">
        <f t="shared" si="41"/>
        <v>0</v>
      </c>
      <c r="HU30" s="506" t="s">
        <v>494</v>
      </c>
      <c r="HV30" s="53">
        <v>4.8617999999999997</v>
      </c>
      <c r="HW30" s="507"/>
      <c r="HX30" s="380">
        <f t="shared" si="42"/>
        <v>0</v>
      </c>
      <c r="HY30" s="506" t="s">
        <v>494</v>
      </c>
      <c r="HZ30" s="53">
        <v>4.8617999999999997</v>
      </c>
      <c r="IA30" s="507"/>
      <c r="IB30" s="380">
        <f t="shared" si="43"/>
        <v>0</v>
      </c>
      <c r="IC30" s="506" t="s">
        <v>494</v>
      </c>
      <c r="ID30" s="53">
        <v>4.8617999999999997</v>
      </c>
      <c r="IE30" s="507"/>
      <c r="IF30" s="380">
        <f t="shared" si="44"/>
        <v>0</v>
      </c>
      <c r="IG30" s="506" t="s">
        <v>494</v>
      </c>
      <c r="IH30" s="53">
        <v>4.8617999999999997</v>
      </c>
      <c r="II30" s="507"/>
      <c r="IJ30" s="380">
        <f t="shared" si="45"/>
        <v>0</v>
      </c>
      <c r="IK30" s="506" t="s">
        <v>494</v>
      </c>
      <c r="IL30" s="53">
        <v>4.8617999999999997</v>
      </c>
      <c r="IM30" s="507"/>
      <c r="IN30" s="380">
        <f t="shared" si="46"/>
        <v>0</v>
      </c>
      <c r="IO30" s="506" t="s">
        <v>494</v>
      </c>
      <c r="IP30" s="53">
        <v>4.8617999999999997</v>
      </c>
      <c r="IQ30" s="507"/>
      <c r="IR30" s="380">
        <f t="shared" si="47"/>
        <v>0</v>
      </c>
      <c r="IS30" s="506" t="s">
        <v>494</v>
      </c>
      <c r="IT30" s="53">
        <v>4.8617999999999997</v>
      </c>
      <c r="IU30" s="507"/>
      <c r="IV30" s="380">
        <f t="shared" si="48"/>
        <v>0</v>
      </c>
      <c r="IW30" s="506" t="s">
        <v>494</v>
      </c>
      <c r="IX30" s="53">
        <v>4.8617999999999997</v>
      </c>
      <c r="IY30" s="507"/>
      <c r="IZ30" s="380">
        <f t="shared" si="49"/>
        <v>0</v>
      </c>
    </row>
    <row r="31" spans="1:260">
      <c r="A31" s="13" t="s">
        <v>558</v>
      </c>
      <c r="B31" s="13" t="s">
        <v>559</v>
      </c>
      <c r="C31" s="13" t="s">
        <v>446</v>
      </c>
      <c r="D31" s="13" t="s">
        <v>306</v>
      </c>
      <c r="E31" s="13" t="s">
        <v>16</v>
      </c>
      <c r="F31" s="13" t="s">
        <v>447</v>
      </c>
      <c r="G31" s="13"/>
      <c r="H31" s="49" t="s">
        <v>560</v>
      </c>
      <c r="I31" s="14">
        <f>+VLOOKUP(F31,'HSBC - Banco'!$B$3:$G$39,6, FALSE)</f>
        <v>726980.28</v>
      </c>
      <c r="J31" s="14">
        <f>+VLOOKUP(E31,'Summary - Colar'!$M$39:$N$54,2,FALSE)</f>
        <v>1.4857499999999999</v>
      </c>
      <c r="K31" s="54">
        <f t="shared" si="50"/>
        <v>489301.88793538621</v>
      </c>
      <c r="L31" s="506">
        <v>1822412.92</v>
      </c>
      <c r="M31" s="53">
        <v>1.4168580060422962</v>
      </c>
      <c r="N31" s="507">
        <v>1286235.397074502</v>
      </c>
      <c r="O31" s="506">
        <v>1920849.34</v>
      </c>
      <c r="P31" s="53">
        <v>1.411201829525166</v>
      </c>
      <c r="Q31" s="507">
        <v>1361144.3096316829</v>
      </c>
      <c r="R31" s="506">
        <v>3076385.97</v>
      </c>
      <c r="S31" s="53">
        <v>1.4089959496908975</v>
      </c>
      <c r="T31" s="507">
        <v>2183388.7958832607</v>
      </c>
      <c r="U31" s="506">
        <v>1243452.9099999999</v>
      </c>
      <c r="V31" s="53">
        <v>1.4082454458293385</v>
      </c>
      <c r="W31" s="507">
        <v>882980.24586737459</v>
      </c>
      <c r="X31" s="506">
        <v>1252902.83</v>
      </c>
      <c r="Y31" s="53">
        <v>1.4129417046110435</v>
      </c>
      <c r="Z31" s="507">
        <v>886733.56155546475</v>
      </c>
      <c r="AA31" s="506">
        <v>1464424.5</v>
      </c>
      <c r="AB31" s="53">
        <v>1.4085455514118275</v>
      </c>
      <c r="AC31" s="507">
        <v>1039671.3819671386</v>
      </c>
      <c r="AD31" s="506">
        <v>1451650.89</v>
      </c>
      <c r="AE31" s="53">
        <v>1.4017942355411339</v>
      </c>
      <c r="AF31" s="507">
        <v>1035566.3143668299</v>
      </c>
      <c r="AG31" s="506">
        <v>1975258.88</v>
      </c>
      <c r="AH31" s="53">
        <v>1.4043855175930648</v>
      </c>
      <c r="AI31" s="507">
        <v>1406493.3419317354</v>
      </c>
      <c r="AJ31" s="506">
        <v>1512541.81</v>
      </c>
      <c r="AK31" s="53">
        <v>1.3989986992907451</v>
      </c>
      <c r="AL31" s="507">
        <v>1081160.2689600915</v>
      </c>
      <c r="AM31" s="506">
        <v>1721374.67</v>
      </c>
      <c r="AN31" s="53">
        <v>1.4035109316525505</v>
      </c>
      <c r="AO31" s="507">
        <v>1226477.5650683276</v>
      </c>
      <c r="AP31" s="506">
        <v>1805187.47</v>
      </c>
      <c r="AQ31" s="53">
        <v>1.4448471637856743</v>
      </c>
      <c r="AR31" s="507">
        <v>1249396.8325827559</v>
      </c>
      <c r="AS31" s="506">
        <v>1343889.26</v>
      </c>
      <c r="AT31" s="53">
        <v>1.4539500000000001</v>
      </c>
      <c r="AU31" s="507">
        <v>924302.25248461089</v>
      </c>
      <c r="AV31" s="506">
        <v>1508558.32</v>
      </c>
      <c r="AW31" s="53">
        <v>1.4452501077504245</v>
      </c>
      <c r="AX31" s="507">
        <v>1043804.3297212527</v>
      </c>
      <c r="AY31" s="506">
        <v>1895880.18</v>
      </c>
      <c r="AZ31" s="53">
        <v>1.4473416950185343</v>
      </c>
      <c r="BA31" s="507">
        <v>1309905.0393733885</v>
      </c>
      <c r="BB31" s="506">
        <v>1895880.18</v>
      </c>
      <c r="BC31" s="53">
        <v>1.4520977150571872</v>
      </c>
      <c r="BD31" s="507">
        <v>1305614.7395186387</v>
      </c>
      <c r="BE31" s="506">
        <v>997956.81</v>
      </c>
      <c r="BF31" s="53">
        <v>1.4486499954386285</v>
      </c>
      <c r="BG31" s="507">
        <v>688887.45600543381</v>
      </c>
      <c r="BH31" s="380">
        <f t="shared" si="0"/>
        <v>688886.0039077187</v>
      </c>
      <c r="BI31" s="506">
        <v>1022958.18</v>
      </c>
      <c r="BJ31" s="53">
        <v>1.4508411595530781</v>
      </c>
      <c r="BK31" s="507">
        <v>705079.37637716008</v>
      </c>
      <c r="BL31" s="380">
        <f t="shared" si="1"/>
        <v>16191.920371726272</v>
      </c>
      <c r="BM31" s="506">
        <v>1045727.22</v>
      </c>
      <c r="BN31" s="53">
        <v>1.4796010115200902</v>
      </c>
      <c r="BO31" s="507">
        <v>706762.97992365959</v>
      </c>
      <c r="BP31">
        <v>145317.29610823607</v>
      </c>
      <c r="BQ31" s="506">
        <v>1231468.67</v>
      </c>
      <c r="BR31" s="53">
        <v>1.4811824932493252</v>
      </c>
      <c r="BS31" s="507">
        <v>831409.14479652082</v>
      </c>
      <c r="BT31" s="380">
        <f t="shared" si="2"/>
        <v>124646.16487286123</v>
      </c>
      <c r="BU31" s="506">
        <v>810772.63</v>
      </c>
      <c r="BV31" s="53">
        <v>1.4764895555867099</v>
      </c>
      <c r="BW31" s="507">
        <v>549121.81866252678</v>
      </c>
      <c r="BX31" s="380">
        <f t="shared" si="3"/>
        <v>-282287.32613399404</v>
      </c>
      <c r="BY31" s="506">
        <v>808212.62</v>
      </c>
      <c r="BZ31" s="53">
        <v>1.4759101992768855</v>
      </c>
      <c r="CA31" s="507">
        <v>547602.84222981834</v>
      </c>
      <c r="CB31" s="380">
        <f t="shared" si="4"/>
        <v>-1518.9764327084413</v>
      </c>
      <c r="CC31" s="506">
        <v>808034.8</v>
      </c>
      <c r="CD31" s="53">
        <v>1.4879206577943545</v>
      </c>
      <c r="CE31" s="507">
        <v>543063.09665584238</v>
      </c>
      <c r="CF31" s="380">
        <f t="shared" si="5"/>
        <v>-4539.7455739759607</v>
      </c>
      <c r="CG31" s="506">
        <v>791297.15</v>
      </c>
      <c r="CH31" s="53">
        <v>1.4801416645585632</v>
      </c>
      <c r="CI31" s="507">
        <v>534609.06408306269</v>
      </c>
      <c r="CJ31" s="380">
        <f t="shared" si="6"/>
        <v>-8454.0325727796881</v>
      </c>
      <c r="CK31" s="506">
        <v>1219581.46</v>
      </c>
      <c r="CL31" s="53">
        <v>1.4968447981807846</v>
      </c>
      <c r="CM31" s="507">
        <v>814768.14528950409</v>
      </c>
      <c r="CN31" s="380">
        <f t="shared" si="7"/>
        <v>280159.08120644139</v>
      </c>
      <c r="CO31" s="506">
        <v>1256859.46</v>
      </c>
      <c r="CP31" s="53">
        <v>1.4975684668543641</v>
      </c>
      <c r="CQ31" s="507">
        <v>839266.77665698167</v>
      </c>
      <c r="CR31" s="380">
        <f t="shared" si="8"/>
        <v>24498.631367477588</v>
      </c>
      <c r="CS31" s="506">
        <v>1349840.07</v>
      </c>
      <c r="CT31" s="53">
        <v>1.4914606168748408</v>
      </c>
      <c r="CU31" s="507">
        <v>905045.73485045286</v>
      </c>
      <c r="CV31" s="380">
        <f t="shared" si="9"/>
        <v>65778.95819347119</v>
      </c>
      <c r="CW31" s="506">
        <v>1349840.07</v>
      </c>
      <c r="CX31" s="53">
        <v>1.4929829038019904</v>
      </c>
      <c r="CY31" s="507">
        <v>904122.92502649117</v>
      </c>
      <c r="CZ31" s="380">
        <f t="shared" si="10"/>
        <v>-922.80982396169566</v>
      </c>
      <c r="DA31" s="506">
        <v>1780137.32</v>
      </c>
      <c r="DB31" s="53">
        <v>1.4898992756903577</v>
      </c>
      <c r="DC31" s="507">
        <v>1194803.8025423954</v>
      </c>
      <c r="DD31" s="380">
        <f t="shared" si="11"/>
        <v>290680.87751590426</v>
      </c>
      <c r="DE31" s="506">
        <v>2315708.7200000002</v>
      </c>
      <c r="DF31" s="53">
        <v>1.5047578225460783</v>
      </c>
      <c r="DG31" s="507">
        <v>1538924.5267931407</v>
      </c>
      <c r="DH31" s="380">
        <f t="shared" si="12"/>
        <v>344120.72425074526</v>
      </c>
      <c r="DI31" s="506">
        <v>2072844.85</v>
      </c>
      <c r="DJ31" s="53">
        <v>1.5021965443941787</v>
      </c>
      <c r="DK31" s="507">
        <v>1379875.9275111756</v>
      </c>
      <c r="DL31" s="380">
        <f t="shared" si="13"/>
        <v>-159048.59928196506</v>
      </c>
      <c r="DM31" s="506">
        <v>2072122</v>
      </c>
      <c r="DN31" s="53">
        <v>1.4955936618189711</v>
      </c>
      <c r="DO31" s="507">
        <v>1385484.6091550319</v>
      </c>
      <c r="DP31" s="380">
        <f t="shared" si="14"/>
        <v>5608.6816438562237</v>
      </c>
      <c r="DQ31" s="506">
        <v>1614242.75</v>
      </c>
      <c r="DR31" s="53">
        <v>1.4919498710322392</v>
      </c>
      <c r="DS31" s="507">
        <v>1081968.4905922138</v>
      </c>
      <c r="DT31" s="380">
        <f t="shared" si="15"/>
        <v>-303516.11856281804</v>
      </c>
      <c r="DU31" s="506">
        <v>1781914.73</v>
      </c>
      <c r="DV31" s="53">
        <v>1.4813999182855941</v>
      </c>
      <c r="DW31" s="507">
        <v>1202858.6663229926</v>
      </c>
      <c r="DX31" s="380">
        <f t="shared" si="16"/>
        <v>120890.17573077884</v>
      </c>
      <c r="DY31" s="506">
        <v>1853990.79</v>
      </c>
      <c r="DZ31" s="53">
        <v>1.4701500000000001</v>
      </c>
      <c r="EA31" s="507">
        <v>1261089.5418834812</v>
      </c>
      <c r="EB31" s="380">
        <f t="shared" si="17"/>
        <v>58230.875560488552</v>
      </c>
      <c r="EC31" s="506">
        <v>1919619.69</v>
      </c>
      <c r="ED31" s="53">
        <v>1.4619500000000001</v>
      </c>
      <c r="EE31" s="507">
        <v>1313054.2699818735</v>
      </c>
      <c r="EF31" s="380">
        <f t="shared" si="18"/>
        <v>51964.728098392254</v>
      </c>
      <c r="EG31" s="506">
        <v>1708895.52</v>
      </c>
      <c r="EH31" s="53">
        <v>1.4600500000000001</v>
      </c>
      <c r="EI31" s="507">
        <v>1170436.3001267079</v>
      </c>
      <c r="EJ31" s="380">
        <f t="shared" si="19"/>
        <v>-142617.96985516557</v>
      </c>
      <c r="EK31" s="506">
        <v>1702464.88</v>
      </c>
      <c r="EL31" s="53">
        <v>1.4666999999999999</v>
      </c>
      <c r="EM31" s="507">
        <v>1160745.1285198063</v>
      </c>
      <c r="EN31" s="380">
        <f t="shared" si="20"/>
        <v>-9691.1716069015674</v>
      </c>
      <c r="EO31" s="506">
        <v>1730424.85</v>
      </c>
      <c r="EP31" s="53">
        <v>1.46435</v>
      </c>
      <c r="EQ31" s="507">
        <v>1181701.6765117629</v>
      </c>
      <c r="ER31" s="380">
        <f t="shared" si="21"/>
        <v>20956.547991956584</v>
      </c>
      <c r="ES31" s="506">
        <v>1731131.95</v>
      </c>
      <c r="ET31" s="53">
        <v>1.4601999999999999</v>
      </c>
      <c r="EU31" s="507">
        <v>1185544.4117244214</v>
      </c>
      <c r="EV31" s="380">
        <f t="shared" si="22"/>
        <v>3842.735212658532</v>
      </c>
      <c r="EW31" s="506">
        <v>1731131.95</v>
      </c>
      <c r="EX31" s="53">
        <v>1.45035</v>
      </c>
      <c r="EY31" s="507">
        <v>1193595.9940703968</v>
      </c>
      <c r="EZ31" s="380">
        <f t="shared" si="23"/>
        <v>8051.5823459753301</v>
      </c>
      <c r="FA31" s="506">
        <v>1739687.19</v>
      </c>
      <c r="FB31" s="53">
        <v>1.4494</v>
      </c>
      <c r="FC31" s="507">
        <v>1200280.9369394232</v>
      </c>
      <c r="FD31" s="380">
        <f t="shared" si="24"/>
        <v>6684.9428690264467</v>
      </c>
      <c r="FE31" s="506">
        <v>1686876.19</v>
      </c>
      <c r="FF31" s="53">
        <v>1.4559500000000001</v>
      </c>
      <c r="FG31" s="507">
        <v>1158608.599196401</v>
      </c>
      <c r="FH31" s="380">
        <f t="shared" si="25"/>
        <v>-41672.337743022246</v>
      </c>
      <c r="FI31" s="506">
        <v>1492680.46</v>
      </c>
      <c r="FJ31" s="53">
        <v>1.4536</v>
      </c>
      <c r="FK31" s="507">
        <v>1026885.2916895982</v>
      </c>
      <c r="FL31" s="380">
        <f t="shared" si="26"/>
        <v>-131723.30750680272</v>
      </c>
      <c r="FM31" s="506">
        <v>1491577.46</v>
      </c>
      <c r="FN31" s="53">
        <v>1.45845</v>
      </c>
      <c r="FO31" s="507">
        <v>1022714.1554389934</v>
      </c>
      <c r="FP31" s="380">
        <f t="shared" si="27"/>
        <v>-4171.1362506048754</v>
      </c>
      <c r="FQ31" s="506">
        <v>1545513.43</v>
      </c>
      <c r="FR31" s="53">
        <v>1.4572499999999999</v>
      </c>
      <c r="FS31" s="507">
        <v>1060568.4885915252</v>
      </c>
      <c r="FT31" s="380">
        <f t="shared" si="28"/>
        <v>37854.333152531879</v>
      </c>
      <c r="FU31" s="506">
        <v>1731221.88</v>
      </c>
      <c r="FV31" s="53">
        <v>1.4603999999999999</v>
      </c>
      <c r="FW31" s="507">
        <v>1185443.6318816761</v>
      </c>
      <c r="FX31" s="380">
        <f t="shared" si="29"/>
        <v>124875.14329015091</v>
      </c>
      <c r="FY31" s="506">
        <v>1626470.73</v>
      </c>
      <c r="FZ31" s="53">
        <v>1.4576499999999999</v>
      </c>
      <c r="GA31" s="507">
        <v>1115817.0548485576</v>
      </c>
      <c r="GB31" s="380">
        <f t="shared" si="30"/>
        <v>-69626.577033118578</v>
      </c>
      <c r="GC31" s="506">
        <v>1715850.73</v>
      </c>
      <c r="GD31" s="53">
        <v>1.4608000000000001</v>
      </c>
      <c r="GE31" s="507">
        <v>1174596.6114457829</v>
      </c>
      <c r="GF31" s="380">
        <f t="shared" si="31"/>
        <v>58779.556597225368</v>
      </c>
      <c r="GG31" s="506">
        <v>1714200.9</v>
      </c>
      <c r="GH31" s="53">
        <v>1.4618</v>
      </c>
      <c r="GI31" s="507">
        <v>1172664.4547817758</v>
      </c>
      <c r="GJ31" s="380">
        <f t="shared" si="32"/>
        <v>-1932.1566640071105</v>
      </c>
      <c r="GK31" s="506">
        <v>770232.87</v>
      </c>
      <c r="GL31" s="53">
        <v>1.45875</v>
      </c>
      <c r="GM31" s="507">
        <v>528008.82262210792</v>
      </c>
      <c r="GN31" s="380">
        <f t="shared" si="33"/>
        <v>-644655.6321596679</v>
      </c>
      <c r="GO31" s="506">
        <v>768964.09</v>
      </c>
      <c r="GP31" s="53">
        <v>1.4540999999999999</v>
      </c>
      <c r="GQ31" s="507">
        <v>528824.76445911557</v>
      </c>
      <c r="GR31" s="380">
        <f t="shared" si="34"/>
        <v>815.94183700764552</v>
      </c>
      <c r="GS31" s="506">
        <v>1155776.78</v>
      </c>
      <c r="GT31" s="53">
        <v>1.4633</v>
      </c>
      <c r="GU31" s="507">
        <v>789842.67067586957</v>
      </c>
      <c r="GV31" s="380">
        <f t="shared" si="35"/>
        <v>261017.906216754</v>
      </c>
      <c r="GW31" s="506">
        <v>1156515.98</v>
      </c>
      <c r="GX31" s="53">
        <v>1.4684999999999999</v>
      </c>
      <c r="GY31" s="507">
        <v>787549.18624446716</v>
      </c>
      <c r="GZ31" s="380">
        <f t="shared" si="36"/>
        <v>-2293.4844314024085</v>
      </c>
      <c r="HA31" s="506">
        <v>1169187.27</v>
      </c>
      <c r="HB31" s="53">
        <v>1.4674</v>
      </c>
      <c r="HC31" s="507">
        <v>796774.75126073323</v>
      </c>
      <c r="HD31" s="380">
        <f t="shared" si="37"/>
        <v>9225.565016266075</v>
      </c>
      <c r="HE31" s="506">
        <v>1282841.6200000001</v>
      </c>
      <c r="HF31" s="53">
        <v>1.4676</v>
      </c>
      <c r="HG31" s="507">
        <v>874108.49005178525</v>
      </c>
      <c r="HH31" s="380">
        <f t="shared" si="38"/>
        <v>77333.738791052019</v>
      </c>
      <c r="HI31" s="506">
        <v>1636030.73</v>
      </c>
      <c r="HJ31" s="53">
        <v>1.4678</v>
      </c>
      <c r="HK31" s="507">
        <v>1114614.2049325521</v>
      </c>
      <c r="HL31" s="380">
        <f t="shared" si="39"/>
        <v>240505.71488076681</v>
      </c>
      <c r="HM31" s="506">
        <v>1425710.73</v>
      </c>
      <c r="HN31" s="53">
        <v>1.4688000000000001</v>
      </c>
      <c r="HO31" s="507">
        <v>970663.62336601294</v>
      </c>
      <c r="HP31" s="380">
        <f t="shared" si="40"/>
        <v>-143950.58156653913</v>
      </c>
      <c r="HQ31" s="506">
        <v>1334354.47</v>
      </c>
      <c r="HR31" s="53">
        <v>1.4694</v>
      </c>
      <c r="HS31" s="507">
        <v>908094.78018238733</v>
      </c>
      <c r="HT31" s="380">
        <f t="shared" si="41"/>
        <v>-62568.843183625606</v>
      </c>
      <c r="HU31" s="506">
        <v>1334324.47</v>
      </c>
      <c r="HV31" s="53">
        <v>1.4711000000000001</v>
      </c>
      <c r="HW31" s="507">
        <v>907024.9949017741</v>
      </c>
      <c r="HX31" s="380">
        <f t="shared" si="42"/>
        <v>-1069.7852806132287</v>
      </c>
      <c r="HY31" s="506">
        <v>1293199.0900000001</v>
      </c>
      <c r="HZ31" s="53">
        <v>1.4773000000000001</v>
      </c>
      <c r="IA31" s="507">
        <v>875380.14621268527</v>
      </c>
      <c r="IB31" s="380">
        <f t="shared" si="43"/>
        <v>-31644.848689088831</v>
      </c>
      <c r="IC31" s="506">
        <v>1388563.18</v>
      </c>
      <c r="ID31" s="53">
        <v>1.4773000000000001</v>
      </c>
      <c r="IE31" s="507">
        <v>939933.10769647325</v>
      </c>
      <c r="IF31" s="380">
        <f t="shared" si="44"/>
        <v>64552.961483787978</v>
      </c>
      <c r="IG31" s="506">
        <v>1442973.72</v>
      </c>
      <c r="IH31" s="53">
        <v>1.4773000000000001</v>
      </c>
      <c r="II31" s="507">
        <v>976764.17789210042</v>
      </c>
      <c r="IJ31" s="380">
        <f t="shared" si="45"/>
        <v>36831.070195627166</v>
      </c>
      <c r="IK31" s="506">
        <v>1453469.74</v>
      </c>
      <c r="IL31" s="53">
        <v>1.4773000000000001</v>
      </c>
      <c r="IM31" s="507">
        <v>983869.04487917142</v>
      </c>
      <c r="IN31" s="380">
        <f t="shared" si="46"/>
        <v>7104.866987071</v>
      </c>
      <c r="IO31" s="506">
        <v>1464961.43</v>
      </c>
      <c r="IP31" s="53">
        <v>1.4773000000000001</v>
      </c>
      <c r="IQ31" s="507">
        <v>991647.89142354287</v>
      </c>
      <c r="IR31" s="380">
        <f t="shared" si="47"/>
        <v>7778.8465443714522</v>
      </c>
      <c r="IS31" s="506">
        <v>1464961.43</v>
      </c>
      <c r="IT31" s="53">
        <v>1.4773000000000001</v>
      </c>
      <c r="IU31" s="507">
        <v>991647.89142354287</v>
      </c>
      <c r="IV31" s="380">
        <f t="shared" si="48"/>
        <v>0</v>
      </c>
      <c r="IW31" s="506">
        <v>726980.28</v>
      </c>
      <c r="IX31" s="53">
        <v>1.4857499999999999</v>
      </c>
      <c r="IY31" s="507">
        <v>489301.88793538621</v>
      </c>
      <c r="IZ31" s="380">
        <f t="shared" si="49"/>
        <v>-502346.00348815665</v>
      </c>
    </row>
    <row r="32" spans="1:260">
      <c r="A32" s="13" t="s">
        <v>548</v>
      </c>
      <c r="B32" s="13" t="s">
        <v>549</v>
      </c>
      <c r="C32" s="13" t="s">
        <v>38</v>
      </c>
      <c r="D32" s="13" t="s">
        <v>306</v>
      </c>
      <c r="E32" s="13" t="s">
        <v>16</v>
      </c>
      <c r="F32" s="13" t="s">
        <v>441</v>
      </c>
      <c r="G32" s="13" t="s">
        <v>561</v>
      </c>
      <c r="H32" s="49" t="s">
        <v>543</v>
      </c>
      <c r="I32" s="14">
        <f>+VLOOKUP(F32,'HSBC - Banco'!$B$3:$G$39,6, FALSE)</f>
        <v>0</v>
      </c>
      <c r="J32" s="14">
        <f>+VLOOKUP(E32,'Summary - Colar'!$M$39:$N$54,2,FALSE)</f>
        <v>1.4857499999999999</v>
      </c>
      <c r="K32" s="54">
        <f t="shared" si="50"/>
        <v>0</v>
      </c>
      <c r="L32" s="506">
        <v>0</v>
      </c>
      <c r="M32" s="53">
        <v>1.4168580060422962</v>
      </c>
      <c r="N32" s="507">
        <v>0</v>
      </c>
      <c r="O32" s="506">
        <v>0</v>
      </c>
      <c r="P32" s="53">
        <v>1.411201829525166</v>
      </c>
      <c r="Q32" s="507">
        <v>0</v>
      </c>
      <c r="R32" s="506">
        <v>0</v>
      </c>
      <c r="S32" s="53">
        <v>1.4089959496908975</v>
      </c>
      <c r="T32" s="507">
        <v>0</v>
      </c>
      <c r="U32" s="506">
        <v>0</v>
      </c>
      <c r="V32" s="53">
        <v>1.4082454458293385</v>
      </c>
      <c r="W32" s="507">
        <v>0</v>
      </c>
      <c r="X32" s="506">
        <v>0</v>
      </c>
      <c r="Y32" s="53">
        <v>1.4129417046110435</v>
      </c>
      <c r="Z32" s="507">
        <v>0</v>
      </c>
      <c r="AA32" s="506">
        <v>699880</v>
      </c>
      <c r="AB32" s="53">
        <v>1.4085455514118275</v>
      </c>
      <c r="AC32" s="507">
        <v>496881.33926410065</v>
      </c>
      <c r="AD32" s="506">
        <v>0</v>
      </c>
      <c r="AE32" s="53">
        <v>1.4017942355411339</v>
      </c>
      <c r="AF32" s="507">
        <v>0</v>
      </c>
      <c r="AG32" s="506">
        <v>0</v>
      </c>
      <c r="AH32" s="53">
        <v>1.4043855175930648</v>
      </c>
      <c r="AI32" s="507">
        <v>0</v>
      </c>
      <c r="AJ32" s="506">
        <v>0</v>
      </c>
      <c r="AK32" s="53">
        <v>1.3989986992907451</v>
      </c>
      <c r="AL32" s="507">
        <v>0</v>
      </c>
      <c r="AM32" s="506">
        <v>0</v>
      </c>
      <c r="AN32" s="53">
        <v>1.4035109316525505</v>
      </c>
      <c r="AO32" s="507">
        <v>0</v>
      </c>
      <c r="AP32" s="506">
        <v>0</v>
      </c>
      <c r="AQ32" s="53">
        <v>1.4448471637856743</v>
      </c>
      <c r="AR32" s="507">
        <v>0</v>
      </c>
      <c r="AS32" s="506">
        <v>0</v>
      </c>
      <c r="AT32" s="53">
        <v>1.4539500000000001</v>
      </c>
      <c r="AU32" s="507">
        <v>0</v>
      </c>
      <c r="AV32" s="506">
        <v>0</v>
      </c>
      <c r="AW32" s="53">
        <v>1.4452501077504245</v>
      </c>
      <c r="AX32" s="507">
        <v>0</v>
      </c>
      <c r="AY32" s="506">
        <v>0</v>
      </c>
      <c r="AZ32" s="53">
        <v>1.4473416950185343</v>
      </c>
      <c r="BA32" s="507">
        <v>0</v>
      </c>
      <c r="BB32" s="506">
        <v>0</v>
      </c>
      <c r="BC32" s="53">
        <v>1.4520977150571872</v>
      </c>
      <c r="BD32" s="507">
        <v>0</v>
      </c>
      <c r="BE32" s="506">
        <v>0</v>
      </c>
      <c r="BF32" s="53">
        <v>1.4486499954386285</v>
      </c>
      <c r="BG32" s="507">
        <v>0</v>
      </c>
      <c r="BH32" s="380">
        <f t="shared" si="0"/>
        <v>-1.4520977150571872</v>
      </c>
      <c r="BI32" s="506">
        <v>0</v>
      </c>
      <c r="BJ32" s="53">
        <v>1.4508411595530781</v>
      </c>
      <c r="BK32" s="507">
        <v>0</v>
      </c>
      <c r="BL32" s="380">
        <f t="shared" si="1"/>
        <v>0</v>
      </c>
      <c r="BM32" s="506">
        <v>0</v>
      </c>
      <c r="BN32" s="53">
        <v>1.4796010115200902</v>
      </c>
      <c r="BO32" s="507">
        <v>0</v>
      </c>
      <c r="BP32">
        <v>0</v>
      </c>
      <c r="BQ32" s="506">
        <v>0</v>
      </c>
      <c r="BR32" s="53">
        <v>1.4811824932493252</v>
      </c>
      <c r="BS32" s="507">
        <v>0</v>
      </c>
      <c r="BT32" s="380">
        <f t="shared" si="2"/>
        <v>0</v>
      </c>
      <c r="BU32" s="506">
        <v>0</v>
      </c>
      <c r="BV32" s="53">
        <v>1.4764895555867099</v>
      </c>
      <c r="BW32" s="507">
        <v>0</v>
      </c>
      <c r="BX32" s="380">
        <f t="shared" si="3"/>
        <v>0</v>
      </c>
      <c r="BY32" s="506">
        <v>0</v>
      </c>
      <c r="BZ32" s="53">
        <v>1.4759101992768855</v>
      </c>
      <c r="CA32" s="507">
        <v>0</v>
      </c>
      <c r="CB32" s="380">
        <f t="shared" si="4"/>
        <v>0</v>
      </c>
      <c r="CC32" s="506">
        <v>0</v>
      </c>
      <c r="CD32" s="53">
        <v>1.4879206577943545</v>
      </c>
      <c r="CE32" s="507">
        <v>0</v>
      </c>
      <c r="CF32" s="380">
        <f t="shared" si="5"/>
        <v>0</v>
      </c>
      <c r="CG32" s="506">
        <v>0</v>
      </c>
      <c r="CH32" s="53">
        <v>1.4801416645585632</v>
      </c>
      <c r="CI32" s="507">
        <v>0</v>
      </c>
      <c r="CJ32" s="380">
        <f t="shared" si="6"/>
        <v>0</v>
      </c>
      <c r="CK32" s="506">
        <v>0</v>
      </c>
      <c r="CL32" s="53">
        <v>1.4968447981807846</v>
      </c>
      <c r="CM32" s="507">
        <v>0</v>
      </c>
      <c r="CN32" s="380">
        <f t="shared" si="7"/>
        <v>0</v>
      </c>
      <c r="CO32" s="506">
        <v>0</v>
      </c>
      <c r="CP32" s="53">
        <v>1.4975684668543641</v>
      </c>
      <c r="CQ32" s="507">
        <v>0</v>
      </c>
      <c r="CR32" s="380">
        <f t="shared" si="8"/>
        <v>0</v>
      </c>
      <c r="CS32" s="506">
        <v>0</v>
      </c>
      <c r="CT32" s="53">
        <v>1.4914606168748408</v>
      </c>
      <c r="CU32" s="507">
        <v>0</v>
      </c>
      <c r="CV32" s="380">
        <f t="shared" si="9"/>
        <v>0</v>
      </c>
      <c r="CW32" s="506">
        <v>0</v>
      </c>
      <c r="CX32" s="53">
        <v>1.4929829038019904</v>
      </c>
      <c r="CY32" s="507">
        <v>0</v>
      </c>
      <c r="CZ32" s="380">
        <f t="shared" si="10"/>
        <v>0</v>
      </c>
      <c r="DA32" s="506">
        <v>0</v>
      </c>
      <c r="DB32" s="53">
        <v>1.4898992756903577</v>
      </c>
      <c r="DC32" s="507">
        <v>0</v>
      </c>
      <c r="DD32" s="380">
        <f t="shared" si="11"/>
        <v>0</v>
      </c>
      <c r="DE32" s="506">
        <v>0</v>
      </c>
      <c r="DF32" s="53">
        <v>1.5047578225460783</v>
      </c>
      <c r="DG32" s="507">
        <v>0</v>
      </c>
      <c r="DH32" s="380">
        <f t="shared" si="12"/>
        <v>0</v>
      </c>
      <c r="DI32" s="506">
        <v>0</v>
      </c>
      <c r="DJ32" s="53">
        <v>1.5021965443941787</v>
      </c>
      <c r="DK32" s="507">
        <v>0</v>
      </c>
      <c r="DL32" s="380">
        <f t="shared" si="13"/>
        <v>0</v>
      </c>
      <c r="DM32" s="506">
        <v>0</v>
      </c>
      <c r="DN32" s="53">
        <v>1.4955936618189711</v>
      </c>
      <c r="DO32" s="507">
        <v>0</v>
      </c>
      <c r="DP32" s="380">
        <f t="shared" si="14"/>
        <v>0</v>
      </c>
      <c r="DQ32" s="506">
        <v>0</v>
      </c>
      <c r="DR32" s="53">
        <v>1.4919498710322392</v>
      </c>
      <c r="DS32" s="507">
        <v>0</v>
      </c>
      <c r="DT32" s="380">
        <f t="shared" si="15"/>
        <v>0</v>
      </c>
      <c r="DU32" s="506">
        <v>0</v>
      </c>
      <c r="DV32" s="53">
        <v>1.4813999182855941</v>
      </c>
      <c r="DW32" s="507">
        <v>0</v>
      </c>
      <c r="DX32" s="380">
        <f t="shared" si="16"/>
        <v>0</v>
      </c>
      <c r="DY32" s="506">
        <v>0</v>
      </c>
      <c r="DZ32" s="53">
        <v>1.4701500000000001</v>
      </c>
      <c r="EA32" s="507">
        <v>0</v>
      </c>
      <c r="EB32" s="380">
        <f t="shared" si="17"/>
        <v>0</v>
      </c>
      <c r="EC32" s="506">
        <v>0</v>
      </c>
      <c r="ED32" s="53">
        <v>1.4619500000000001</v>
      </c>
      <c r="EE32" s="507">
        <v>0</v>
      </c>
      <c r="EF32" s="380">
        <f t="shared" si="18"/>
        <v>0</v>
      </c>
      <c r="EG32" s="506">
        <v>0</v>
      </c>
      <c r="EH32" s="53">
        <v>1.4600500000000001</v>
      </c>
      <c r="EI32" s="507">
        <v>0</v>
      </c>
      <c r="EJ32" s="380">
        <f t="shared" si="19"/>
        <v>0</v>
      </c>
      <c r="EK32" s="506">
        <v>0</v>
      </c>
      <c r="EL32" s="53">
        <v>1.4666999999999999</v>
      </c>
      <c r="EM32" s="507">
        <v>0</v>
      </c>
      <c r="EN32" s="380">
        <f t="shared" si="20"/>
        <v>0</v>
      </c>
      <c r="EO32" s="506">
        <v>0</v>
      </c>
      <c r="EP32" s="53">
        <v>1.46435</v>
      </c>
      <c r="EQ32" s="507">
        <v>0</v>
      </c>
      <c r="ER32" s="380">
        <f t="shared" si="21"/>
        <v>0</v>
      </c>
      <c r="ES32" s="506">
        <v>0</v>
      </c>
      <c r="ET32" s="53">
        <v>1.4601999999999999</v>
      </c>
      <c r="EU32" s="507">
        <v>0</v>
      </c>
      <c r="EV32" s="380">
        <f t="shared" si="22"/>
        <v>0</v>
      </c>
      <c r="EW32" s="506">
        <v>0</v>
      </c>
      <c r="EX32" s="53">
        <v>1.45035</v>
      </c>
      <c r="EY32" s="507">
        <v>0</v>
      </c>
      <c r="EZ32" s="380">
        <f t="shared" si="23"/>
        <v>0</v>
      </c>
      <c r="FA32" s="506">
        <v>0</v>
      </c>
      <c r="FB32" s="53">
        <v>1.4494</v>
      </c>
      <c r="FC32" s="507">
        <v>0</v>
      </c>
      <c r="FD32" s="380">
        <f t="shared" si="24"/>
        <v>0</v>
      </c>
      <c r="FE32" s="506">
        <v>0</v>
      </c>
      <c r="FF32" s="53">
        <v>1.4559500000000001</v>
      </c>
      <c r="FG32" s="507">
        <v>0</v>
      </c>
      <c r="FH32" s="380">
        <f t="shared" si="25"/>
        <v>0</v>
      </c>
      <c r="FI32" s="506">
        <v>0</v>
      </c>
      <c r="FJ32" s="53">
        <v>1.4536</v>
      </c>
      <c r="FK32" s="507">
        <v>0</v>
      </c>
      <c r="FL32" s="380">
        <f t="shared" si="26"/>
        <v>0</v>
      </c>
      <c r="FM32" s="506">
        <v>0</v>
      </c>
      <c r="FN32" s="53">
        <v>1.45845</v>
      </c>
      <c r="FO32" s="507">
        <v>0</v>
      </c>
      <c r="FP32" s="380">
        <f t="shared" si="27"/>
        <v>0</v>
      </c>
      <c r="FQ32" s="506">
        <v>0</v>
      </c>
      <c r="FR32" s="53">
        <v>1.4572499999999999</v>
      </c>
      <c r="FS32" s="507">
        <v>0</v>
      </c>
      <c r="FT32" s="380">
        <f t="shared" si="28"/>
        <v>0</v>
      </c>
      <c r="FU32" s="506">
        <v>0</v>
      </c>
      <c r="FV32" s="53">
        <v>1.4603999999999999</v>
      </c>
      <c r="FW32" s="507">
        <v>0</v>
      </c>
      <c r="FX32" s="380">
        <f t="shared" si="29"/>
        <v>0</v>
      </c>
      <c r="FY32" s="506">
        <v>0</v>
      </c>
      <c r="FZ32" s="53">
        <v>1.4576499999999999</v>
      </c>
      <c r="GA32" s="507">
        <v>0</v>
      </c>
      <c r="GB32" s="380">
        <f t="shared" si="30"/>
        <v>0</v>
      </c>
      <c r="GC32" s="506">
        <v>0</v>
      </c>
      <c r="GD32" s="53">
        <v>1.4608000000000001</v>
      </c>
      <c r="GE32" s="507">
        <v>0</v>
      </c>
      <c r="GF32" s="380">
        <f t="shared" si="31"/>
        <v>0</v>
      </c>
      <c r="GG32" s="506">
        <v>0</v>
      </c>
      <c r="GH32" s="53">
        <v>1.4618</v>
      </c>
      <c r="GI32" s="507">
        <v>0</v>
      </c>
      <c r="GJ32" s="380">
        <f t="shared" si="32"/>
        <v>0</v>
      </c>
      <c r="GK32" s="506">
        <v>1000000</v>
      </c>
      <c r="GL32" s="53">
        <v>1.45875</v>
      </c>
      <c r="GM32" s="507">
        <v>685518.42330762639</v>
      </c>
      <c r="GN32" s="380">
        <f t="shared" si="33"/>
        <v>685518.42330762639</v>
      </c>
      <c r="GO32" s="506">
        <v>0</v>
      </c>
      <c r="GP32" s="53">
        <v>1.4540999999999999</v>
      </c>
      <c r="GQ32" s="507">
        <v>0</v>
      </c>
      <c r="GR32" s="380">
        <f t="shared" si="34"/>
        <v>-685518.42330762639</v>
      </c>
      <c r="GS32" s="506">
        <v>0</v>
      </c>
      <c r="GT32" s="53">
        <v>1.4633</v>
      </c>
      <c r="GU32" s="507">
        <v>0</v>
      </c>
      <c r="GV32" s="380">
        <f t="shared" si="35"/>
        <v>0</v>
      </c>
      <c r="GW32" s="506">
        <v>0</v>
      </c>
      <c r="GX32" s="53">
        <v>1.4684999999999999</v>
      </c>
      <c r="GY32" s="507">
        <v>0</v>
      </c>
      <c r="GZ32" s="380">
        <f t="shared" si="36"/>
        <v>0</v>
      </c>
      <c r="HA32" s="506">
        <v>0</v>
      </c>
      <c r="HB32" s="53">
        <v>1.4674</v>
      </c>
      <c r="HC32" s="507">
        <v>0</v>
      </c>
      <c r="HD32" s="380">
        <f t="shared" si="37"/>
        <v>0</v>
      </c>
      <c r="HE32" s="506">
        <v>0</v>
      </c>
      <c r="HF32" s="53">
        <v>1.4676</v>
      </c>
      <c r="HG32" s="507">
        <v>0</v>
      </c>
      <c r="HH32" s="380">
        <f t="shared" si="38"/>
        <v>0</v>
      </c>
      <c r="HI32" s="506">
        <v>0</v>
      </c>
      <c r="HJ32" s="53">
        <v>1.4678</v>
      </c>
      <c r="HK32" s="507">
        <v>0</v>
      </c>
      <c r="HL32" s="380">
        <f t="shared" si="39"/>
        <v>0</v>
      </c>
      <c r="HM32" s="506">
        <v>0</v>
      </c>
      <c r="HN32" s="53">
        <v>1.4688000000000001</v>
      </c>
      <c r="HO32" s="507">
        <v>0</v>
      </c>
      <c r="HP32" s="380">
        <f t="shared" si="40"/>
        <v>0</v>
      </c>
      <c r="HQ32" s="506">
        <v>445000</v>
      </c>
      <c r="HR32" s="53">
        <v>1.4694</v>
      </c>
      <c r="HS32" s="507">
        <v>302844.69851640123</v>
      </c>
      <c r="HT32" s="380">
        <f t="shared" si="41"/>
        <v>302844.69851640123</v>
      </c>
      <c r="HU32" s="506">
        <v>445000</v>
      </c>
      <c r="HV32" s="53">
        <v>1.4711000000000001</v>
      </c>
      <c r="HW32" s="507">
        <v>302494.73183332197</v>
      </c>
      <c r="HX32" s="380">
        <f t="shared" si="42"/>
        <v>-349.96668307925574</v>
      </c>
      <c r="HY32" s="506">
        <v>0</v>
      </c>
      <c r="HZ32" s="53">
        <v>1.4773000000000001</v>
      </c>
      <c r="IA32" s="507">
        <v>0</v>
      </c>
      <c r="IB32" s="380">
        <f t="shared" si="43"/>
        <v>-302494.73183332197</v>
      </c>
      <c r="IC32" s="506">
        <v>0</v>
      </c>
      <c r="ID32" s="53">
        <v>1.4773000000000001</v>
      </c>
      <c r="IE32" s="507">
        <v>0</v>
      </c>
      <c r="IF32" s="380">
        <f t="shared" si="44"/>
        <v>0</v>
      </c>
      <c r="IG32" s="506">
        <v>0</v>
      </c>
      <c r="IH32" s="53">
        <v>1.4773000000000001</v>
      </c>
      <c r="II32" s="507">
        <v>0</v>
      </c>
      <c r="IJ32" s="380">
        <f t="shared" si="45"/>
        <v>0</v>
      </c>
      <c r="IK32" s="506">
        <v>0</v>
      </c>
      <c r="IL32" s="53">
        <v>1.4773000000000001</v>
      </c>
      <c r="IM32" s="507">
        <v>0</v>
      </c>
      <c r="IN32" s="380">
        <f t="shared" si="46"/>
        <v>0</v>
      </c>
      <c r="IO32" s="506">
        <v>0</v>
      </c>
      <c r="IP32" s="53">
        <v>1.4773000000000001</v>
      </c>
      <c r="IQ32" s="507">
        <v>0</v>
      </c>
      <c r="IR32" s="380">
        <f t="shared" si="47"/>
        <v>0</v>
      </c>
      <c r="IS32" s="506">
        <v>0</v>
      </c>
      <c r="IT32" s="53">
        <v>1.4773000000000001</v>
      </c>
      <c r="IU32" s="507">
        <v>0</v>
      </c>
      <c r="IV32" s="380">
        <f t="shared" si="48"/>
        <v>0</v>
      </c>
      <c r="IW32" s="506">
        <v>0</v>
      </c>
      <c r="IX32" s="53">
        <v>1.4857499999999999</v>
      </c>
      <c r="IY32" s="507">
        <v>0</v>
      </c>
      <c r="IZ32" s="380">
        <f t="shared" si="49"/>
        <v>0</v>
      </c>
    </row>
    <row r="33" spans="1:260">
      <c r="A33" s="13" t="s">
        <v>562</v>
      </c>
      <c r="B33" s="13" t="s">
        <v>563</v>
      </c>
      <c r="C33" s="13" t="s">
        <v>427</v>
      </c>
      <c r="D33" s="13" t="s">
        <v>306</v>
      </c>
      <c r="E33" s="13" t="s">
        <v>298</v>
      </c>
      <c r="F33" s="13" t="s">
        <v>428</v>
      </c>
      <c r="G33" s="13"/>
      <c r="H33" s="49" t="s">
        <v>564</v>
      </c>
      <c r="I33" s="14">
        <f>+VLOOKUP(F33,'HSBC - Banco'!$B$3:$G$39,6, FALSE)</f>
        <v>3688612211</v>
      </c>
      <c r="J33" s="14">
        <f>+VLOOKUP(E33,'Summary - Colar'!$M$39:$N$54,2,FALSE)</f>
        <v>17029.972752000001</v>
      </c>
      <c r="K33" s="54">
        <f t="shared" si="50"/>
        <v>216595.30903047445</v>
      </c>
      <c r="L33" s="506">
        <v>2351907702</v>
      </c>
      <c r="M33" s="53">
        <v>17029.972752040001</v>
      </c>
      <c r="N33" s="507">
        <v>138104.02026146915</v>
      </c>
      <c r="O33" s="506">
        <v>2351907702</v>
      </c>
      <c r="P33" s="53">
        <v>17029.972752040001</v>
      </c>
      <c r="Q33" s="507">
        <v>138104.02026146915</v>
      </c>
      <c r="R33" s="506">
        <v>7233852940</v>
      </c>
      <c r="S33" s="53">
        <v>17029.972752040001</v>
      </c>
      <c r="T33" s="507">
        <v>424771.8446368897</v>
      </c>
      <c r="U33" s="506">
        <v>7077347124</v>
      </c>
      <c r="V33" s="53">
        <v>17029.972752040001</v>
      </c>
      <c r="W33" s="507">
        <v>415581.82312136772</v>
      </c>
      <c r="X33" s="506">
        <v>2652758110</v>
      </c>
      <c r="Y33" s="53">
        <v>17029.972752040001</v>
      </c>
      <c r="Z33" s="507">
        <v>155769.9562192329</v>
      </c>
      <c r="AA33" s="506">
        <v>2630021610</v>
      </c>
      <c r="AB33" s="53">
        <v>17029.972752040001</v>
      </c>
      <c r="AC33" s="507">
        <v>154434.86893923261</v>
      </c>
      <c r="AD33" s="506">
        <v>7586210398</v>
      </c>
      <c r="AE33" s="53">
        <v>17029.972752040001</v>
      </c>
      <c r="AF33" s="507">
        <v>445462.27457065403</v>
      </c>
      <c r="AG33" s="506">
        <v>7583210398</v>
      </c>
      <c r="AH33" s="53">
        <v>17029.972752040001</v>
      </c>
      <c r="AI33" s="507">
        <v>445286.114570654</v>
      </c>
      <c r="AJ33" s="506">
        <v>7362597898</v>
      </c>
      <c r="AK33" s="53">
        <v>17029.972752040001</v>
      </c>
      <c r="AL33" s="507">
        <v>432331.74857065128</v>
      </c>
      <c r="AM33" s="506">
        <v>3123764943</v>
      </c>
      <c r="AN33" s="53">
        <v>17029.972752040001</v>
      </c>
      <c r="AO33" s="507">
        <v>183427.47745299872</v>
      </c>
      <c r="AP33" s="506">
        <v>3021679700</v>
      </c>
      <c r="AQ33" s="53">
        <v>17029.972752040001</v>
      </c>
      <c r="AR33" s="507">
        <v>177433.03198403746</v>
      </c>
      <c r="AS33" s="506">
        <v>10077417604</v>
      </c>
      <c r="AT33" s="53">
        <v>17029.97</v>
      </c>
      <c r="AU33" s="507">
        <v>591746.05733304285</v>
      </c>
      <c r="AV33" s="506">
        <v>10084565674</v>
      </c>
      <c r="AW33" s="53">
        <v>17029.972752040001</v>
      </c>
      <c r="AX33" s="507">
        <v>592165.69637740508</v>
      </c>
      <c r="AY33" s="506">
        <v>1958678167</v>
      </c>
      <c r="AZ33" s="53">
        <v>17029.972752040001</v>
      </c>
      <c r="BA33" s="507">
        <v>115013.58196626429</v>
      </c>
      <c r="BB33" s="506">
        <v>1958678167</v>
      </c>
      <c r="BC33" s="53">
        <v>17029.972752040001</v>
      </c>
      <c r="BD33" s="507">
        <v>115013.58196626429</v>
      </c>
      <c r="BE33" s="506">
        <v>1958678167</v>
      </c>
      <c r="BF33" s="53">
        <v>17029.972752040001</v>
      </c>
      <c r="BG33" s="507">
        <v>115013.58196626429</v>
      </c>
      <c r="BH33" s="380">
        <f t="shared" si="0"/>
        <v>97983.609214224285</v>
      </c>
      <c r="BI33" s="506">
        <v>1958678167</v>
      </c>
      <c r="BJ33" s="53">
        <v>17029.972752040001</v>
      </c>
      <c r="BK33" s="507">
        <v>115013.58196626429</v>
      </c>
      <c r="BL33" s="380">
        <f t="shared" si="1"/>
        <v>0</v>
      </c>
      <c r="BM33" s="506">
        <v>1958678167</v>
      </c>
      <c r="BN33" s="53">
        <v>17029.972752040001</v>
      </c>
      <c r="BO33" s="507">
        <v>115013.58196626429</v>
      </c>
      <c r="BP33">
        <v>-248904.27111765256</v>
      </c>
      <c r="BQ33" s="506">
        <v>1958678167</v>
      </c>
      <c r="BR33" s="53">
        <v>17029.972752040001</v>
      </c>
      <c r="BS33" s="507">
        <v>115013.58196626429</v>
      </c>
      <c r="BT33" s="380">
        <f t="shared" si="2"/>
        <v>0</v>
      </c>
      <c r="BU33" s="506">
        <v>1958678167</v>
      </c>
      <c r="BV33" s="53">
        <v>17029.972752040001</v>
      </c>
      <c r="BW33" s="507">
        <v>115013.58196626429</v>
      </c>
      <c r="BX33" s="380">
        <f t="shared" si="3"/>
        <v>0</v>
      </c>
      <c r="BY33" s="506">
        <v>1808737984</v>
      </c>
      <c r="BZ33" s="53">
        <v>17029.972752040001</v>
      </c>
      <c r="CA33" s="507">
        <v>106209.09442050243</v>
      </c>
      <c r="CB33" s="380">
        <f t="shared" si="4"/>
        <v>-8804.4875457618618</v>
      </c>
      <c r="CC33" s="506">
        <v>7268737984</v>
      </c>
      <c r="CD33" s="53">
        <v>17029.972752040001</v>
      </c>
      <c r="CE33" s="507">
        <v>426820.29442057014</v>
      </c>
      <c r="CF33" s="380">
        <f t="shared" si="5"/>
        <v>320611.20000006771</v>
      </c>
      <c r="CG33" s="506">
        <v>7268737984</v>
      </c>
      <c r="CH33" s="53">
        <v>17029.972752040001</v>
      </c>
      <c r="CI33" s="507">
        <v>426820.29442057014</v>
      </c>
      <c r="CJ33" s="380">
        <f t="shared" si="6"/>
        <v>0</v>
      </c>
      <c r="CK33" s="506">
        <v>7179937984</v>
      </c>
      <c r="CL33" s="53">
        <v>17029.972752040001</v>
      </c>
      <c r="CM33" s="507">
        <v>421605.95842056902</v>
      </c>
      <c r="CN33" s="380">
        <f t="shared" si="7"/>
        <v>-5214.3360000011162</v>
      </c>
      <c r="CO33" s="506">
        <v>7179937984</v>
      </c>
      <c r="CP33" s="53">
        <v>17029.972752040001</v>
      </c>
      <c r="CQ33" s="507">
        <v>421605.95842056902</v>
      </c>
      <c r="CR33" s="380">
        <f t="shared" si="8"/>
        <v>0</v>
      </c>
      <c r="CS33" s="506">
        <v>7143637984</v>
      </c>
      <c r="CT33" s="53">
        <v>17029.972752040001</v>
      </c>
      <c r="CU33" s="507">
        <v>419474.42242056859</v>
      </c>
      <c r="CV33" s="380">
        <f t="shared" si="9"/>
        <v>-2131.5360000004293</v>
      </c>
      <c r="CW33" s="506">
        <v>7143637984</v>
      </c>
      <c r="CX33" s="53">
        <v>17029.972752040001</v>
      </c>
      <c r="CY33" s="507">
        <v>419474.42242056859</v>
      </c>
      <c r="CZ33" s="380">
        <f t="shared" si="10"/>
        <v>0</v>
      </c>
      <c r="DA33" s="506">
        <v>7143637984</v>
      </c>
      <c r="DB33" s="53">
        <v>17029.972752040001</v>
      </c>
      <c r="DC33" s="507">
        <v>419474.42242056859</v>
      </c>
      <c r="DD33" s="380">
        <f t="shared" si="11"/>
        <v>0</v>
      </c>
      <c r="DE33" s="506">
        <v>7143637984</v>
      </c>
      <c r="DF33" s="53">
        <v>17029.972752040001</v>
      </c>
      <c r="DG33" s="507">
        <v>419474.42242056859</v>
      </c>
      <c r="DH33" s="380">
        <f t="shared" si="12"/>
        <v>0</v>
      </c>
      <c r="DI33" s="506">
        <v>3451236410</v>
      </c>
      <c r="DJ33" s="53">
        <v>17029.972752040001</v>
      </c>
      <c r="DK33" s="507">
        <v>202656.60199524279</v>
      </c>
      <c r="DL33" s="380">
        <f t="shared" si="13"/>
        <v>-216817.8204253258</v>
      </c>
      <c r="DM33" s="506">
        <v>2566935055</v>
      </c>
      <c r="DN33" s="53">
        <v>17029.972752040001</v>
      </c>
      <c r="DO33" s="507">
        <v>150730.42642963183</v>
      </c>
      <c r="DP33" s="380">
        <f t="shared" si="14"/>
        <v>-51926.17556561096</v>
      </c>
      <c r="DQ33" s="506">
        <v>2560617969</v>
      </c>
      <c r="DR33" s="53">
        <v>17029.972752040001</v>
      </c>
      <c r="DS33" s="507">
        <v>150359.48713971174</v>
      </c>
      <c r="DT33" s="380">
        <f t="shared" si="15"/>
        <v>-370.93928992009023</v>
      </c>
      <c r="DU33" s="506">
        <v>2560617969</v>
      </c>
      <c r="DV33" s="53">
        <v>17029.972752040001</v>
      </c>
      <c r="DW33" s="507">
        <v>150359.48713971174</v>
      </c>
      <c r="DX33" s="380">
        <f t="shared" si="16"/>
        <v>0</v>
      </c>
      <c r="DY33" s="506">
        <v>2555778415</v>
      </c>
      <c r="DZ33" s="53">
        <v>17029.972752000001</v>
      </c>
      <c r="EA33" s="507">
        <v>150075.30852918417</v>
      </c>
      <c r="EB33" s="380">
        <f t="shared" si="17"/>
        <v>-284.1786105275678</v>
      </c>
      <c r="EC33" s="506">
        <v>2555778415</v>
      </c>
      <c r="ED33" s="53">
        <v>17029.972752000001</v>
      </c>
      <c r="EE33" s="507">
        <v>150075.30852918417</v>
      </c>
      <c r="EF33" s="380">
        <f t="shared" si="18"/>
        <v>0</v>
      </c>
      <c r="EG33" s="506">
        <v>2459223914</v>
      </c>
      <c r="EH33" s="53">
        <v>17029.972752000001</v>
      </c>
      <c r="EI33" s="507">
        <v>144405.62823044966</v>
      </c>
      <c r="EJ33" s="380">
        <f t="shared" si="19"/>
        <v>-5669.6802987345145</v>
      </c>
      <c r="EK33" s="506">
        <v>2459223914</v>
      </c>
      <c r="EL33" s="53">
        <v>17029.972752000001</v>
      </c>
      <c r="EM33" s="507">
        <v>144405.62823044966</v>
      </c>
      <c r="EN33" s="380">
        <f t="shared" si="20"/>
        <v>0</v>
      </c>
      <c r="EO33" s="506">
        <v>7995723914</v>
      </c>
      <c r="EP33" s="53">
        <v>17029.972752000001</v>
      </c>
      <c r="EQ33" s="507">
        <v>469508.90823128191</v>
      </c>
      <c r="ER33" s="380">
        <f t="shared" si="21"/>
        <v>325103.28000083228</v>
      </c>
      <c r="ES33" s="506">
        <v>7989463727</v>
      </c>
      <c r="ET33" s="53">
        <v>17029.972752000001</v>
      </c>
      <c r="EU33" s="507">
        <v>469141.31005064095</v>
      </c>
      <c r="EV33" s="380">
        <f t="shared" si="22"/>
        <v>-367.59818064095452</v>
      </c>
      <c r="EW33" s="506">
        <v>7989463727</v>
      </c>
      <c r="EX33" s="53">
        <v>17029.972752000001</v>
      </c>
      <c r="EY33" s="507">
        <v>469141.31005064095</v>
      </c>
      <c r="EZ33" s="380">
        <f t="shared" si="23"/>
        <v>0</v>
      </c>
      <c r="FA33" s="506">
        <v>7989463727</v>
      </c>
      <c r="FB33" s="53">
        <v>17029.972752000001</v>
      </c>
      <c r="FC33" s="507">
        <v>469141.31005064095</v>
      </c>
      <c r="FD33" s="380">
        <f t="shared" si="24"/>
        <v>0</v>
      </c>
      <c r="FE33" s="506">
        <v>7954995868</v>
      </c>
      <c r="FF33" s="53">
        <v>17029.972752000001</v>
      </c>
      <c r="FG33" s="507">
        <v>467117.35737015581</v>
      </c>
      <c r="FH33" s="380">
        <f t="shared" si="25"/>
        <v>-2023.9526804851484</v>
      </c>
      <c r="FI33" s="506">
        <v>8027306005</v>
      </c>
      <c r="FJ33" s="53">
        <v>17029.972752000001</v>
      </c>
      <c r="FK33" s="507">
        <v>471363.40861480666</v>
      </c>
      <c r="FL33" s="380">
        <f t="shared" si="26"/>
        <v>4246.051244650851</v>
      </c>
      <c r="FM33" s="506">
        <v>8027306005</v>
      </c>
      <c r="FN33" s="53">
        <v>17029.972752000001</v>
      </c>
      <c r="FO33" s="507">
        <v>471363.40861480666</v>
      </c>
      <c r="FP33" s="380">
        <f t="shared" si="27"/>
        <v>0</v>
      </c>
      <c r="FQ33" s="506">
        <v>8027306005</v>
      </c>
      <c r="FR33" s="53">
        <v>17029.972752000001</v>
      </c>
      <c r="FS33" s="507">
        <v>471363.40861480666</v>
      </c>
      <c r="FT33" s="380">
        <f t="shared" si="28"/>
        <v>0</v>
      </c>
      <c r="FU33" s="506">
        <v>8016646464</v>
      </c>
      <c r="FV33" s="53">
        <v>17029.972752000001</v>
      </c>
      <c r="FW33" s="507">
        <v>470737.48036728502</v>
      </c>
      <c r="FX33" s="380">
        <f t="shared" si="29"/>
        <v>-625.92824752163142</v>
      </c>
      <c r="FY33" s="506">
        <v>3479745455</v>
      </c>
      <c r="FZ33" s="53">
        <v>17029.972752000001</v>
      </c>
      <c r="GA33" s="507">
        <v>204330.65311812307</v>
      </c>
      <c r="GB33" s="380">
        <f t="shared" si="30"/>
        <v>-266406.82724916196</v>
      </c>
      <c r="GC33" s="506">
        <v>3479745455</v>
      </c>
      <c r="GD33" s="53">
        <v>17029.972752000001</v>
      </c>
      <c r="GE33" s="507">
        <v>204330.65311812307</v>
      </c>
      <c r="GF33" s="380">
        <f t="shared" si="31"/>
        <v>0</v>
      </c>
      <c r="GG33" s="506">
        <v>3479745455</v>
      </c>
      <c r="GH33" s="53">
        <v>17029.972752000001</v>
      </c>
      <c r="GI33" s="507">
        <v>204330.65311812307</v>
      </c>
      <c r="GJ33" s="380">
        <f t="shared" si="32"/>
        <v>0</v>
      </c>
      <c r="GK33" s="506">
        <v>3157370692</v>
      </c>
      <c r="GL33" s="53">
        <v>17029.972752000001</v>
      </c>
      <c r="GM33" s="507">
        <v>185400.80703471461</v>
      </c>
      <c r="GN33" s="380">
        <f t="shared" si="33"/>
        <v>-18929.846083408454</v>
      </c>
      <c r="GO33" s="506">
        <v>3157370692</v>
      </c>
      <c r="GP33" s="53">
        <v>17029.972752000001</v>
      </c>
      <c r="GQ33" s="507">
        <v>185400.80703471461</v>
      </c>
      <c r="GR33" s="380">
        <f t="shared" si="34"/>
        <v>0</v>
      </c>
      <c r="GS33" s="506">
        <v>3157370692</v>
      </c>
      <c r="GT33" s="53">
        <v>17029.972752000001</v>
      </c>
      <c r="GU33" s="507">
        <v>185400.80703471461</v>
      </c>
      <c r="GV33" s="380">
        <f t="shared" si="35"/>
        <v>0</v>
      </c>
      <c r="GW33" s="506">
        <v>3157370692</v>
      </c>
      <c r="GX33" s="53">
        <v>17029.972752000001</v>
      </c>
      <c r="GY33" s="507">
        <v>185400.80703471461</v>
      </c>
      <c r="GZ33" s="380">
        <f t="shared" si="36"/>
        <v>0</v>
      </c>
      <c r="HA33" s="506">
        <v>3157370692</v>
      </c>
      <c r="HB33" s="53">
        <v>17029.972752000001</v>
      </c>
      <c r="HC33" s="507">
        <v>185400.80703471461</v>
      </c>
      <c r="HD33" s="380">
        <f t="shared" si="37"/>
        <v>0</v>
      </c>
      <c r="HE33" s="506">
        <v>3060816191</v>
      </c>
      <c r="HF33" s="53">
        <v>17029.972752000001</v>
      </c>
      <c r="HG33" s="507">
        <v>179731.1267359801</v>
      </c>
      <c r="HH33" s="380">
        <f t="shared" si="38"/>
        <v>-5669.6802987345145</v>
      </c>
      <c r="HI33" s="506">
        <v>3048283321</v>
      </c>
      <c r="HJ33" s="53">
        <v>17029.972752000001</v>
      </c>
      <c r="HK33" s="507">
        <v>178995.19660957821</v>
      </c>
      <c r="HL33" s="380">
        <f t="shared" si="39"/>
        <v>-735.93012640188681</v>
      </c>
      <c r="HM33" s="506">
        <v>3048283321</v>
      </c>
      <c r="HN33" s="53">
        <v>17029.972752000001</v>
      </c>
      <c r="HO33" s="507">
        <v>178995.19660957821</v>
      </c>
      <c r="HP33" s="380">
        <f t="shared" si="40"/>
        <v>0</v>
      </c>
      <c r="HQ33" s="506">
        <v>2772978481</v>
      </c>
      <c r="HR33" s="53">
        <v>17029.972752000001</v>
      </c>
      <c r="HS33" s="507">
        <v>162829.29640473682</v>
      </c>
      <c r="HT33" s="380">
        <f t="shared" si="41"/>
        <v>-16165.900204841397</v>
      </c>
      <c r="HU33" s="506">
        <v>2769978481</v>
      </c>
      <c r="HV33" s="53">
        <v>17029.972752000001</v>
      </c>
      <c r="HW33" s="507">
        <v>162653.13640473637</v>
      </c>
      <c r="HX33" s="380">
        <f t="shared" si="42"/>
        <v>-176.16000000044005</v>
      </c>
      <c r="HY33" s="506">
        <v>8365853481</v>
      </c>
      <c r="HZ33" s="53">
        <v>17029.972752000001</v>
      </c>
      <c r="IA33" s="507">
        <v>491242.91640557756</v>
      </c>
      <c r="IB33" s="380">
        <f t="shared" si="43"/>
        <v>328589.78000084119</v>
      </c>
      <c r="IC33" s="506">
        <v>8343116981</v>
      </c>
      <c r="ID33" s="53">
        <v>17029.972752000001</v>
      </c>
      <c r="IE33" s="507">
        <v>489907.82912557415</v>
      </c>
      <c r="IF33" s="380">
        <f t="shared" si="44"/>
        <v>-1335.0872800034122</v>
      </c>
      <c r="IG33" s="506">
        <v>8340498390</v>
      </c>
      <c r="IH33" s="53">
        <v>17029.972752000001</v>
      </c>
      <c r="II33" s="507">
        <v>489754.06546205375</v>
      </c>
      <c r="IJ33" s="380">
        <f t="shared" si="45"/>
        <v>-153.76366352039622</v>
      </c>
      <c r="IK33" s="506">
        <v>8330095221</v>
      </c>
      <c r="IL33" s="53">
        <v>17029.972752000001</v>
      </c>
      <c r="IM33" s="507">
        <v>489143.19137837214</v>
      </c>
      <c r="IN33" s="380">
        <f t="shared" si="46"/>
        <v>-610.87408368161414</v>
      </c>
      <c r="IO33" s="506">
        <v>8330095221</v>
      </c>
      <c r="IP33" s="53">
        <v>17029.972752000001</v>
      </c>
      <c r="IQ33" s="507">
        <v>489143.19137837214</v>
      </c>
      <c r="IR33" s="380">
        <f t="shared" si="47"/>
        <v>0</v>
      </c>
      <c r="IS33" s="506">
        <v>3696505663</v>
      </c>
      <c r="IT33" s="53">
        <v>17029.972752000001</v>
      </c>
      <c r="IU33" s="507">
        <v>217058.81253191564</v>
      </c>
      <c r="IV33" s="380">
        <f t="shared" si="48"/>
        <v>-272084.37884645653</v>
      </c>
      <c r="IW33" s="506">
        <v>3688612211</v>
      </c>
      <c r="IX33" s="53">
        <v>17029.972752000001</v>
      </c>
      <c r="IY33" s="507">
        <v>216595.30903047445</v>
      </c>
      <c r="IZ33" s="380">
        <f t="shared" si="49"/>
        <v>-463.5035014411842</v>
      </c>
    </row>
    <row r="34" spans="1:260">
      <c r="A34" s="13" t="s">
        <v>485</v>
      </c>
      <c r="B34" s="13" t="s">
        <v>486</v>
      </c>
      <c r="C34" s="13" t="s">
        <v>411</v>
      </c>
      <c r="D34" s="13" t="s">
        <v>306</v>
      </c>
      <c r="E34" s="13" t="s">
        <v>7</v>
      </c>
      <c r="F34" s="13" t="s">
        <v>412</v>
      </c>
      <c r="G34" s="13"/>
      <c r="H34" s="49" t="s">
        <v>565</v>
      </c>
      <c r="I34" s="14">
        <f>+VLOOKUP(F34,'HSBC - Banco'!$B$3:$G$39,6, FALSE)</f>
        <v>744835.5</v>
      </c>
      <c r="J34" s="14">
        <f>+VLOOKUP(E34,'Summary - Colar'!$M$39:$N$54,2,FALSE)</f>
        <v>1.7834989999999999</v>
      </c>
      <c r="K34" s="54">
        <f t="shared" si="50"/>
        <v>417625.97007343429</v>
      </c>
      <c r="L34" s="506">
        <v>332207.86</v>
      </c>
      <c r="M34" s="53">
        <v>1.6762506216136279</v>
      </c>
      <c r="N34" s="507">
        <v>198185.07788543159</v>
      </c>
      <c r="O34" s="506">
        <v>332207.86</v>
      </c>
      <c r="P34" s="53">
        <v>1.6552497749305537</v>
      </c>
      <c r="Q34" s="507">
        <v>200699.53491698124</v>
      </c>
      <c r="R34" s="506">
        <v>433857.36</v>
      </c>
      <c r="S34" s="53">
        <v>1.6652497894963976</v>
      </c>
      <c r="T34" s="507">
        <v>260535.90442500912</v>
      </c>
      <c r="U34" s="506">
        <v>427209.47</v>
      </c>
      <c r="V34" s="53">
        <v>1.6640511135285163</v>
      </c>
      <c r="W34" s="507">
        <v>256728.57433695591</v>
      </c>
      <c r="X34" s="506">
        <v>171985.45</v>
      </c>
      <c r="Y34" s="53">
        <v>1.6601001793653798</v>
      </c>
      <c r="Z34" s="507">
        <v>103599.4406468568</v>
      </c>
      <c r="AA34" s="506">
        <v>915686.37</v>
      </c>
      <c r="AB34" s="53">
        <v>1.6702004061495201</v>
      </c>
      <c r="AC34" s="507">
        <v>548249.39966996131</v>
      </c>
      <c r="AD34" s="506">
        <v>550185.06000000006</v>
      </c>
      <c r="AE34" s="53">
        <v>1.6520495602796699</v>
      </c>
      <c r="AF34" s="507">
        <v>333031.81286332663</v>
      </c>
      <c r="AG34" s="506">
        <v>549371.5</v>
      </c>
      <c r="AH34" s="53">
        <v>1.6506494529864222</v>
      </c>
      <c r="AI34" s="507">
        <v>332821.42311079724</v>
      </c>
      <c r="AJ34" s="506">
        <v>541872.80000000005</v>
      </c>
      <c r="AK34" s="53">
        <v>1.6388502142715724</v>
      </c>
      <c r="AL34" s="507">
        <v>330642.0533623012</v>
      </c>
      <c r="AM34" s="506">
        <v>309194.48</v>
      </c>
      <c r="AN34" s="53">
        <v>1.6741504676220269</v>
      </c>
      <c r="AO34" s="507">
        <v>184687.38980145651</v>
      </c>
      <c r="AP34" s="506">
        <v>735229.34</v>
      </c>
      <c r="AQ34" s="53">
        <v>1.7255616520623482</v>
      </c>
      <c r="AR34" s="507">
        <v>426081.17717571679</v>
      </c>
      <c r="AS34" s="506">
        <v>735276.14</v>
      </c>
      <c r="AT34" s="53">
        <v>1.7235389999999999</v>
      </c>
      <c r="AU34" s="507">
        <v>426608.35641085001</v>
      </c>
      <c r="AV34" s="506">
        <v>842387.52</v>
      </c>
      <c r="AW34" s="53">
        <v>1.7237537342788192</v>
      </c>
      <c r="AX34" s="507">
        <v>488693.65922066383</v>
      </c>
      <c r="AY34" s="506">
        <v>1380725.03</v>
      </c>
      <c r="AZ34" s="53">
        <v>1.7116525557924964</v>
      </c>
      <c r="BA34" s="507">
        <v>806661.97431681643</v>
      </c>
      <c r="BB34" s="506">
        <v>630296.03</v>
      </c>
      <c r="BC34" s="53">
        <v>1.7315000060341603</v>
      </c>
      <c r="BD34" s="507">
        <v>364017.34207534569</v>
      </c>
      <c r="BE34" s="506">
        <v>730439.04</v>
      </c>
      <c r="BF34" s="53">
        <v>1.7252485914481352</v>
      </c>
      <c r="BG34" s="507">
        <v>423381.90775561554</v>
      </c>
      <c r="BH34" s="380">
        <f t="shared" si="0"/>
        <v>423380.17625560949</v>
      </c>
      <c r="BI34" s="506">
        <v>731945.88</v>
      </c>
      <c r="BJ34" s="53">
        <v>1.7131536405228069</v>
      </c>
      <c r="BK34" s="507">
        <v>427250.57618103095</v>
      </c>
      <c r="BL34" s="380">
        <f t="shared" si="1"/>
        <v>3868.6684254154097</v>
      </c>
      <c r="BM34" s="506">
        <v>731945.88</v>
      </c>
      <c r="BN34" s="53">
        <v>1.7436491500325124</v>
      </c>
      <c r="BO34" s="507">
        <v>419778.18759373238</v>
      </c>
      <c r="BP34">
        <v>-145954.6635608447</v>
      </c>
      <c r="BQ34" s="506">
        <v>731945.88</v>
      </c>
      <c r="BR34" s="53">
        <v>1.8094492832516784</v>
      </c>
      <c r="BS34" s="507">
        <v>404513.06747026014</v>
      </c>
      <c r="BT34" s="380">
        <f t="shared" si="2"/>
        <v>-15265.120123472239</v>
      </c>
      <c r="BU34" s="506">
        <v>769739.1</v>
      </c>
      <c r="BV34" s="53">
        <v>1.8155542532672582</v>
      </c>
      <c r="BW34" s="507">
        <v>423969.20863961137</v>
      </c>
      <c r="BX34" s="380">
        <f t="shared" si="3"/>
        <v>19456.141169351235</v>
      </c>
      <c r="BY34" s="506">
        <v>769739.1</v>
      </c>
      <c r="BZ34" s="53">
        <v>1.8062025595888356</v>
      </c>
      <c r="CA34" s="507">
        <v>426164.32797837671</v>
      </c>
      <c r="CB34" s="380">
        <f t="shared" si="4"/>
        <v>2195.1193387653329</v>
      </c>
      <c r="CC34" s="506">
        <v>768197.07</v>
      </c>
      <c r="CD34" s="53">
        <v>1.8386526150814457</v>
      </c>
      <c r="CE34" s="507">
        <v>417804.35504722653</v>
      </c>
      <c r="CF34" s="380">
        <f t="shared" si="5"/>
        <v>-8359.9729311501724</v>
      </c>
      <c r="CG34" s="506">
        <v>768197.07</v>
      </c>
      <c r="CH34" s="53">
        <v>1.7905037650517905</v>
      </c>
      <c r="CI34" s="507">
        <v>429039.62839630205</v>
      </c>
      <c r="CJ34" s="380">
        <f t="shared" si="6"/>
        <v>11235.27334907552</v>
      </c>
      <c r="CK34" s="506">
        <v>956525.09</v>
      </c>
      <c r="CL34" s="53">
        <v>1.8159985431036445</v>
      </c>
      <c r="CM34" s="507">
        <v>526721.28710260103</v>
      </c>
      <c r="CN34" s="380">
        <f t="shared" si="7"/>
        <v>97681.658706298971</v>
      </c>
      <c r="CO34" s="506">
        <v>956222.29</v>
      </c>
      <c r="CP34" s="53">
        <v>1.8035483159911603</v>
      </c>
      <c r="CQ34" s="507">
        <v>530189.45016424323</v>
      </c>
      <c r="CR34" s="380">
        <f t="shared" si="8"/>
        <v>3468.1630616422044</v>
      </c>
      <c r="CS34" s="506">
        <v>956168.39</v>
      </c>
      <c r="CT34" s="53">
        <v>1.7815469477539443</v>
      </c>
      <c r="CU34" s="507">
        <v>536706.81606537139</v>
      </c>
      <c r="CV34" s="380">
        <f t="shared" si="9"/>
        <v>6517.3659011281561</v>
      </c>
      <c r="CW34" s="506">
        <v>956168.39</v>
      </c>
      <c r="CX34" s="53">
        <v>1.7830501276800232</v>
      </c>
      <c r="CY34" s="507">
        <v>536254.35154989036</v>
      </c>
      <c r="CZ34" s="380">
        <f t="shared" si="10"/>
        <v>-452.46451548102777</v>
      </c>
      <c r="DA34" s="506">
        <v>1111165.3400000001</v>
      </c>
      <c r="DB34" s="53">
        <v>1.7781022060503398</v>
      </c>
      <c r="DC34" s="507">
        <v>624916.46218031971</v>
      </c>
      <c r="DD34" s="380">
        <f t="shared" si="11"/>
        <v>88662.11063042935</v>
      </c>
      <c r="DE34" s="506">
        <v>1111165.3400000001</v>
      </c>
      <c r="DF34" s="53">
        <v>1.7969467110412831</v>
      </c>
      <c r="DG34" s="507">
        <v>618362.98938219994</v>
      </c>
      <c r="DH34" s="380">
        <f t="shared" si="12"/>
        <v>-6553.4727981197648</v>
      </c>
      <c r="DI34" s="506">
        <v>1073767.78</v>
      </c>
      <c r="DJ34" s="53">
        <v>1.7959454743975056</v>
      </c>
      <c r="DK34" s="507">
        <v>597884.39866762771</v>
      </c>
      <c r="DL34" s="380">
        <f t="shared" si="13"/>
        <v>-20478.59071457223</v>
      </c>
      <c r="DM34" s="506">
        <v>1073767.78</v>
      </c>
      <c r="DN34" s="53">
        <v>1.7790042928025869</v>
      </c>
      <c r="DO34" s="507">
        <v>603577.95894265117</v>
      </c>
      <c r="DP34" s="380">
        <f t="shared" si="14"/>
        <v>5693.5602750234539</v>
      </c>
      <c r="DQ34" s="506">
        <v>573767.78</v>
      </c>
      <c r="DR34" s="53">
        <v>1.7750458919730767</v>
      </c>
      <c r="DS34" s="507">
        <v>323241.09624130366</v>
      </c>
      <c r="DT34" s="380">
        <f t="shared" si="15"/>
        <v>-280336.86270134751</v>
      </c>
      <c r="DU34" s="506">
        <v>573209.23</v>
      </c>
      <c r="DV34" s="53">
        <v>1.7711542197430132</v>
      </c>
      <c r="DW34" s="507">
        <v>323635.97907536826</v>
      </c>
      <c r="DX34" s="380">
        <f t="shared" si="16"/>
        <v>394.88283406459959</v>
      </c>
      <c r="DY34" s="506">
        <v>573209.23</v>
      </c>
      <c r="DZ34" s="53">
        <v>1.7635000000000001</v>
      </c>
      <c r="EA34" s="507">
        <v>325040.67479444284</v>
      </c>
      <c r="EB34" s="380">
        <f t="shared" si="17"/>
        <v>1404.6957190745743</v>
      </c>
      <c r="EC34" s="506">
        <v>573209.23</v>
      </c>
      <c r="ED34" s="53">
        <v>1.749452</v>
      </c>
      <c r="EE34" s="507">
        <v>327650.73291522142</v>
      </c>
      <c r="EF34" s="380">
        <f t="shared" si="18"/>
        <v>2610.0581207785872</v>
      </c>
      <c r="EG34" s="506">
        <v>573209.23</v>
      </c>
      <c r="EH34" s="53">
        <v>1.75295</v>
      </c>
      <c r="EI34" s="507">
        <v>326996.90806925466</v>
      </c>
      <c r="EJ34" s="380">
        <f t="shared" si="19"/>
        <v>-653.82484596676659</v>
      </c>
      <c r="EK34" s="506">
        <v>571887.9</v>
      </c>
      <c r="EL34" s="53">
        <v>1.754453</v>
      </c>
      <c r="EM34" s="507">
        <v>325963.64792901266</v>
      </c>
      <c r="EN34" s="380">
        <f t="shared" si="20"/>
        <v>-1033.2601402419969</v>
      </c>
      <c r="EO34" s="506">
        <v>570381.06000000006</v>
      </c>
      <c r="EP34" s="53">
        <v>1.760348</v>
      </c>
      <c r="EQ34" s="507">
        <v>324016.08091127442</v>
      </c>
      <c r="ER34" s="380">
        <f t="shared" si="21"/>
        <v>-1947.5670177382417</v>
      </c>
      <c r="ES34" s="506">
        <v>570381.06000000006</v>
      </c>
      <c r="ET34" s="53">
        <v>1.7571490000000001</v>
      </c>
      <c r="EU34" s="507">
        <v>324605.97251570586</v>
      </c>
      <c r="EV34" s="380">
        <f t="shared" si="22"/>
        <v>589.89160443143919</v>
      </c>
      <c r="EW34" s="506">
        <v>568863.14</v>
      </c>
      <c r="EX34" s="53">
        <v>1.7376480000000001</v>
      </c>
      <c r="EY34" s="507">
        <v>327375.36025708314</v>
      </c>
      <c r="EZ34" s="380">
        <f t="shared" si="23"/>
        <v>2769.3877413772861</v>
      </c>
      <c r="FA34" s="506">
        <v>569519.18000000005</v>
      </c>
      <c r="FB34" s="53">
        <v>1.733052</v>
      </c>
      <c r="FC34" s="507">
        <v>328622.09558628366</v>
      </c>
      <c r="FD34" s="380">
        <f t="shared" si="24"/>
        <v>1246.7353292005137</v>
      </c>
      <c r="FE34" s="506">
        <v>569519.18000000005</v>
      </c>
      <c r="FF34" s="53">
        <v>1.7327980000000001</v>
      </c>
      <c r="FG34" s="507">
        <v>328670.26623991953</v>
      </c>
      <c r="FH34" s="380">
        <f t="shared" si="25"/>
        <v>48.170653635868803</v>
      </c>
      <c r="FI34" s="506">
        <v>564899.86</v>
      </c>
      <c r="FJ34" s="53">
        <v>1.7445550000000001</v>
      </c>
      <c r="FK34" s="507">
        <v>323807.42366964638</v>
      </c>
      <c r="FL34" s="380">
        <f t="shared" si="26"/>
        <v>-4862.8425702731474</v>
      </c>
      <c r="FM34" s="506">
        <v>564899.86</v>
      </c>
      <c r="FN34" s="53">
        <v>1.7476499999999999</v>
      </c>
      <c r="FO34" s="507">
        <v>323233.97705490229</v>
      </c>
      <c r="FP34" s="380">
        <f t="shared" si="27"/>
        <v>-573.44661474408349</v>
      </c>
      <c r="FQ34" s="506">
        <v>564899.86</v>
      </c>
      <c r="FR34" s="53">
        <v>1.7536529999999999</v>
      </c>
      <c r="FS34" s="507">
        <v>322127.50184899749</v>
      </c>
      <c r="FT34" s="380">
        <f t="shared" si="28"/>
        <v>-1106.4752059048042</v>
      </c>
      <c r="FU34" s="506">
        <v>2303823.86</v>
      </c>
      <c r="FV34" s="53">
        <v>1.7570520000000001</v>
      </c>
      <c r="FW34" s="507">
        <v>1311187.0678841604</v>
      </c>
      <c r="FX34" s="380">
        <f t="shared" si="29"/>
        <v>989059.56603516289</v>
      </c>
      <c r="FY34" s="506">
        <v>662392.42000000004</v>
      </c>
      <c r="FZ34" s="53">
        <v>1.7579499999999999</v>
      </c>
      <c r="GA34" s="507">
        <v>376798.21382860723</v>
      </c>
      <c r="GB34" s="380">
        <f t="shared" si="30"/>
        <v>-934388.85405555321</v>
      </c>
      <c r="GC34" s="506">
        <v>662392.42000000004</v>
      </c>
      <c r="GD34" s="53">
        <v>1.7475499999999999</v>
      </c>
      <c r="GE34" s="507">
        <v>379040.61114131217</v>
      </c>
      <c r="GF34" s="380">
        <f t="shared" si="31"/>
        <v>2242.3973127049394</v>
      </c>
      <c r="GG34" s="506">
        <v>610974.9</v>
      </c>
      <c r="GH34" s="53">
        <v>1.7613000000000001</v>
      </c>
      <c r="GI34" s="507">
        <v>346888.60500766477</v>
      </c>
      <c r="GJ34" s="380">
        <f t="shared" si="32"/>
        <v>-32152.006133647403</v>
      </c>
      <c r="GK34" s="506">
        <v>785962.47</v>
      </c>
      <c r="GL34" s="53">
        <v>1.7583009999999999</v>
      </c>
      <c r="GM34" s="507">
        <v>447001.0936694002</v>
      </c>
      <c r="GN34" s="380">
        <f t="shared" si="33"/>
        <v>100112.48866173544</v>
      </c>
      <c r="GO34" s="506">
        <v>945445.37</v>
      </c>
      <c r="GP34" s="53">
        <v>1.7518530000000001</v>
      </c>
      <c r="GQ34" s="507">
        <v>539683.04989060154</v>
      </c>
      <c r="GR34" s="380">
        <f t="shared" si="34"/>
        <v>92681.956221201341</v>
      </c>
      <c r="GS34" s="506">
        <v>944789.33</v>
      </c>
      <c r="GT34" s="53">
        <v>1.7654510000000001</v>
      </c>
      <c r="GU34" s="507">
        <v>535154.66019730933</v>
      </c>
      <c r="GV34" s="380">
        <f t="shared" si="35"/>
        <v>-4528.3896932922071</v>
      </c>
      <c r="GW34" s="506">
        <v>944789.33</v>
      </c>
      <c r="GX34" s="53">
        <v>1.761747</v>
      </c>
      <c r="GY34" s="507">
        <v>536279.80067512533</v>
      </c>
      <c r="GZ34" s="380">
        <f t="shared" si="36"/>
        <v>1125.1404778159922</v>
      </c>
      <c r="HA34" s="506">
        <v>944789.33</v>
      </c>
      <c r="HB34" s="53">
        <v>1.7637529999999999</v>
      </c>
      <c r="HC34" s="507">
        <v>535669.86420434155</v>
      </c>
      <c r="HD34" s="380">
        <f t="shared" si="37"/>
        <v>-609.93647078378126</v>
      </c>
      <c r="HE34" s="506">
        <v>944789.33</v>
      </c>
      <c r="HF34" s="53">
        <v>1.7546459999999999</v>
      </c>
      <c r="HG34" s="507">
        <v>538450.10902484029</v>
      </c>
      <c r="HH34" s="380">
        <f t="shared" si="38"/>
        <v>2780.244820498745</v>
      </c>
      <c r="HI34" s="506">
        <v>944789.33</v>
      </c>
      <c r="HJ34" s="53">
        <v>1.7553510000000001</v>
      </c>
      <c r="HK34" s="507">
        <v>538233.85180513747</v>
      </c>
      <c r="HL34" s="380">
        <f t="shared" si="39"/>
        <v>-216.25721970282029</v>
      </c>
      <c r="HM34" s="506">
        <v>1046789.33</v>
      </c>
      <c r="HN34" s="53">
        <v>1.75865</v>
      </c>
      <c r="HO34" s="507">
        <v>595223.22804423841</v>
      </c>
      <c r="HP34" s="380">
        <f t="shared" si="40"/>
        <v>56989.376239100937</v>
      </c>
      <c r="HQ34" s="506">
        <v>1041773.64</v>
      </c>
      <c r="HR34" s="53">
        <v>1.7524489999999999</v>
      </c>
      <c r="HS34" s="507">
        <v>594467.3083210981</v>
      </c>
      <c r="HT34" s="380">
        <f t="shared" si="41"/>
        <v>-755.91972314030863</v>
      </c>
      <c r="HU34" s="506">
        <v>1041773.64</v>
      </c>
      <c r="HV34" s="53">
        <v>1.757449</v>
      </c>
      <c r="HW34" s="507">
        <v>592776.02934708202</v>
      </c>
      <c r="HX34" s="380">
        <f t="shared" si="42"/>
        <v>-1691.2789740160806</v>
      </c>
      <c r="HY34" s="506">
        <v>1103526.03</v>
      </c>
      <c r="HZ34" s="53">
        <v>1.77735</v>
      </c>
      <c r="IA34" s="507">
        <v>620882.79179677612</v>
      </c>
      <c r="IB34" s="380">
        <f t="shared" si="43"/>
        <v>28106.762449694099</v>
      </c>
      <c r="IC34" s="506">
        <v>1103472.1299999999</v>
      </c>
      <c r="ID34" s="53">
        <v>1.77735</v>
      </c>
      <c r="IE34" s="507">
        <v>620852.46574957098</v>
      </c>
      <c r="IF34" s="380">
        <f t="shared" si="44"/>
        <v>-30.326047205133364</v>
      </c>
      <c r="IG34" s="506">
        <v>653472.13</v>
      </c>
      <c r="IH34" s="53">
        <v>1.77735</v>
      </c>
      <c r="II34" s="507">
        <v>367666.54288688215</v>
      </c>
      <c r="IJ34" s="380">
        <f t="shared" si="45"/>
        <v>-253185.92286268884</v>
      </c>
      <c r="IK34" s="506">
        <v>640965.19999999995</v>
      </c>
      <c r="IL34" s="53">
        <v>1.77735</v>
      </c>
      <c r="IM34" s="507">
        <v>360629.70152192871</v>
      </c>
      <c r="IN34" s="380">
        <f t="shared" si="46"/>
        <v>-7036.8413649534341</v>
      </c>
      <c r="IO34" s="506">
        <v>860621.52</v>
      </c>
      <c r="IP34" s="53">
        <v>1.77735</v>
      </c>
      <c r="IQ34" s="507">
        <v>484216.11950375559</v>
      </c>
      <c r="IR34" s="380">
        <f t="shared" si="47"/>
        <v>123586.41798182687</v>
      </c>
      <c r="IS34" s="506">
        <v>860621.52</v>
      </c>
      <c r="IT34" s="53">
        <v>1.77735</v>
      </c>
      <c r="IU34" s="507">
        <v>484216.11950375559</v>
      </c>
      <c r="IV34" s="380">
        <f t="shared" si="48"/>
        <v>0</v>
      </c>
      <c r="IW34" s="506">
        <v>744835.5</v>
      </c>
      <c r="IX34" s="53">
        <v>1.7834989999999999</v>
      </c>
      <c r="IY34" s="507">
        <v>417625.97007343429</v>
      </c>
      <c r="IZ34" s="380">
        <f t="shared" si="49"/>
        <v>-66590.149430321297</v>
      </c>
    </row>
    <row r="35" spans="1:260">
      <c r="A35" s="13" t="s">
        <v>548</v>
      </c>
      <c r="B35" s="13" t="s">
        <v>549</v>
      </c>
      <c r="C35" s="13" t="s">
        <v>38</v>
      </c>
      <c r="D35" s="13" t="s">
        <v>306</v>
      </c>
      <c r="E35" s="13" t="s">
        <v>6</v>
      </c>
      <c r="F35" s="13" t="s">
        <v>440</v>
      </c>
      <c r="G35" s="13" t="s">
        <v>566</v>
      </c>
      <c r="H35" s="49" t="s">
        <v>567</v>
      </c>
      <c r="I35" s="14">
        <f>+VLOOKUP(F35,'HSBC - Banco'!$B$3:$G$39,6, FALSE)</f>
        <v>10000000</v>
      </c>
      <c r="J35" s="14">
        <f>+VLOOKUP(E35,'Summary - Colar'!$M$39:$N$54,2,FALSE)</f>
        <v>11.064005</v>
      </c>
      <c r="K35" s="54">
        <f t="shared" si="50"/>
        <v>903831.8402784525</v>
      </c>
      <c r="L35" s="506">
        <v>30000000</v>
      </c>
      <c r="M35" s="53">
        <v>11.454999960514845</v>
      </c>
      <c r="N35" s="507">
        <v>2618943.701738053</v>
      </c>
      <c r="O35" s="506">
        <v>0</v>
      </c>
      <c r="P35" s="53">
        <v>11.435000500511592</v>
      </c>
      <c r="Q35" s="507">
        <v>0</v>
      </c>
      <c r="R35" s="506">
        <v>0</v>
      </c>
      <c r="S35" s="53">
        <v>11.492499208105174</v>
      </c>
      <c r="T35" s="507">
        <v>0</v>
      </c>
      <c r="U35" s="506">
        <v>10000000</v>
      </c>
      <c r="V35" s="53">
        <v>11.502500793332414</v>
      </c>
      <c r="W35" s="507">
        <v>869376.16259906197</v>
      </c>
      <c r="X35" s="506">
        <v>0</v>
      </c>
      <c r="Y35" s="53">
        <v>11.456999868201573</v>
      </c>
      <c r="Z35" s="507">
        <v>0</v>
      </c>
      <c r="AA35" s="506">
        <v>15000000</v>
      </c>
      <c r="AB35" s="53">
        <v>11.473500522428596</v>
      </c>
      <c r="AC35" s="507">
        <v>1307360.3797444156</v>
      </c>
      <c r="AD35" s="506">
        <v>0</v>
      </c>
      <c r="AE35" s="53">
        <v>11.284499921375806</v>
      </c>
      <c r="AF35" s="507">
        <v>0</v>
      </c>
      <c r="AG35" s="506">
        <v>0</v>
      </c>
      <c r="AH35" s="53">
        <v>11.243500691464227</v>
      </c>
      <c r="AI35" s="507">
        <v>0</v>
      </c>
      <c r="AJ35" s="506">
        <v>10000000</v>
      </c>
      <c r="AK35" s="53">
        <v>11.138000053238743</v>
      </c>
      <c r="AL35" s="507">
        <v>897827.25374401198</v>
      </c>
      <c r="AM35" s="506">
        <v>0</v>
      </c>
      <c r="AN35" s="53">
        <v>11.185000303105333</v>
      </c>
      <c r="AO35" s="507">
        <v>0</v>
      </c>
      <c r="AP35" s="506">
        <v>760000</v>
      </c>
      <c r="AQ35" s="53">
        <v>10.963483090740779</v>
      </c>
      <c r="AR35" s="507">
        <v>69321.035451029136</v>
      </c>
      <c r="AS35" s="506">
        <v>0</v>
      </c>
      <c r="AT35" s="53">
        <v>11.041558</v>
      </c>
      <c r="AU35" s="507">
        <v>0</v>
      </c>
      <c r="AV35" s="506">
        <v>0</v>
      </c>
      <c r="AW35" s="53">
        <v>10.930543555101721</v>
      </c>
      <c r="AX35" s="507">
        <v>0</v>
      </c>
      <c r="AY35" s="506">
        <v>0</v>
      </c>
      <c r="AZ35" s="53">
        <v>10.829951164464852</v>
      </c>
      <c r="BA35" s="507">
        <v>0</v>
      </c>
      <c r="BB35" s="506">
        <v>0</v>
      </c>
      <c r="BC35" s="53">
        <v>10.849582878527992</v>
      </c>
      <c r="BD35" s="507">
        <v>0</v>
      </c>
      <c r="BE35" s="506">
        <v>0</v>
      </c>
      <c r="BF35" s="53">
        <v>10.809970480851396</v>
      </c>
      <c r="BG35" s="507">
        <v>0</v>
      </c>
      <c r="BH35" s="380">
        <f t="shared" si="0"/>
        <v>-10.849582878527992</v>
      </c>
      <c r="BI35" s="506">
        <v>0</v>
      </c>
      <c r="BJ35" s="53">
        <v>10.75857203602768</v>
      </c>
      <c r="BK35" s="507">
        <v>0</v>
      </c>
      <c r="BL35" s="380">
        <f t="shared" si="1"/>
        <v>0</v>
      </c>
      <c r="BM35" s="506">
        <v>0</v>
      </c>
      <c r="BN35" s="53">
        <v>10.72196768255267</v>
      </c>
      <c r="BO35" s="507">
        <v>0</v>
      </c>
      <c r="BP35">
        <v>-897827.25374401198</v>
      </c>
      <c r="BQ35" s="506">
        <v>0</v>
      </c>
      <c r="BR35" s="53">
        <v>10.994064597315436</v>
      </c>
      <c r="BS35" s="507">
        <v>0</v>
      </c>
      <c r="BT35" s="380">
        <f t="shared" si="2"/>
        <v>0</v>
      </c>
      <c r="BU35" s="506">
        <v>0</v>
      </c>
      <c r="BV35" s="53">
        <v>11.089187874172326</v>
      </c>
      <c r="BW35" s="507">
        <v>0</v>
      </c>
      <c r="BX35" s="380">
        <f t="shared" si="3"/>
        <v>0</v>
      </c>
      <c r="BY35" s="506">
        <v>0</v>
      </c>
      <c r="BZ35" s="53">
        <v>10.970595621782262</v>
      </c>
      <c r="CA35" s="507">
        <v>0</v>
      </c>
      <c r="CB35" s="380">
        <f t="shared" si="4"/>
        <v>0</v>
      </c>
      <c r="CC35" s="506">
        <v>0</v>
      </c>
      <c r="CD35" s="53">
        <v>11.074428529175647</v>
      </c>
      <c r="CE35" s="507">
        <v>0</v>
      </c>
      <c r="CF35" s="380">
        <f t="shared" si="5"/>
        <v>0</v>
      </c>
      <c r="CG35" s="506">
        <v>0</v>
      </c>
      <c r="CH35" s="53">
        <v>11.006530046613195</v>
      </c>
      <c r="CI35" s="507">
        <v>0</v>
      </c>
      <c r="CJ35" s="380">
        <f t="shared" si="6"/>
        <v>0</v>
      </c>
      <c r="CK35" s="506">
        <v>0</v>
      </c>
      <c r="CL35" s="53">
        <v>11.111047522150155</v>
      </c>
      <c r="CM35" s="507">
        <v>0</v>
      </c>
      <c r="CN35" s="380">
        <f t="shared" si="7"/>
        <v>0</v>
      </c>
      <c r="CO35" s="506">
        <v>0</v>
      </c>
      <c r="CP35" s="53">
        <v>11.007454537818655</v>
      </c>
      <c r="CQ35" s="507">
        <v>0</v>
      </c>
      <c r="CR35" s="380">
        <f t="shared" si="8"/>
        <v>0</v>
      </c>
      <c r="CS35" s="506">
        <v>0</v>
      </c>
      <c r="CT35" s="53">
        <v>11.059941767237742</v>
      </c>
      <c r="CU35" s="507">
        <v>0</v>
      </c>
      <c r="CV35" s="380">
        <f t="shared" si="9"/>
        <v>0</v>
      </c>
      <c r="CW35" s="506">
        <v>0</v>
      </c>
      <c r="CX35" s="53">
        <v>11.168573559177586</v>
      </c>
      <c r="CY35" s="507">
        <v>0</v>
      </c>
      <c r="CZ35" s="380">
        <f t="shared" si="10"/>
        <v>0</v>
      </c>
      <c r="DA35" s="506">
        <v>0</v>
      </c>
      <c r="DB35" s="53">
        <v>10.944940911178854</v>
      </c>
      <c r="DC35" s="507">
        <v>0</v>
      </c>
      <c r="DD35" s="380">
        <f t="shared" si="11"/>
        <v>0</v>
      </c>
      <c r="DE35" s="506">
        <v>0</v>
      </c>
      <c r="DF35" s="53">
        <v>10.963941352408442</v>
      </c>
      <c r="DG35" s="507">
        <v>0</v>
      </c>
      <c r="DH35" s="380">
        <f t="shared" si="12"/>
        <v>0</v>
      </c>
      <c r="DI35" s="506">
        <v>0</v>
      </c>
      <c r="DJ35" s="53">
        <v>10.923046468014171</v>
      </c>
      <c r="DK35" s="507">
        <v>0</v>
      </c>
      <c r="DL35" s="380">
        <f t="shared" si="13"/>
        <v>0</v>
      </c>
      <c r="DM35" s="506">
        <v>20000000</v>
      </c>
      <c r="DN35" s="53">
        <v>10.933526614383448</v>
      </c>
      <c r="DO35" s="507">
        <v>1829235.9551847873</v>
      </c>
      <c r="DP35" s="380">
        <f t="shared" si="14"/>
        <v>1829235.9551847873</v>
      </c>
      <c r="DQ35" s="506">
        <v>10000000</v>
      </c>
      <c r="DR35" s="53">
        <v>11.003988496336881</v>
      </c>
      <c r="DS35" s="507">
        <v>908761.40077108424</v>
      </c>
      <c r="DT35" s="380">
        <f t="shared" si="15"/>
        <v>-920474.55441370304</v>
      </c>
      <c r="DU35" s="506">
        <v>0</v>
      </c>
      <c r="DV35" s="53">
        <v>10.999785913080709</v>
      </c>
      <c r="DW35" s="507">
        <v>0</v>
      </c>
      <c r="DX35" s="380">
        <f t="shared" si="16"/>
        <v>-908761.40077108424</v>
      </c>
      <c r="DY35" s="506">
        <v>0</v>
      </c>
      <c r="DZ35" s="53">
        <v>10.948221</v>
      </c>
      <c r="EA35" s="507">
        <v>0</v>
      </c>
      <c r="EB35" s="380">
        <f t="shared" si="17"/>
        <v>0</v>
      </c>
      <c r="EC35" s="506">
        <v>0</v>
      </c>
      <c r="ED35" s="53">
        <v>10.930171</v>
      </c>
      <c r="EE35" s="507">
        <v>0</v>
      </c>
      <c r="EF35" s="380">
        <f t="shared" si="18"/>
        <v>0</v>
      </c>
      <c r="EG35" s="506">
        <v>0</v>
      </c>
      <c r="EH35" s="53">
        <v>10.891002</v>
      </c>
      <c r="EI35" s="507">
        <v>0</v>
      </c>
      <c r="EJ35" s="380">
        <f t="shared" si="19"/>
        <v>0</v>
      </c>
      <c r="EK35" s="506">
        <v>0</v>
      </c>
      <c r="EL35" s="53">
        <v>10.897506</v>
      </c>
      <c r="EM35" s="507">
        <v>0</v>
      </c>
      <c r="EN35" s="380">
        <f t="shared" si="20"/>
        <v>0</v>
      </c>
      <c r="EO35" s="506">
        <v>0</v>
      </c>
      <c r="EP35" s="53">
        <v>10.906008</v>
      </c>
      <c r="EQ35" s="507">
        <v>0</v>
      </c>
      <c r="ER35" s="380">
        <f t="shared" si="21"/>
        <v>0</v>
      </c>
      <c r="ES35" s="506">
        <v>0</v>
      </c>
      <c r="ET35" s="53">
        <v>10.917489</v>
      </c>
      <c r="EU35" s="507">
        <v>0</v>
      </c>
      <c r="EV35" s="380">
        <f t="shared" si="22"/>
        <v>0</v>
      </c>
      <c r="EW35" s="506">
        <v>12000000</v>
      </c>
      <c r="EX35" s="53">
        <v>10.880492</v>
      </c>
      <c r="EY35" s="507">
        <v>1102891.3030771036</v>
      </c>
      <c r="EZ35" s="380">
        <f t="shared" si="23"/>
        <v>1102891.3030771036</v>
      </c>
      <c r="FA35" s="506">
        <v>0</v>
      </c>
      <c r="FB35" s="53">
        <v>10.808491999999999</v>
      </c>
      <c r="FC35" s="507">
        <v>0</v>
      </c>
      <c r="FD35" s="380">
        <f t="shared" si="24"/>
        <v>-1102891.3030771036</v>
      </c>
      <c r="FE35" s="506">
        <v>0</v>
      </c>
      <c r="FF35" s="53">
        <v>10.851991</v>
      </c>
      <c r="FG35" s="507">
        <v>0</v>
      </c>
      <c r="FH35" s="380">
        <f t="shared" si="25"/>
        <v>0</v>
      </c>
      <c r="FI35" s="506">
        <v>0</v>
      </c>
      <c r="FJ35" s="53">
        <v>10.924499000000001</v>
      </c>
      <c r="FK35" s="507">
        <v>0</v>
      </c>
      <c r="FL35" s="380">
        <f t="shared" si="26"/>
        <v>0</v>
      </c>
      <c r="FM35" s="506">
        <v>0</v>
      </c>
      <c r="FN35" s="53">
        <v>10.902004</v>
      </c>
      <c r="FO35" s="507">
        <v>0</v>
      </c>
      <c r="FP35" s="380">
        <f t="shared" si="27"/>
        <v>0</v>
      </c>
      <c r="FQ35" s="506">
        <v>10000000</v>
      </c>
      <c r="FR35" s="53">
        <v>10.874503000000001</v>
      </c>
      <c r="FS35" s="507">
        <v>919582.25585114094</v>
      </c>
      <c r="FT35" s="380">
        <f t="shared" si="28"/>
        <v>919582.25585114094</v>
      </c>
      <c r="FU35" s="506">
        <v>10000000</v>
      </c>
      <c r="FV35" s="53">
        <v>10.849996000000001</v>
      </c>
      <c r="FW35" s="507">
        <v>921659.32595735509</v>
      </c>
      <c r="FX35" s="380">
        <f t="shared" si="29"/>
        <v>2077.0701062141452</v>
      </c>
      <c r="FY35" s="506">
        <v>0</v>
      </c>
      <c r="FZ35" s="53">
        <v>10.817761000000001</v>
      </c>
      <c r="GA35" s="507">
        <v>0</v>
      </c>
      <c r="GB35" s="380">
        <f t="shared" si="30"/>
        <v>-921659.32595735509</v>
      </c>
      <c r="GC35" s="506">
        <v>0</v>
      </c>
      <c r="GD35" s="53">
        <v>10.825991999999999</v>
      </c>
      <c r="GE35" s="507">
        <v>0</v>
      </c>
      <c r="GF35" s="380">
        <f t="shared" si="31"/>
        <v>0</v>
      </c>
      <c r="GG35" s="506">
        <v>0</v>
      </c>
      <c r="GH35" s="53">
        <v>10.872005</v>
      </c>
      <c r="GI35" s="507">
        <v>0</v>
      </c>
      <c r="GJ35" s="380">
        <f t="shared" si="32"/>
        <v>0</v>
      </c>
      <c r="GK35" s="506">
        <v>0</v>
      </c>
      <c r="GL35" s="53">
        <v>10.876507</v>
      </c>
      <c r="GM35" s="507">
        <v>0</v>
      </c>
      <c r="GN35" s="380">
        <f t="shared" si="33"/>
        <v>0</v>
      </c>
      <c r="GO35" s="506">
        <v>0</v>
      </c>
      <c r="GP35" s="53">
        <v>10.873488999999999</v>
      </c>
      <c r="GQ35" s="507">
        <v>0</v>
      </c>
      <c r="GR35" s="380">
        <f t="shared" si="34"/>
        <v>0</v>
      </c>
      <c r="GS35" s="506">
        <v>0</v>
      </c>
      <c r="GT35" s="53">
        <v>10.866001000000001</v>
      </c>
      <c r="GU35" s="507">
        <v>0</v>
      </c>
      <c r="GV35" s="380">
        <f t="shared" si="35"/>
        <v>0</v>
      </c>
      <c r="GW35" s="506">
        <v>0</v>
      </c>
      <c r="GX35" s="53">
        <v>10.858991</v>
      </c>
      <c r="GY35" s="507">
        <v>0</v>
      </c>
      <c r="GZ35" s="380">
        <f t="shared" si="36"/>
        <v>0</v>
      </c>
      <c r="HA35" s="506">
        <v>0</v>
      </c>
      <c r="HB35" s="53">
        <v>10.91901</v>
      </c>
      <c r="HC35" s="507">
        <v>0</v>
      </c>
      <c r="HD35" s="380">
        <f t="shared" si="37"/>
        <v>0</v>
      </c>
      <c r="HE35" s="506">
        <v>0</v>
      </c>
      <c r="HF35" s="53">
        <v>10.938496000000001</v>
      </c>
      <c r="HG35" s="507">
        <v>0</v>
      </c>
      <c r="HH35" s="380">
        <f t="shared" si="38"/>
        <v>0</v>
      </c>
      <c r="HI35" s="506">
        <v>0</v>
      </c>
      <c r="HJ35" s="53">
        <v>10.941000000000001</v>
      </c>
      <c r="HK35" s="507">
        <v>0</v>
      </c>
      <c r="HL35" s="380">
        <f t="shared" si="39"/>
        <v>0</v>
      </c>
      <c r="HM35" s="506">
        <v>0</v>
      </c>
      <c r="HN35" s="53">
        <v>10.9575</v>
      </c>
      <c r="HO35" s="507">
        <v>0</v>
      </c>
      <c r="HP35" s="380">
        <f t="shared" si="40"/>
        <v>0</v>
      </c>
      <c r="HQ35" s="506">
        <v>0</v>
      </c>
      <c r="HR35" s="53">
        <v>10.945007</v>
      </c>
      <c r="HS35" s="507">
        <v>0</v>
      </c>
      <c r="HT35" s="380">
        <f t="shared" si="41"/>
        <v>0</v>
      </c>
      <c r="HU35" s="506">
        <v>0</v>
      </c>
      <c r="HV35" s="53">
        <v>10.984994</v>
      </c>
      <c r="HW35" s="507">
        <v>0</v>
      </c>
      <c r="HX35" s="380">
        <f t="shared" si="42"/>
        <v>0</v>
      </c>
      <c r="HY35" s="506">
        <v>0</v>
      </c>
      <c r="HZ35" s="53">
        <v>10.968007999999999</v>
      </c>
      <c r="IA35" s="507">
        <v>0</v>
      </c>
      <c r="IB35" s="380">
        <f t="shared" si="43"/>
        <v>0</v>
      </c>
      <c r="IC35" s="506">
        <v>0</v>
      </c>
      <c r="ID35" s="53">
        <v>10.968007999999999</v>
      </c>
      <c r="IE35" s="507">
        <v>0</v>
      </c>
      <c r="IF35" s="380">
        <f t="shared" si="44"/>
        <v>0</v>
      </c>
      <c r="IG35" s="506">
        <v>15000001.5</v>
      </c>
      <c r="IH35" s="53">
        <v>10.968007999999999</v>
      </c>
      <c r="II35" s="507">
        <v>1367614.0188810951</v>
      </c>
      <c r="IJ35" s="380">
        <f t="shared" si="45"/>
        <v>1367614.0188810951</v>
      </c>
      <c r="IK35" s="506">
        <v>0</v>
      </c>
      <c r="IL35" s="53">
        <v>10.968007999999999</v>
      </c>
      <c r="IM35" s="507">
        <v>0</v>
      </c>
      <c r="IN35" s="380">
        <f t="shared" si="46"/>
        <v>-1367614.0188810951</v>
      </c>
      <c r="IO35" s="506">
        <v>0</v>
      </c>
      <c r="IP35" s="53">
        <v>10.968007999999999</v>
      </c>
      <c r="IQ35" s="507">
        <v>0</v>
      </c>
      <c r="IR35" s="380">
        <f t="shared" si="47"/>
        <v>0</v>
      </c>
      <c r="IS35" s="506">
        <v>10000000</v>
      </c>
      <c r="IT35" s="53">
        <v>10.968007999999999</v>
      </c>
      <c r="IU35" s="507">
        <v>911742.58807980455</v>
      </c>
      <c r="IV35" s="380">
        <f t="shared" si="48"/>
        <v>911742.58807980455</v>
      </c>
      <c r="IW35" s="506">
        <v>10000000</v>
      </c>
      <c r="IX35" s="53">
        <v>11.064005</v>
      </c>
      <c r="IY35" s="507">
        <v>903831.8402784525</v>
      </c>
      <c r="IZ35" s="380">
        <f t="shared" si="49"/>
        <v>-7910.7478013520595</v>
      </c>
    </row>
    <row r="36" spans="1:260">
      <c r="A36" s="13" t="s">
        <v>548</v>
      </c>
      <c r="B36" s="13" t="s">
        <v>549</v>
      </c>
      <c r="C36" s="13" t="s">
        <v>38</v>
      </c>
      <c r="D36" s="13" t="s">
        <v>306</v>
      </c>
      <c r="E36" s="13" t="s">
        <v>19</v>
      </c>
      <c r="F36" s="13" t="s">
        <v>439</v>
      </c>
      <c r="G36" s="13" t="s">
        <v>568</v>
      </c>
      <c r="H36" s="49" t="s">
        <v>569</v>
      </c>
      <c r="I36" s="14">
        <f>+VLOOKUP(F36,'HSBC - Banco'!$B$3:$G$39,6, FALSE)</f>
        <v>0</v>
      </c>
      <c r="J36" s="14">
        <f>+VLOOKUP(E36,'Summary - Colar'!$M$39:$N$54,2,FALSE)</f>
        <v>11.709999</v>
      </c>
      <c r="K36" s="54">
        <f t="shared" si="50"/>
        <v>0</v>
      </c>
      <c r="L36" s="506">
        <v>0</v>
      </c>
      <c r="M36" s="53">
        <v>11.785999410466696</v>
      </c>
      <c r="N36" s="507">
        <v>0</v>
      </c>
      <c r="O36" s="506">
        <v>0</v>
      </c>
      <c r="P36" s="53">
        <v>11.703550411188427</v>
      </c>
      <c r="Q36" s="507">
        <v>0</v>
      </c>
      <c r="R36" s="506">
        <v>0</v>
      </c>
      <c r="S36" s="53">
        <v>11.743499009792057</v>
      </c>
      <c r="T36" s="507">
        <v>0</v>
      </c>
      <c r="U36" s="506">
        <v>0</v>
      </c>
      <c r="V36" s="53">
        <v>11.747497669811418</v>
      </c>
      <c r="W36" s="507">
        <v>0</v>
      </c>
      <c r="X36" s="506">
        <v>0</v>
      </c>
      <c r="Y36" s="53">
        <v>11.749502062955756</v>
      </c>
      <c r="Z36" s="507">
        <v>0</v>
      </c>
      <c r="AA36" s="506">
        <v>0</v>
      </c>
      <c r="AB36" s="53">
        <v>11.733002368191622</v>
      </c>
      <c r="AC36" s="507">
        <v>0</v>
      </c>
      <c r="AD36" s="506">
        <v>0</v>
      </c>
      <c r="AE36" s="53">
        <v>11.627499067232772</v>
      </c>
      <c r="AF36" s="507">
        <v>0</v>
      </c>
      <c r="AG36" s="506">
        <v>0</v>
      </c>
      <c r="AH36" s="53">
        <v>11.643996899091613</v>
      </c>
      <c r="AI36" s="507">
        <v>0</v>
      </c>
      <c r="AJ36" s="506">
        <v>0</v>
      </c>
      <c r="AK36" s="53">
        <v>11.62049709008984</v>
      </c>
      <c r="AL36" s="507">
        <v>0</v>
      </c>
      <c r="AM36" s="506">
        <v>0</v>
      </c>
      <c r="AN36" s="53">
        <v>11.726500808872606</v>
      </c>
      <c r="AO36" s="507">
        <v>0</v>
      </c>
      <c r="AP36" s="506">
        <v>0</v>
      </c>
      <c r="AQ36" s="53">
        <v>11.756749444616933</v>
      </c>
      <c r="AR36" s="507">
        <v>0</v>
      </c>
      <c r="AS36" s="506">
        <v>0</v>
      </c>
      <c r="AT36" s="53">
        <v>11.610503</v>
      </c>
      <c r="AU36" s="507">
        <v>0</v>
      </c>
      <c r="AV36" s="506">
        <v>0</v>
      </c>
      <c r="AW36" s="53">
        <v>11.392497223232125</v>
      </c>
      <c r="AX36" s="507">
        <v>0</v>
      </c>
      <c r="AY36" s="506">
        <v>0</v>
      </c>
      <c r="AZ36" s="53">
        <v>11.295049266589858</v>
      </c>
      <c r="BA36" s="507">
        <v>0</v>
      </c>
      <c r="BB36" s="506">
        <v>0</v>
      </c>
      <c r="BC36" s="53">
        <v>11.408997532863422</v>
      </c>
      <c r="BD36" s="507">
        <v>0</v>
      </c>
      <c r="BE36" s="506">
        <v>0</v>
      </c>
      <c r="BF36" s="53">
        <v>11.317002475075295</v>
      </c>
      <c r="BG36" s="507">
        <v>0</v>
      </c>
      <c r="BH36" s="380">
        <f t="shared" si="0"/>
        <v>-11.408997532863422</v>
      </c>
      <c r="BI36" s="506">
        <v>0</v>
      </c>
      <c r="BJ36" s="53">
        <v>11.267000584532196</v>
      </c>
      <c r="BK36" s="507">
        <v>0</v>
      </c>
      <c r="BL36" s="380">
        <f t="shared" si="1"/>
        <v>0</v>
      </c>
      <c r="BM36" s="506">
        <v>0</v>
      </c>
      <c r="BN36" s="53">
        <v>11.417497717359922</v>
      </c>
      <c r="BO36" s="507">
        <v>0</v>
      </c>
      <c r="BP36">
        <v>0</v>
      </c>
      <c r="BQ36" s="506">
        <v>0</v>
      </c>
      <c r="BR36" s="53">
        <v>11.696498238722574</v>
      </c>
      <c r="BS36" s="507">
        <v>0</v>
      </c>
      <c r="BT36" s="380">
        <f t="shared" si="2"/>
        <v>0</v>
      </c>
      <c r="BU36" s="506">
        <v>0</v>
      </c>
      <c r="BV36" s="53">
        <v>11.945000441527094</v>
      </c>
      <c r="BW36" s="507">
        <v>0</v>
      </c>
      <c r="BX36" s="380">
        <f t="shared" si="3"/>
        <v>0</v>
      </c>
      <c r="BY36" s="506">
        <v>0</v>
      </c>
      <c r="BZ36" s="53">
        <v>11.953000572967035</v>
      </c>
      <c r="CA36" s="507">
        <v>0</v>
      </c>
      <c r="CB36" s="380">
        <f t="shared" si="4"/>
        <v>0</v>
      </c>
      <c r="CC36" s="506">
        <v>0</v>
      </c>
      <c r="CD36" s="53">
        <v>12.138995899756635</v>
      </c>
      <c r="CE36" s="507">
        <v>0</v>
      </c>
      <c r="CF36" s="380">
        <f t="shared" si="5"/>
        <v>0</v>
      </c>
      <c r="CG36" s="506">
        <v>0</v>
      </c>
      <c r="CH36" s="53">
        <v>11.969747513196003</v>
      </c>
      <c r="CI36" s="507">
        <v>0</v>
      </c>
      <c r="CJ36" s="380">
        <f t="shared" si="6"/>
        <v>0</v>
      </c>
      <c r="CK36" s="506">
        <v>0</v>
      </c>
      <c r="CL36" s="53">
        <v>12.073497534852091</v>
      </c>
      <c r="CM36" s="507">
        <v>0</v>
      </c>
      <c r="CN36" s="380">
        <f t="shared" si="7"/>
        <v>0</v>
      </c>
      <c r="CO36" s="506">
        <v>0</v>
      </c>
      <c r="CP36" s="53">
        <v>12.007247076195393</v>
      </c>
      <c r="CQ36" s="507">
        <v>0</v>
      </c>
      <c r="CR36" s="380">
        <f t="shared" si="8"/>
        <v>0</v>
      </c>
      <c r="CS36" s="506">
        <v>0</v>
      </c>
      <c r="CT36" s="53">
        <v>11.980500309987502</v>
      </c>
      <c r="CU36" s="507">
        <v>0</v>
      </c>
      <c r="CV36" s="380">
        <f t="shared" si="9"/>
        <v>0</v>
      </c>
      <c r="CW36" s="506">
        <v>0</v>
      </c>
      <c r="CX36" s="53">
        <v>12.08250155250002</v>
      </c>
      <c r="CY36" s="507">
        <v>0</v>
      </c>
      <c r="CZ36" s="380">
        <f t="shared" si="10"/>
        <v>0</v>
      </c>
      <c r="DA36" s="506">
        <v>0</v>
      </c>
      <c r="DB36" s="53">
        <v>11.912498890449054</v>
      </c>
      <c r="DC36" s="507">
        <v>0</v>
      </c>
      <c r="DD36" s="380">
        <f t="shared" si="11"/>
        <v>0</v>
      </c>
      <c r="DE36" s="506">
        <v>0</v>
      </c>
      <c r="DF36" s="53">
        <v>11.997501798507978</v>
      </c>
      <c r="DG36" s="507">
        <v>0</v>
      </c>
      <c r="DH36" s="380">
        <f t="shared" si="12"/>
        <v>0</v>
      </c>
      <c r="DI36" s="506">
        <v>0</v>
      </c>
      <c r="DJ36" s="53">
        <v>11.888999411964532</v>
      </c>
      <c r="DK36" s="507">
        <v>0</v>
      </c>
      <c r="DL36" s="380">
        <f t="shared" si="13"/>
        <v>0</v>
      </c>
      <c r="DM36" s="506">
        <v>0</v>
      </c>
      <c r="DN36" s="53">
        <v>11.873999406436402</v>
      </c>
      <c r="DO36" s="507">
        <v>0</v>
      </c>
      <c r="DP36" s="380">
        <f t="shared" si="14"/>
        <v>0</v>
      </c>
      <c r="DQ36" s="506">
        <v>0</v>
      </c>
      <c r="DR36" s="53">
        <v>11.869500996558356</v>
      </c>
      <c r="DS36" s="507">
        <v>0</v>
      </c>
      <c r="DT36" s="380">
        <f t="shared" si="15"/>
        <v>0</v>
      </c>
      <c r="DU36" s="506">
        <v>0</v>
      </c>
      <c r="DV36" s="53">
        <v>11.801499914140267</v>
      </c>
      <c r="DW36" s="507">
        <v>0</v>
      </c>
      <c r="DX36" s="380">
        <f t="shared" si="16"/>
        <v>0</v>
      </c>
      <c r="DY36" s="506">
        <v>0</v>
      </c>
      <c r="DZ36" s="53">
        <v>11.762504</v>
      </c>
      <c r="EA36" s="507">
        <v>0</v>
      </c>
      <c r="EB36" s="380">
        <f t="shared" si="17"/>
        <v>0</v>
      </c>
      <c r="EC36" s="506">
        <v>0</v>
      </c>
      <c r="ED36" s="53">
        <v>11.773001000000001</v>
      </c>
      <c r="EE36" s="507">
        <v>0</v>
      </c>
      <c r="EF36" s="380">
        <f t="shared" si="18"/>
        <v>0</v>
      </c>
      <c r="EG36" s="506">
        <v>0</v>
      </c>
      <c r="EH36" s="53">
        <v>11.708503</v>
      </c>
      <c r="EI36" s="507">
        <v>0</v>
      </c>
      <c r="EJ36" s="380">
        <f t="shared" si="19"/>
        <v>0</v>
      </c>
      <c r="EK36" s="506">
        <v>0</v>
      </c>
      <c r="EL36" s="53">
        <v>11.664</v>
      </c>
      <c r="EM36" s="507">
        <v>0</v>
      </c>
      <c r="EN36" s="380">
        <f t="shared" si="20"/>
        <v>0</v>
      </c>
      <c r="EO36" s="506">
        <v>0</v>
      </c>
      <c r="EP36" s="53">
        <v>11.691001999999999</v>
      </c>
      <c r="EQ36" s="507">
        <v>0</v>
      </c>
      <c r="ER36" s="380">
        <f t="shared" si="21"/>
        <v>0</v>
      </c>
      <c r="ES36" s="506">
        <v>0</v>
      </c>
      <c r="ET36" s="53">
        <v>11.669549999999999</v>
      </c>
      <c r="EU36" s="507">
        <v>0</v>
      </c>
      <c r="EV36" s="380">
        <f t="shared" si="22"/>
        <v>0</v>
      </c>
      <c r="EW36" s="506">
        <v>0</v>
      </c>
      <c r="EX36" s="53">
        <v>11.581996</v>
      </c>
      <c r="EY36" s="507">
        <v>0</v>
      </c>
      <c r="EZ36" s="380">
        <f t="shared" si="23"/>
        <v>0</v>
      </c>
      <c r="FA36" s="506">
        <v>0</v>
      </c>
      <c r="FB36" s="53">
        <v>11.556098</v>
      </c>
      <c r="FC36" s="507">
        <v>0</v>
      </c>
      <c r="FD36" s="380">
        <f t="shared" si="24"/>
        <v>0</v>
      </c>
      <c r="FE36" s="506">
        <v>0</v>
      </c>
      <c r="FF36" s="53">
        <v>11.556803</v>
      </c>
      <c r="FG36" s="507">
        <v>0</v>
      </c>
      <c r="FH36" s="380">
        <f t="shared" si="25"/>
        <v>0</v>
      </c>
      <c r="FI36" s="506">
        <v>0</v>
      </c>
      <c r="FJ36" s="53">
        <v>11.626453</v>
      </c>
      <c r="FK36" s="507">
        <v>0</v>
      </c>
      <c r="FL36" s="380">
        <f t="shared" si="26"/>
        <v>0</v>
      </c>
      <c r="FM36" s="506">
        <v>0</v>
      </c>
      <c r="FN36" s="53">
        <v>11.591504</v>
      </c>
      <c r="FO36" s="507">
        <v>0</v>
      </c>
      <c r="FP36" s="380">
        <f t="shared" si="27"/>
        <v>0</v>
      </c>
      <c r="FQ36" s="506">
        <v>0</v>
      </c>
      <c r="FR36" s="53">
        <v>11.586499999999999</v>
      </c>
      <c r="FS36" s="507">
        <v>0</v>
      </c>
      <c r="FT36" s="380">
        <f t="shared" si="28"/>
        <v>0</v>
      </c>
      <c r="FU36" s="506">
        <v>0</v>
      </c>
      <c r="FV36" s="53">
        <v>11.493002000000001</v>
      </c>
      <c r="FW36" s="507">
        <v>0</v>
      </c>
      <c r="FX36" s="380">
        <f t="shared" si="29"/>
        <v>0</v>
      </c>
      <c r="FY36" s="506">
        <v>0</v>
      </c>
      <c r="FZ36" s="53">
        <v>11.503</v>
      </c>
      <c r="GA36" s="507">
        <v>0</v>
      </c>
      <c r="GB36" s="380">
        <f t="shared" si="30"/>
        <v>0</v>
      </c>
      <c r="GC36" s="506">
        <v>0</v>
      </c>
      <c r="GD36" s="53">
        <v>11.478999</v>
      </c>
      <c r="GE36" s="507">
        <v>0</v>
      </c>
      <c r="GF36" s="380">
        <f t="shared" si="31"/>
        <v>0</v>
      </c>
      <c r="GG36" s="506">
        <v>0</v>
      </c>
      <c r="GH36" s="53">
        <v>11.500299</v>
      </c>
      <c r="GI36" s="507">
        <v>0</v>
      </c>
      <c r="GJ36" s="380">
        <f t="shared" si="32"/>
        <v>0</v>
      </c>
      <c r="GK36" s="506">
        <v>0</v>
      </c>
      <c r="GL36" s="53">
        <v>11.497498999999999</v>
      </c>
      <c r="GM36" s="507">
        <v>0</v>
      </c>
      <c r="GN36" s="380">
        <f t="shared" si="33"/>
        <v>0</v>
      </c>
      <c r="GO36" s="506">
        <v>0</v>
      </c>
      <c r="GP36" s="53">
        <v>11.486503000000001</v>
      </c>
      <c r="GQ36" s="507">
        <v>0</v>
      </c>
      <c r="GR36" s="380">
        <f t="shared" si="34"/>
        <v>0</v>
      </c>
      <c r="GS36" s="506">
        <v>0</v>
      </c>
      <c r="GT36" s="53">
        <v>11.520502</v>
      </c>
      <c r="GU36" s="507">
        <v>0</v>
      </c>
      <c r="GV36" s="380">
        <f t="shared" si="35"/>
        <v>0</v>
      </c>
      <c r="GW36" s="506">
        <v>0</v>
      </c>
      <c r="GX36" s="53">
        <v>11.514502</v>
      </c>
      <c r="GY36" s="507">
        <v>0</v>
      </c>
      <c r="GZ36" s="380">
        <f t="shared" si="36"/>
        <v>0</v>
      </c>
      <c r="HA36" s="506">
        <v>0</v>
      </c>
      <c r="HB36" s="53">
        <v>11.531499999999999</v>
      </c>
      <c r="HC36" s="507">
        <v>0</v>
      </c>
      <c r="HD36" s="380">
        <f t="shared" si="37"/>
        <v>0</v>
      </c>
      <c r="HE36" s="506">
        <v>0</v>
      </c>
      <c r="HF36" s="53">
        <v>11.508001999999999</v>
      </c>
      <c r="HG36" s="507">
        <v>0</v>
      </c>
      <c r="HH36" s="380">
        <f t="shared" si="38"/>
        <v>0</v>
      </c>
      <c r="HI36" s="506">
        <v>0</v>
      </c>
      <c r="HJ36" s="53">
        <v>11.519996000000001</v>
      </c>
      <c r="HK36" s="507">
        <v>0</v>
      </c>
      <c r="HL36" s="380">
        <f t="shared" si="39"/>
        <v>0</v>
      </c>
      <c r="HM36" s="506">
        <v>0</v>
      </c>
      <c r="HN36" s="53">
        <v>11.524997000000001</v>
      </c>
      <c r="HO36" s="507">
        <v>0</v>
      </c>
      <c r="HP36" s="380">
        <f t="shared" si="40"/>
        <v>0</v>
      </c>
      <c r="HQ36" s="506">
        <v>0</v>
      </c>
      <c r="HR36" s="53">
        <v>11.505749</v>
      </c>
      <c r="HS36" s="507">
        <v>0</v>
      </c>
      <c r="HT36" s="380">
        <f t="shared" si="41"/>
        <v>0</v>
      </c>
      <c r="HU36" s="506">
        <v>0</v>
      </c>
      <c r="HV36" s="53">
        <v>11.562754</v>
      </c>
      <c r="HW36" s="507">
        <v>0</v>
      </c>
      <c r="HX36" s="380">
        <f t="shared" si="42"/>
        <v>0</v>
      </c>
      <c r="HY36" s="506">
        <v>0</v>
      </c>
      <c r="HZ36" s="53">
        <v>11.441503000000001</v>
      </c>
      <c r="IA36" s="507">
        <v>0</v>
      </c>
      <c r="IB36" s="380">
        <f t="shared" si="43"/>
        <v>0</v>
      </c>
      <c r="IC36" s="506">
        <v>0</v>
      </c>
      <c r="ID36" s="53">
        <v>11.4415</v>
      </c>
      <c r="IE36" s="507">
        <v>0</v>
      </c>
      <c r="IF36" s="380">
        <f t="shared" si="44"/>
        <v>0</v>
      </c>
      <c r="IG36" s="506">
        <v>0</v>
      </c>
      <c r="IH36" s="53">
        <v>11.4415</v>
      </c>
      <c r="II36" s="507">
        <v>0</v>
      </c>
      <c r="IJ36" s="380">
        <f t="shared" si="45"/>
        <v>0</v>
      </c>
      <c r="IK36" s="506">
        <v>0</v>
      </c>
      <c r="IL36" s="53">
        <v>11.4415</v>
      </c>
      <c r="IM36" s="507">
        <v>0</v>
      </c>
      <c r="IN36" s="380">
        <f t="shared" si="46"/>
        <v>0</v>
      </c>
      <c r="IO36" s="506">
        <v>0</v>
      </c>
      <c r="IP36" s="53">
        <v>11.4415</v>
      </c>
      <c r="IQ36" s="507">
        <v>0</v>
      </c>
      <c r="IR36" s="380">
        <f t="shared" si="47"/>
        <v>0</v>
      </c>
      <c r="IS36" s="506">
        <v>0</v>
      </c>
      <c r="IT36" s="53">
        <v>11.4415</v>
      </c>
      <c r="IU36" s="507">
        <v>0</v>
      </c>
      <c r="IV36" s="380">
        <f t="shared" si="48"/>
        <v>0</v>
      </c>
      <c r="IW36" s="506">
        <v>0</v>
      </c>
      <c r="IX36" s="53">
        <v>11.709999</v>
      </c>
      <c r="IY36" s="507">
        <v>0</v>
      </c>
      <c r="IZ36" s="380">
        <f t="shared" si="49"/>
        <v>0</v>
      </c>
    </row>
    <row r="37" spans="1:260">
      <c r="A37" s="13" t="s">
        <v>548</v>
      </c>
      <c r="B37" s="13" t="s">
        <v>549</v>
      </c>
      <c r="C37" s="13" t="s">
        <v>38</v>
      </c>
      <c r="D37" s="13" t="s">
        <v>306</v>
      </c>
      <c r="E37" s="13" t="s">
        <v>2</v>
      </c>
      <c r="F37" s="13" t="s">
        <v>437</v>
      </c>
      <c r="G37" s="13" t="s">
        <v>570</v>
      </c>
      <c r="H37" s="49" t="s">
        <v>494</v>
      </c>
      <c r="I37" s="14">
        <f>+VLOOKUP(F37,'HSBC - Banco'!$B$3:$G$39,6, FALSE)</f>
        <v>0</v>
      </c>
      <c r="J37" s="14">
        <f>+VLOOKUP(E37,'Summary - Colar'!$M$39:$N$54,2,FALSE)</f>
        <v>1</v>
      </c>
      <c r="K37" s="54">
        <f t="shared" si="50"/>
        <v>0</v>
      </c>
      <c r="L37" s="506">
        <v>0</v>
      </c>
      <c r="M37" s="53">
        <v>1</v>
      </c>
      <c r="N37" s="507">
        <v>0</v>
      </c>
      <c r="O37" s="506">
        <v>0</v>
      </c>
      <c r="P37" s="53">
        <v>1</v>
      </c>
      <c r="Q37" s="507">
        <v>0</v>
      </c>
      <c r="R37" s="506">
        <v>0</v>
      </c>
      <c r="S37" s="53">
        <v>1</v>
      </c>
      <c r="T37" s="507">
        <v>0</v>
      </c>
      <c r="U37" s="506">
        <v>0</v>
      </c>
      <c r="V37" s="53">
        <v>1</v>
      </c>
      <c r="W37" s="507">
        <v>0</v>
      </c>
      <c r="X37" s="506">
        <v>0</v>
      </c>
      <c r="Y37" s="53">
        <v>1</v>
      </c>
      <c r="Z37" s="507">
        <v>0</v>
      </c>
      <c r="AA37" s="506">
        <v>0</v>
      </c>
      <c r="AB37" s="53">
        <v>1</v>
      </c>
      <c r="AC37" s="507">
        <v>0</v>
      </c>
      <c r="AD37" s="506">
        <v>0</v>
      </c>
      <c r="AE37" s="53">
        <v>1</v>
      </c>
      <c r="AF37" s="507">
        <v>0</v>
      </c>
      <c r="AG37" s="506">
        <v>0</v>
      </c>
      <c r="AH37" s="53">
        <v>1</v>
      </c>
      <c r="AI37" s="507">
        <v>0</v>
      </c>
      <c r="AJ37" s="506">
        <v>0</v>
      </c>
      <c r="AK37" s="53">
        <v>1</v>
      </c>
      <c r="AL37" s="507">
        <v>0</v>
      </c>
      <c r="AM37" s="506">
        <v>0</v>
      </c>
      <c r="AN37" s="53">
        <v>1</v>
      </c>
      <c r="AO37" s="507">
        <v>0</v>
      </c>
      <c r="AP37" s="506">
        <v>0</v>
      </c>
      <c r="AQ37" s="53">
        <v>1</v>
      </c>
      <c r="AR37" s="507">
        <v>0</v>
      </c>
      <c r="AS37" s="506">
        <v>0</v>
      </c>
      <c r="AT37" s="53">
        <v>1</v>
      </c>
      <c r="AU37" s="507">
        <v>0</v>
      </c>
      <c r="AV37" s="506">
        <v>0</v>
      </c>
      <c r="AW37" s="53">
        <v>1</v>
      </c>
      <c r="AX37" s="507">
        <v>0</v>
      </c>
      <c r="AY37" s="506">
        <v>0</v>
      </c>
      <c r="AZ37" s="53">
        <v>1</v>
      </c>
      <c r="BA37" s="507">
        <v>0</v>
      </c>
      <c r="BB37" s="506">
        <v>0</v>
      </c>
      <c r="BC37" s="53">
        <v>1</v>
      </c>
      <c r="BD37" s="507">
        <v>0</v>
      </c>
      <c r="BE37" s="506">
        <v>0</v>
      </c>
      <c r="BF37" s="53">
        <v>1</v>
      </c>
      <c r="BG37" s="507">
        <v>0</v>
      </c>
      <c r="BH37" s="380">
        <f t="shared" si="0"/>
        <v>-1</v>
      </c>
      <c r="BI37" s="506">
        <v>0</v>
      </c>
      <c r="BJ37" s="53">
        <v>1</v>
      </c>
      <c r="BK37" s="507">
        <v>0</v>
      </c>
      <c r="BL37" s="380">
        <f t="shared" si="1"/>
        <v>0</v>
      </c>
      <c r="BM37" s="506">
        <v>0</v>
      </c>
      <c r="BN37" s="53">
        <v>1</v>
      </c>
      <c r="BO37" s="507">
        <v>0</v>
      </c>
      <c r="BP37">
        <v>0</v>
      </c>
      <c r="BQ37" s="506">
        <v>0</v>
      </c>
      <c r="BR37" s="53">
        <v>1</v>
      </c>
      <c r="BS37" s="507">
        <v>0</v>
      </c>
      <c r="BT37" s="380">
        <f t="shared" si="2"/>
        <v>0</v>
      </c>
      <c r="BU37" s="506">
        <v>0</v>
      </c>
      <c r="BV37" s="53">
        <v>1</v>
      </c>
      <c r="BW37" s="507">
        <v>0</v>
      </c>
      <c r="BX37" s="380">
        <f t="shared" si="3"/>
        <v>0</v>
      </c>
      <c r="BY37" s="506">
        <v>0</v>
      </c>
      <c r="BZ37" s="53">
        <v>1</v>
      </c>
      <c r="CA37" s="507">
        <v>0</v>
      </c>
      <c r="CB37" s="380">
        <f t="shared" si="4"/>
        <v>0</v>
      </c>
      <c r="CC37" s="506">
        <v>0</v>
      </c>
      <c r="CD37" s="53">
        <v>1</v>
      </c>
      <c r="CE37" s="507">
        <v>0</v>
      </c>
      <c r="CF37" s="380">
        <f t="shared" si="5"/>
        <v>0</v>
      </c>
      <c r="CG37" s="506">
        <v>0</v>
      </c>
      <c r="CH37" s="53">
        <v>1</v>
      </c>
      <c r="CI37" s="507">
        <v>0</v>
      </c>
      <c r="CJ37" s="380">
        <f t="shared" si="6"/>
        <v>0</v>
      </c>
      <c r="CK37" s="506">
        <v>0</v>
      </c>
      <c r="CL37" s="53">
        <v>1</v>
      </c>
      <c r="CM37" s="507">
        <v>0</v>
      </c>
      <c r="CN37" s="380">
        <f t="shared" si="7"/>
        <v>0</v>
      </c>
      <c r="CO37" s="506">
        <v>0</v>
      </c>
      <c r="CP37" s="53">
        <v>1</v>
      </c>
      <c r="CQ37" s="507">
        <v>0</v>
      </c>
      <c r="CR37" s="380">
        <f t="shared" si="8"/>
        <v>0</v>
      </c>
      <c r="CS37" s="506">
        <v>0</v>
      </c>
      <c r="CT37" s="53">
        <v>1</v>
      </c>
      <c r="CU37" s="507">
        <v>0</v>
      </c>
      <c r="CV37" s="380">
        <f t="shared" si="9"/>
        <v>0</v>
      </c>
      <c r="CW37" s="506">
        <v>0</v>
      </c>
      <c r="CX37" s="53">
        <v>1</v>
      </c>
      <c r="CY37" s="507">
        <v>0</v>
      </c>
      <c r="CZ37" s="380">
        <f t="shared" si="10"/>
        <v>0</v>
      </c>
      <c r="DA37" s="506">
        <v>0</v>
      </c>
      <c r="DB37" s="53">
        <v>1</v>
      </c>
      <c r="DC37" s="507">
        <v>0</v>
      </c>
      <c r="DD37" s="380">
        <f t="shared" si="11"/>
        <v>0</v>
      </c>
      <c r="DE37" s="506">
        <v>0</v>
      </c>
      <c r="DF37" s="53">
        <v>1</v>
      </c>
      <c r="DG37" s="507">
        <v>0</v>
      </c>
      <c r="DH37" s="380">
        <f t="shared" si="12"/>
        <v>0</v>
      </c>
      <c r="DI37" s="506">
        <v>0</v>
      </c>
      <c r="DJ37" s="53">
        <v>1</v>
      </c>
      <c r="DK37" s="507">
        <v>0</v>
      </c>
      <c r="DL37" s="380">
        <f t="shared" si="13"/>
        <v>0</v>
      </c>
      <c r="DM37" s="506">
        <v>0</v>
      </c>
      <c r="DN37" s="53">
        <v>1</v>
      </c>
      <c r="DO37" s="507">
        <v>0</v>
      </c>
      <c r="DP37" s="380">
        <f t="shared" si="14"/>
        <v>0</v>
      </c>
      <c r="DQ37" s="506">
        <v>0</v>
      </c>
      <c r="DR37" s="53">
        <v>1</v>
      </c>
      <c r="DS37" s="507">
        <v>0</v>
      </c>
      <c r="DT37" s="380">
        <f t="shared" si="15"/>
        <v>0</v>
      </c>
      <c r="DU37" s="506">
        <v>0</v>
      </c>
      <c r="DV37" s="53">
        <v>1</v>
      </c>
      <c r="DW37" s="507">
        <v>0</v>
      </c>
      <c r="DX37" s="380">
        <f t="shared" si="16"/>
        <v>0</v>
      </c>
      <c r="DY37" s="506">
        <v>0</v>
      </c>
      <c r="DZ37" s="53">
        <v>1</v>
      </c>
      <c r="EA37" s="507">
        <v>0</v>
      </c>
      <c r="EB37" s="380">
        <f t="shared" si="17"/>
        <v>0</v>
      </c>
      <c r="EC37" s="506">
        <v>0</v>
      </c>
      <c r="ED37" s="53">
        <v>1</v>
      </c>
      <c r="EE37" s="507">
        <v>0</v>
      </c>
      <c r="EF37" s="380">
        <f t="shared" si="18"/>
        <v>0</v>
      </c>
      <c r="EG37" s="506">
        <v>0</v>
      </c>
      <c r="EH37" s="53">
        <v>1</v>
      </c>
      <c r="EI37" s="507">
        <v>0</v>
      </c>
      <c r="EJ37" s="380">
        <f t="shared" si="19"/>
        <v>0</v>
      </c>
      <c r="EK37" s="506">
        <v>0</v>
      </c>
      <c r="EL37" s="53">
        <v>1</v>
      </c>
      <c r="EM37" s="507">
        <v>0</v>
      </c>
      <c r="EN37" s="380">
        <f t="shared" si="20"/>
        <v>0</v>
      </c>
      <c r="EO37" s="506">
        <v>0</v>
      </c>
      <c r="EP37" s="53">
        <v>1</v>
      </c>
      <c r="EQ37" s="507">
        <v>0</v>
      </c>
      <c r="ER37" s="380">
        <f t="shared" si="21"/>
        <v>0</v>
      </c>
      <c r="ES37" s="506">
        <v>0</v>
      </c>
      <c r="ET37" s="53">
        <v>1</v>
      </c>
      <c r="EU37" s="507">
        <v>0</v>
      </c>
      <c r="EV37" s="380">
        <f t="shared" si="22"/>
        <v>0</v>
      </c>
      <c r="EW37" s="506">
        <v>0</v>
      </c>
      <c r="EX37" s="53">
        <v>1</v>
      </c>
      <c r="EY37" s="507">
        <v>0</v>
      </c>
      <c r="EZ37" s="380">
        <f t="shared" si="23"/>
        <v>0</v>
      </c>
      <c r="FA37" s="506">
        <v>0</v>
      </c>
      <c r="FB37" s="53">
        <v>1</v>
      </c>
      <c r="FC37" s="507">
        <v>0</v>
      </c>
      <c r="FD37" s="380">
        <f t="shared" si="24"/>
        <v>0</v>
      </c>
      <c r="FE37" s="506">
        <v>0</v>
      </c>
      <c r="FF37" s="53">
        <v>1</v>
      </c>
      <c r="FG37" s="507">
        <v>0</v>
      </c>
      <c r="FH37" s="380">
        <f t="shared" si="25"/>
        <v>0</v>
      </c>
      <c r="FI37" s="506">
        <v>0</v>
      </c>
      <c r="FJ37" s="53">
        <v>1</v>
      </c>
      <c r="FK37" s="507">
        <v>0</v>
      </c>
      <c r="FL37" s="380">
        <f t="shared" si="26"/>
        <v>0</v>
      </c>
      <c r="FM37" s="506">
        <v>0</v>
      </c>
      <c r="FN37" s="53">
        <v>1</v>
      </c>
      <c r="FO37" s="507">
        <v>0</v>
      </c>
      <c r="FP37" s="380">
        <f t="shared" si="27"/>
        <v>0</v>
      </c>
      <c r="FQ37" s="506">
        <v>0</v>
      </c>
      <c r="FR37" s="53">
        <v>1</v>
      </c>
      <c r="FS37" s="507">
        <v>0</v>
      </c>
      <c r="FT37" s="380">
        <f t="shared" si="28"/>
        <v>0</v>
      </c>
      <c r="FU37" s="506">
        <v>0</v>
      </c>
      <c r="FV37" s="53">
        <v>1</v>
      </c>
      <c r="FW37" s="507">
        <v>0</v>
      </c>
      <c r="FX37" s="380">
        <f t="shared" si="29"/>
        <v>0</v>
      </c>
      <c r="FY37" s="506">
        <v>0</v>
      </c>
      <c r="FZ37" s="53">
        <v>1</v>
      </c>
      <c r="GA37" s="507">
        <v>0</v>
      </c>
      <c r="GB37" s="380">
        <f t="shared" si="30"/>
        <v>0</v>
      </c>
      <c r="GC37" s="506">
        <v>0</v>
      </c>
      <c r="GD37" s="53">
        <v>1</v>
      </c>
      <c r="GE37" s="507">
        <v>0</v>
      </c>
      <c r="GF37" s="380">
        <f t="shared" si="31"/>
        <v>0</v>
      </c>
      <c r="GG37" s="506">
        <v>0</v>
      </c>
      <c r="GH37" s="53">
        <v>1</v>
      </c>
      <c r="GI37" s="507">
        <v>0</v>
      </c>
      <c r="GJ37" s="380">
        <f t="shared" si="32"/>
        <v>0</v>
      </c>
      <c r="GK37" s="506">
        <v>0</v>
      </c>
      <c r="GL37" s="53">
        <v>1</v>
      </c>
      <c r="GM37" s="507">
        <v>0</v>
      </c>
      <c r="GN37" s="380">
        <f t="shared" si="33"/>
        <v>0</v>
      </c>
      <c r="GO37" s="506">
        <v>0</v>
      </c>
      <c r="GP37" s="53">
        <v>1</v>
      </c>
      <c r="GQ37" s="507">
        <v>0</v>
      </c>
      <c r="GR37" s="380">
        <f t="shared" si="34"/>
        <v>0</v>
      </c>
      <c r="GS37" s="506">
        <v>0</v>
      </c>
      <c r="GT37" s="53">
        <v>1</v>
      </c>
      <c r="GU37" s="507">
        <v>0</v>
      </c>
      <c r="GV37" s="380">
        <f t="shared" si="35"/>
        <v>0</v>
      </c>
      <c r="GW37" s="506">
        <v>0</v>
      </c>
      <c r="GX37" s="53">
        <v>1</v>
      </c>
      <c r="GY37" s="507">
        <v>0</v>
      </c>
      <c r="GZ37" s="380">
        <f t="shared" si="36"/>
        <v>0</v>
      </c>
      <c r="HA37" s="506">
        <v>0</v>
      </c>
      <c r="HB37" s="53">
        <v>1</v>
      </c>
      <c r="HC37" s="507">
        <v>0</v>
      </c>
      <c r="HD37" s="380">
        <f t="shared" si="37"/>
        <v>0</v>
      </c>
      <c r="HE37" s="506">
        <v>0</v>
      </c>
      <c r="HF37" s="53">
        <v>1</v>
      </c>
      <c r="HG37" s="507">
        <v>0</v>
      </c>
      <c r="HH37" s="380">
        <f t="shared" si="38"/>
        <v>0</v>
      </c>
      <c r="HI37" s="506">
        <v>0</v>
      </c>
      <c r="HJ37" s="53">
        <v>1</v>
      </c>
      <c r="HK37" s="507">
        <v>0</v>
      </c>
      <c r="HL37" s="380">
        <f t="shared" si="39"/>
        <v>0</v>
      </c>
      <c r="HM37" s="506">
        <v>0</v>
      </c>
      <c r="HN37" s="53">
        <v>1</v>
      </c>
      <c r="HO37" s="507">
        <v>0</v>
      </c>
      <c r="HP37" s="380">
        <f t="shared" si="40"/>
        <v>0</v>
      </c>
      <c r="HQ37" s="506">
        <v>0</v>
      </c>
      <c r="HR37" s="53">
        <v>1</v>
      </c>
      <c r="HS37" s="507">
        <v>0</v>
      </c>
      <c r="HT37" s="380">
        <f t="shared" si="41"/>
        <v>0</v>
      </c>
      <c r="HU37" s="506">
        <v>0</v>
      </c>
      <c r="HV37" s="53">
        <v>1</v>
      </c>
      <c r="HW37" s="507">
        <v>0</v>
      </c>
      <c r="HX37" s="380">
        <f t="shared" si="42"/>
        <v>0</v>
      </c>
      <c r="HY37" s="506">
        <v>0</v>
      </c>
      <c r="HZ37" s="53">
        <v>1</v>
      </c>
      <c r="IA37" s="507">
        <v>0</v>
      </c>
      <c r="IB37" s="380">
        <f t="shared" si="43"/>
        <v>0</v>
      </c>
      <c r="IC37" s="506">
        <v>0</v>
      </c>
      <c r="ID37" s="53">
        <v>1</v>
      </c>
      <c r="IE37" s="507">
        <v>0</v>
      </c>
      <c r="IF37" s="380">
        <f t="shared" si="44"/>
        <v>0</v>
      </c>
      <c r="IG37" s="506">
        <v>0</v>
      </c>
      <c r="IH37" s="53">
        <v>1</v>
      </c>
      <c r="II37" s="507">
        <v>0</v>
      </c>
      <c r="IJ37" s="380">
        <f t="shared" si="45"/>
        <v>0</v>
      </c>
      <c r="IK37" s="506">
        <v>0</v>
      </c>
      <c r="IL37" s="53">
        <v>1</v>
      </c>
      <c r="IM37" s="507">
        <v>0</v>
      </c>
      <c r="IN37" s="380">
        <f t="shared" si="46"/>
        <v>0</v>
      </c>
      <c r="IO37" s="506">
        <v>0</v>
      </c>
      <c r="IP37" s="53">
        <v>1</v>
      </c>
      <c r="IQ37" s="507">
        <v>0</v>
      </c>
      <c r="IR37" s="380">
        <f t="shared" si="47"/>
        <v>0</v>
      </c>
      <c r="IS37" s="506">
        <v>0</v>
      </c>
      <c r="IT37" s="53">
        <v>1</v>
      </c>
      <c r="IU37" s="507">
        <v>0</v>
      </c>
      <c r="IV37" s="380">
        <f t="shared" si="48"/>
        <v>0</v>
      </c>
      <c r="IW37" s="506">
        <v>0</v>
      </c>
      <c r="IX37" s="53">
        <v>1</v>
      </c>
      <c r="IY37" s="507">
        <v>0</v>
      </c>
      <c r="IZ37" s="380">
        <f t="shared" si="49"/>
        <v>0</v>
      </c>
    </row>
    <row r="38" spans="1:260">
      <c r="A38" s="13" t="s">
        <v>548</v>
      </c>
      <c r="B38" s="13" t="s">
        <v>549</v>
      </c>
      <c r="C38" s="13" t="s">
        <v>38</v>
      </c>
      <c r="D38" s="13" t="s">
        <v>306</v>
      </c>
      <c r="E38" s="13" t="s">
        <v>2</v>
      </c>
      <c r="F38" s="13" t="s">
        <v>435</v>
      </c>
      <c r="G38" s="13" t="s">
        <v>571</v>
      </c>
      <c r="H38" s="49" t="s">
        <v>572</v>
      </c>
      <c r="I38" s="14">
        <f>+VLOOKUP(F38,'HSBC - Banco'!$B$3:$G$39,6, FALSE)</f>
        <v>13288388.57</v>
      </c>
      <c r="J38" s="14">
        <f>+VLOOKUP(E38,'Summary - Colar'!$M$39:$N$54,2,FALSE)</f>
        <v>1</v>
      </c>
      <c r="K38" s="14">
        <f t="shared" si="50"/>
        <v>13288388.57</v>
      </c>
      <c r="L38" s="506">
        <v>103506267.79000001</v>
      </c>
      <c r="M38" s="53">
        <v>1</v>
      </c>
      <c r="N38" s="507">
        <v>103506267.79000001</v>
      </c>
      <c r="O38" s="506">
        <v>48624499.789999999</v>
      </c>
      <c r="P38" s="53">
        <v>1</v>
      </c>
      <c r="Q38" s="507">
        <v>48624499.789999999</v>
      </c>
      <c r="R38" s="506">
        <v>11610.79</v>
      </c>
      <c r="S38" s="53">
        <v>1</v>
      </c>
      <c r="T38" s="507">
        <v>11610.79</v>
      </c>
      <c r="U38" s="506">
        <v>1847220.69</v>
      </c>
      <c r="V38" s="53">
        <v>1</v>
      </c>
      <c r="W38" s="507">
        <v>1847220.69</v>
      </c>
      <c r="X38" s="506">
        <v>625878.61</v>
      </c>
      <c r="Y38" s="53">
        <v>1</v>
      </c>
      <c r="Z38" s="507">
        <v>625878.61</v>
      </c>
      <c r="AA38" s="506">
        <v>1194652.3899999999</v>
      </c>
      <c r="AB38" s="53">
        <v>1</v>
      </c>
      <c r="AC38" s="507">
        <v>1194652.3899999999</v>
      </c>
      <c r="AD38" s="506">
        <v>183654.17</v>
      </c>
      <c r="AE38" s="53">
        <v>1</v>
      </c>
      <c r="AF38" s="507">
        <v>183654.17</v>
      </c>
      <c r="AG38" s="506">
        <v>4422768.3</v>
      </c>
      <c r="AH38" s="53">
        <v>1</v>
      </c>
      <c r="AI38" s="507">
        <v>4422768.3</v>
      </c>
      <c r="AJ38" s="506">
        <v>294711.21999999997</v>
      </c>
      <c r="AK38" s="53">
        <v>1</v>
      </c>
      <c r="AL38" s="507">
        <v>294711.21999999997</v>
      </c>
      <c r="AM38" s="506">
        <v>327127.18</v>
      </c>
      <c r="AN38" s="53">
        <v>1</v>
      </c>
      <c r="AO38" s="507">
        <v>327127.18</v>
      </c>
      <c r="AP38" s="506">
        <v>299801.55</v>
      </c>
      <c r="AQ38" s="53">
        <v>1</v>
      </c>
      <c r="AR38" s="507">
        <v>299801.55</v>
      </c>
      <c r="AS38" s="506">
        <v>1535.2</v>
      </c>
      <c r="AT38" s="53">
        <v>1</v>
      </c>
      <c r="AU38" s="507">
        <v>1535.2</v>
      </c>
      <c r="AV38" s="506">
        <v>390412.15</v>
      </c>
      <c r="AW38" s="53">
        <v>1</v>
      </c>
      <c r="AX38" s="507">
        <v>390412.15</v>
      </c>
      <c r="AY38" s="506">
        <v>290832.87</v>
      </c>
      <c r="AZ38" s="53">
        <v>1</v>
      </c>
      <c r="BA38" s="507">
        <v>290832.87</v>
      </c>
      <c r="BB38" s="506">
        <v>741275.31</v>
      </c>
      <c r="BC38" s="53">
        <v>1</v>
      </c>
      <c r="BD38" s="507">
        <v>741275.31</v>
      </c>
      <c r="BE38" s="506">
        <v>741275.31</v>
      </c>
      <c r="BF38" s="53">
        <v>1</v>
      </c>
      <c r="BG38" s="507">
        <v>741275.31</v>
      </c>
      <c r="BH38" s="380">
        <f t="shared" si="0"/>
        <v>741274.31</v>
      </c>
      <c r="BI38" s="506">
        <v>741275.31</v>
      </c>
      <c r="BJ38" s="53">
        <v>1</v>
      </c>
      <c r="BK38" s="507">
        <v>741275.31</v>
      </c>
      <c r="BL38" s="380">
        <f t="shared" si="1"/>
        <v>0</v>
      </c>
      <c r="BM38" s="506">
        <v>1275.31</v>
      </c>
      <c r="BN38" s="53">
        <v>1</v>
      </c>
      <c r="BO38" s="507">
        <v>1275.31</v>
      </c>
      <c r="BP38">
        <v>32415.960000000021</v>
      </c>
      <c r="BQ38" s="506">
        <v>1275.31</v>
      </c>
      <c r="BR38" s="53">
        <v>1</v>
      </c>
      <c r="BS38" s="507">
        <v>1275.31</v>
      </c>
      <c r="BT38" s="380">
        <f t="shared" si="2"/>
        <v>0</v>
      </c>
      <c r="BU38" s="506">
        <v>52001275.310000002</v>
      </c>
      <c r="BV38" s="53">
        <v>1</v>
      </c>
      <c r="BW38" s="507">
        <v>52001275.310000002</v>
      </c>
      <c r="BX38" s="380">
        <f t="shared" si="3"/>
        <v>52000000</v>
      </c>
      <c r="BY38" s="506">
        <v>52001275.310000002</v>
      </c>
      <c r="BZ38" s="53">
        <v>1</v>
      </c>
      <c r="CA38" s="507">
        <v>52001275.310000002</v>
      </c>
      <c r="CB38" s="380">
        <f t="shared" si="4"/>
        <v>0</v>
      </c>
      <c r="CC38" s="506">
        <v>95541.97</v>
      </c>
      <c r="CD38" s="53">
        <v>1</v>
      </c>
      <c r="CE38" s="507">
        <v>95541.97</v>
      </c>
      <c r="CF38" s="380">
        <f t="shared" si="5"/>
        <v>-51905733.340000004</v>
      </c>
      <c r="CG38" s="506">
        <v>547840.22</v>
      </c>
      <c r="CH38" s="53">
        <v>1</v>
      </c>
      <c r="CI38" s="507">
        <v>547840.22</v>
      </c>
      <c r="CJ38" s="380">
        <f t="shared" si="6"/>
        <v>452298.25</v>
      </c>
      <c r="CK38" s="506">
        <v>47840.22</v>
      </c>
      <c r="CL38" s="53">
        <v>1</v>
      </c>
      <c r="CM38" s="507">
        <v>47840.22</v>
      </c>
      <c r="CN38" s="380">
        <f t="shared" si="7"/>
        <v>-500000</v>
      </c>
      <c r="CO38" s="506">
        <v>47840.22</v>
      </c>
      <c r="CP38" s="53">
        <v>1</v>
      </c>
      <c r="CQ38" s="507">
        <v>47840.22</v>
      </c>
      <c r="CR38" s="380">
        <f t="shared" si="8"/>
        <v>0</v>
      </c>
      <c r="CS38" s="506">
        <v>47840.22</v>
      </c>
      <c r="CT38" s="53">
        <v>1</v>
      </c>
      <c r="CU38" s="507">
        <v>47840.22</v>
      </c>
      <c r="CV38" s="380">
        <f t="shared" si="9"/>
        <v>0</v>
      </c>
      <c r="CW38" s="506">
        <v>47840.22</v>
      </c>
      <c r="CX38" s="53">
        <v>1</v>
      </c>
      <c r="CY38" s="507">
        <v>47840.22</v>
      </c>
      <c r="CZ38" s="380">
        <f t="shared" si="10"/>
        <v>0</v>
      </c>
      <c r="DA38" s="506">
        <v>47840.22</v>
      </c>
      <c r="DB38" s="53">
        <v>1</v>
      </c>
      <c r="DC38" s="507">
        <v>47840.22</v>
      </c>
      <c r="DD38" s="380">
        <f t="shared" si="11"/>
        <v>0</v>
      </c>
      <c r="DE38" s="506">
        <v>47840.22</v>
      </c>
      <c r="DF38" s="53">
        <v>1</v>
      </c>
      <c r="DG38" s="507">
        <v>47840.22</v>
      </c>
      <c r="DH38" s="380">
        <f t="shared" si="12"/>
        <v>0</v>
      </c>
      <c r="DI38" s="506">
        <v>1047840.22</v>
      </c>
      <c r="DJ38" s="53">
        <v>1</v>
      </c>
      <c r="DK38" s="507">
        <v>1047840.22</v>
      </c>
      <c r="DL38" s="380">
        <f t="shared" si="13"/>
        <v>1000000</v>
      </c>
      <c r="DM38" s="506">
        <v>47840.22</v>
      </c>
      <c r="DN38" s="53">
        <v>1</v>
      </c>
      <c r="DO38" s="507">
        <v>47840.22</v>
      </c>
      <c r="DP38" s="380">
        <f t="shared" si="14"/>
        <v>-1000000</v>
      </c>
      <c r="DQ38" s="506">
        <v>1777868.99</v>
      </c>
      <c r="DR38" s="53">
        <v>1</v>
      </c>
      <c r="DS38" s="507">
        <v>1777868.99</v>
      </c>
      <c r="DT38" s="380">
        <f t="shared" si="15"/>
        <v>1730028.77</v>
      </c>
      <c r="DU38" s="506">
        <v>77868.990000000005</v>
      </c>
      <c r="DV38" s="53">
        <v>1</v>
      </c>
      <c r="DW38" s="507">
        <v>77868.990000000005</v>
      </c>
      <c r="DX38" s="380">
        <f t="shared" si="16"/>
        <v>-1700000</v>
      </c>
      <c r="DY38" s="506">
        <v>77868.990000000005</v>
      </c>
      <c r="DZ38" s="53">
        <v>1</v>
      </c>
      <c r="EA38" s="507">
        <v>77868.990000000005</v>
      </c>
      <c r="EB38" s="380">
        <f t="shared" si="17"/>
        <v>0</v>
      </c>
      <c r="EC38" s="506">
        <v>77868.990000000005</v>
      </c>
      <c r="ED38" s="53">
        <v>1</v>
      </c>
      <c r="EE38" s="507">
        <v>77868.990000000005</v>
      </c>
      <c r="EF38" s="380">
        <f t="shared" si="18"/>
        <v>0</v>
      </c>
      <c r="EG38" s="506">
        <v>377868.99</v>
      </c>
      <c r="EH38" s="53">
        <v>1</v>
      </c>
      <c r="EI38" s="507">
        <v>377868.99</v>
      </c>
      <c r="EJ38" s="380">
        <f t="shared" si="19"/>
        <v>300000</v>
      </c>
      <c r="EK38" s="506">
        <v>377868.99</v>
      </c>
      <c r="EL38" s="53">
        <v>1</v>
      </c>
      <c r="EM38" s="507">
        <v>377868.99</v>
      </c>
      <c r="EN38" s="380">
        <f t="shared" si="20"/>
        <v>0</v>
      </c>
      <c r="EO38" s="506">
        <v>77868.990000000005</v>
      </c>
      <c r="EP38" s="53">
        <v>1</v>
      </c>
      <c r="EQ38" s="507">
        <v>77868.990000000005</v>
      </c>
      <c r="ER38" s="380">
        <f t="shared" si="21"/>
        <v>-300000</v>
      </c>
      <c r="ES38" s="506">
        <v>77868.990000000005</v>
      </c>
      <c r="ET38" s="53">
        <v>1</v>
      </c>
      <c r="EU38" s="507">
        <v>77868.990000000005</v>
      </c>
      <c r="EV38" s="380">
        <f t="shared" si="22"/>
        <v>0</v>
      </c>
      <c r="EW38" s="506">
        <v>77860.240000000005</v>
      </c>
      <c r="EX38" s="53">
        <v>1</v>
      </c>
      <c r="EY38" s="507">
        <v>77860.240000000005</v>
      </c>
      <c r="EZ38" s="380">
        <f t="shared" si="23"/>
        <v>-8.75</v>
      </c>
      <c r="FA38" s="506">
        <v>2585731.34</v>
      </c>
      <c r="FB38" s="53">
        <v>1</v>
      </c>
      <c r="FC38" s="507">
        <v>2585731.34</v>
      </c>
      <c r="FD38" s="380">
        <f t="shared" si="24"/>
        <v>2507871.0999999996</v>
      </c>
      <c r="FE38" s="506">
        <v>85722.59</v>
      </c>
      <c r="FF38" s="53">
        <v>1</v>
      </c>
      <c r="FG38" s="507">
        <v>85722.59</v>
      </c>
      <c r="FH38" s="380">
        <f t="shared" si="25"/>
        <v>-2500008.75</v>
      </c>
      <c r="FI38" s="506">
        <v>85722.59</v>
      </c>
      <c r="FJ38" s="53">
        <v>1</v>
      </c>
      <c r="FK38" s="507">
        <v>85722.59</v>
      </c>
      <c r="FL38" s="380">
        <f t="shared" si="26"/>
        <v>0</v>
      </c>
      <c r="FM38" s="506">
        <v>11085722.59</v>
      </c>
      <c r="FN38" s="53">
        <v>1</v>
      </c>
      <c r="FO38" s="507">
        <v>11085722.59</v>
      </c>
      <c r="FP38" s="380">
        <f t="shared" si="27"/>
        <v>11000000</v>
      </c>
      <c r="FQ38" s="506">
        <v>11285722.59</v>
      </c>
      <c r="FR38" s="53">
        <v>1</v>
      </c>
      <c r="FS38" s="507">
        <v>11285722.59</v>
      </c>
      <c r="FT38" s="380">
        <f t="shared" si="28"/>
        <v>200000</v>
      </c>
      <c r="FU38" s="506">
        <v>24059794.199999999</v>
      </c>
      <c r="FV38" s="53">
        <v>1</v>
      </c>
      <c r="FW38" s="507">
        <v>24059794.199999999</v>
      </c>
      <c r="FX38" s="380">
        <f t="shared" si="29"/>
        <v>12774071.609999999</v>
      </c>
      <c r="FY38" s="506">
        <v>920061</v>
      </c>
      <c r="FZ38" s="53">
        <v>1</v>
      </c>
      <c r="GA38" s="507">
        <v>920061</v>
      </c>
      <c r="GB38" s="380">
        <f t="shared" si="30"/>
        <v>-23139733.199999999</v>
      </c>
      <c r="GC38" s="506">
        <v>920061</v>
      </c>
      <c r="GD38" s="53">
        <v>1</v>
      </c>
      <c r="GE38" s="507">
        <v>920061</v>
      </c>
      <c r="GF38" s="380">
        <f t="shared" si="31"/>
        <v>0</v>
      </c>
      <c r="GG38" s="506">
        <v>20061</v>
      </c>
      <c r="GH38" s="53">
        <v>1</v>
      </c>
      <c r="GI38" s="507">
        <v>20061</v>
      </c>
      <c r="GJ38" s="380">
        <f t="shared" si="32"/>
        <v>-900000</v>
      </c>
      <c r="GK38" s="506">
        <v>3018190.2</v>
      </c>
      <c r="GL38" s="53">
        <v>1</v>
      </c>
      <c r="GM38" s="507">
        <v>3018190.2</v>
      </c>
      <c r="GN38" s="380">
        <f t="shared" si="33"/>
        <v>2998129.2</v>
      </c>
      <c r="GO38" s="506">
        <v>701818.3</v>
      </c>
      <c r="GP38" s="53">
        <v>1</v>
      </c>
      <c r="GQ38" s="507">
        <v>701818.3</v>
      </c>
      <c r="GR38" s="380">
        <f t="shared" si="34"/>
        <v>-2316371.9000000004</v>
      </c>
      <c r="GS38" s="506">
        <v>1800.8</v>
      </c>
      <c r="GT38" s="53">
        <v>1</v>
      </c>
      <c r="GU38" s="507">
        <v>1800.8</v>
      </c>
      <c r="GV38" s="380">
        <f t="shared" si="35"/>
        <v>-700017.5</v>
      </c>
      <c r="GW38" s="506">
        <v>1800.8</v>
      </c>
      <c r="GX38" s="53">
        <v>1</v>
      </c>
      <c r="GY38" s="507">
        <v>1800.8</v>
      </c>
      <c r="GZ38" s="380">
        <f t="shared" si="36"/>
        <v>0</v>
      </c>
      <c r="HA38" s="506">
        <v>1800.8</v>
      </c>
      <c r="HB38" s="53">
        <v>1</v>
      </c>
      <c r="HC38" s="507">
        <v>1800.8</v>
      </c>
      <c r="HD38" s="380">
        <f t="shared" si="37"/>
        <v>0</v>
      </c>
      <c r="HE38" s="506">
        <v>1792.05</v>
      </c>
      <c r="HF38" s="53">
        <v>1</v>
      </c>
      <c r="HG38" s="507">
        <v>1792.05</v>
      </c>
      <c r="HH38" s="380">
        <f t="shared" si="38"/>
        <v>-8.75</v>
      </c>
      <c r="HI38" s="506">
        <v>1792.05</v>
      </c>
      <c r="HJ38" s="53">
        <v>1</v>
      </c>
      <c r="HK38" s="507">
        <v>1792.05</v>
      </c>
      <c r="HL38" s="380">
        <f t="shared" si="39"/>
        <v>0</v>
      </c>
      <c r="HM38" s="506">
        <v>1765.8</v>
      </c>
      <c r="HN38" s="53">
        <v>1</v>
      </c>
      <c r="HO38" s="507">
        <v>1765.8</v>
      </c>
      <c r="HP38" s="380">
        <f t="shared" si="40"/>
        <v>-26.25</v>
      </c>
      <c r="HQ38" s="506">
        <v>1748.3</v>
      </c>
      <c r="HR38" s="53">
        <v>1</v>
      </c>
      <c r="HS38" s="507">
        <v>1748.3</v>
      </c>
      <c r="HT38" s="380">
        <f t="shared" si="41"/>
        <v>-17.5</v>
      </c>
      <c r="HU38" s="506">
        <v>1748.3</v>
      </c>
      <c r="HV38" s="53">
        <v>1</v>
      </c>
      <c r="HW38" s="507">
        <v>1748.3</v>
      </c>
      <c r="HX38" s="380">
        <f t="shared" si="42"/>
        <v>0</v>
      </c>
      <c r="HY38" s="506">
        <v>181748.3</v>
      </c>
      <c r="HZ38" s="53">
        <v>1</v>
      </c>
      <c r="IA38" s="507">
        <v>181748.3</v>
      </c>
      <c r="IB38" s="380">
        <f t="shared" si="43"/>
        <v>180000</v>
      </c>
      <c r="IC38" s="506">
        <v>181730.8</v>
      </c>
      <c r="ID38" s="53">
        <v>1</v>
      </c>
      <c r="IE38" s="507">
        <v>181730.8</v>
      </c>
      <c r="IF38" s="380">
        <f t="shared" si="44"/>
        <v>-17.5</v>
      </c>
      <c r="IG38" s="506">
        <v>181730.8</v>
      </c>
      <c r="IH38" s="53">
        <v>1</v>
      </c>
      <c r="II38" s="507">
        <v>181730.8</v>
      </c>
      <c r="IJ38" s="380">
        <f t="shared" si="45"/>
        <v>0</v>
      </c>
      <c r="IK38" s="506">
        <v>181730.8</v>
      </c>
      <c r="IL38" s="53">
        <v>1</v>
      </c>
      <c r="IM38" s="507">
        <v>181730.8</v>
      </c>
      <c r="IN38" s="380">
        <f t="shared" si="46"/>
        <v>0</v>
      </c>
      <c r="IO38" s="506">
        <v>181748.3</v>
      </c>
      <c r="IP38" s="53">
        <v>1</v>
      </c>
      <c r="IQ38" s="507">
        <v>181748.3</v>
      </c>
      <c r="IR38" s="380">
        <f t="shared" si="47"/>
        <v>17.5</v>
      </c>
      <c r="IS38" s="506">
        <v>15288388.57</v>
      </c>
      <c r="IT38" s="53">
        <v>1</v>
      </c>
      <c r="IU38" s="507">
        <v>15288388.57</v>
      </c>
      <c r="IV38" s="380">
        <f t="shared" si="48"/>
        <v>15106640.27</v>
      </c>
      <c r="IW38" s="506">
        <v>13288388.57</v>
      </c>
      <c r="IX38" s="53">
        <v>1</v>
      </c>
      <c r="IY38" s="507">
        <v>13288388.57</v>
      </c>
      <c r="IZ38" s="380">
        <f t="shared" si="49"/>
        <v>-2000000</v>
      </c>
    </row>
    <row r="39" spans="1:260">
      <c r="A39" s="13" t="s">
        <v>548</v>
      </c>
      <c r="B39" s="13" t="s">
        <v>549</v>
      </c>
      <c r="C39" s="13" t="s">
        <v>38</v>
      </c>
      <c r="D39" s="13" t="s">
        <v>306</v>
      </c>
      <c r="E39" s="13" t="s">
        <v>9</v>
      </c>
      <c r="F39" s="13" t="s">
        <v>444</v>
      </c>
      <c r="G39" s="13" t="s">
        <v>573</v>
      </c>
      <c r="H39" s="49" t="s">
        <v>543</v>
      </c>
      <c r="I39" s="14">
        <f>+VLOOKUP(F39,'HSBC - Banco'!$B$3:$G$39,6, FALSE)</f>
        <v>100</v>
      </c>
      <c r="J39" s="14">
        <f>+VLOOKUP(E39,'Summary - Colar'!$M$39:$N$54,2,FALSE)</f>
        <v>0.93874999999999997</v>
      </c>
      <c r="K39" s="14">
        <f t="shared" si="50"/>
        <v>106.52463382157124</v>
      </c>
      <c r="L39" s="506">
        <v>0</v>
      </c>
      <c r="M39" s="53">
        <v>0.9412499680306784</v>
      </c>
      <c r="N39" s="507">
        <v>0</v>
      </c>
      <c r="O39" s="506">
        <v>0</v>
      </c>
      <c r="P39" s="53">
        <v>0.93609996904458936</v>
      </c>
      <c r="Q39" s="507">
        <v>0</v>
      </c>
      <c r="R39" s="506">
        <v>0</v>
      </c>
      <c r="S39" s="53">
        <v>0.94154998249985755</v>
      </c>
      <c r="T39" s="507">
        <v>0</v>
      </c>
      <c r="U39" s="506">
        <v>0</v>
      </c>
      <c r="V39" s="53">
        <v>0.93950001246199755</v>
      </c>
      <c r="W39" s="507">
        <v>0</v>
      </c>
      <c r="X39" s="506">
        <v>0</v>
      </c>
      <c r="Y39" s="53">
        <v>0.94989998646757867</v>
      </c>
      <c r="Z39" s="507">
        <v>0</v>
      </c>
      <c r="AA39" s="506">
        <v>0</v>
      </c>
      <c r="AB39" s="53">
        <v>0.9447499727906381</v>
      </c>
      <c r="AC39" s="507">
        <v>0</v>
      </c>
      <c r="AD39" s="506">
        <v>0</v>
      </c>
      <c r="AE39" s="53">
        <v>0.94145002196641914</v>
      </c>
      <c r="AF39" s="507">
        <v>0</v>
      </c>
      <c r="AG39" s="506">
        <v>0</v>
      </c>
      <c r="AH39" s="53">
        <v>0.94385003315614324</v>
      </c>
      <c r="AI39" s="507">
        <v>0</v>
      </c>
      <c r="AJ39" s="506">
        <v>0</v>
      </c>
      <c r="AK39" s="53">
        <v>0.94149999957989661</v>
      </c>
      <c r="AL39" s="507">
        <v>0</v>
      </c>
      <c r="AM39" s="506">
        <v>0</v>
      </c>
      <c r="AN39" s="53">
        <v>0.93840005930338399</v>
      </c>
      <c r="AO39" s="507">
        <v>0</v>
      </c>
      <c r="AP39" s="506">
        <v>0</v>
      </c>
      <c r="AQ39" s="53">
        <v>0.95524993903103506</v>
      </c>
      <c r="AR39" s="507">
        <v>0</v>
      </c>
      <c r="AS39" s="506">
        <v>0</v>
      </c>
      <c r="AT39" s="53">
        <v>0.96445000000000003</v>
      </c>
      <c r="AU39" s="507">
        <v>0</v>
      </c>
      <c r="AV39" s="506">
        <v>100</v>
      </c>
      <c r="AW39" s="53">
        <v>0.95460004628670969</v>
      </c>
      <c r="AX39" s="507">
        <v>104.75591362999522</v>
      </c>
      <c r="AY39" s="506">
        <v>100</v>
      </c>
      <c r="AZ39" s="53">
        <v>0.95169988960021024</v>
      </c>
      <c r="BA39" s="507">
        <v>105.07514090603496</v>
      </c>
      <c r="BB39" s="506">
        <v>100</v>
      </c>
      <c r="BC39" s="53">
        <v>0.95369987765870579</v>
      </c>
      <c r="BD39" s="507">
        <v>104.85478958589773</v>
      </c>
      <c r="BE39" s="506">
        <v>100</v>
      </c>
      <c r="BF39" s="53">
        <v>0.95165006798770702</v>
      </c>
      <c r="BG39" s="507">
        <v>105.08064189125004</v>
      </c>
      <c r="BH39" s="380">
        <f t="shared" si="0"/>
        <v>104.12694201359133</v>
      </c>
      <c r="BI39" s="506">
        <v>100</v>
      </c>
      <c r="BJ39" s="53">
        <v>0.95419996244501371</v>
      </c>
      <c r="BK39" s="507">
        <v>104.79983644493441</v>
      </c>
      <c r="BL39" s="380">
        <f t="shared" si="1"/>
        <v>-0.28080544631562532</v>
      </c>
      <c r="BM39" s="506">
        <v>100</v>
      </c>
      <c r="BN39" s="53">
        <v>0.95360009958744285</v>
      </c>
      <c r="BO39" s="507">
        <v>104.86576086061979</v>
      </c>
      <c r="BP39">
        <v>0</v>
      </c>
      <c r="BQ39" s="506">
        <v>100</v>
      </c>
      <c r="BR39" s="53">
        <v>0.94094993650071412</v>
      </c>
      <c r="BS39" s="507">
        <v>106.27557973157279</v>
      </c>
      <c r="BT39" s="380">
        <f t="shared" si="2"/>
        <v>1.4098188709530035</v>
      </c>
      <c r="BU39" s="506">
        <v>100</v>
      </c>
      <c r="BV39" s="53">
        <v>0.93814995922633604</v>
      </c>
      <c r="BW39" s="507">
        <v>106.59276698414716</v>
      </c>
      <c r="BX39" s="380">
        <f t="shared" si="3"/>
        <v>0.31718725257437086</v>
      </c>
      <c r="BY39" s="506">
        <v>100</v>
      </c>
      <c r="BZ39" s="53">
        <v>0.93449988490420532</v>
      </c>
      <c r="CA39" s="507">
        <v>107.0091089527003</v>
      </c>
      <c r="CB39" s="380">
        <f t="shared" si="4"/>
        <v>0.41634196855314087</v>
      </c>
      <c r="CC39" s="506">
        <v>100</v>
      </c>
      <c r="CD39" s="53">
        <v>0.9272498819158187</v>
      </c>
      <c r="CE39" s="507">
        <v>107.84579426786985</v>
      </c>
      <c r="CF39" s="380">
        <f t="shared" si="5"/>
        <v>0.83668531516954658</v>
      </c>
      <c r="CG39" s="506">
        <v>100</v>
      </c>
      <c r="CH39" s="53">
        <v>0.9297500076516424</v>
      </c>
      <c r="CI39" s="507">
        <v>107.55579368327135</v>
      </c>
      <c r="CJ39" s="380">
        <f t="shared" si="6"/>
        <v>-0.29000058459850209</v>
      </c>
      <c r="CK39" s="506">
        <v>100</v>
      </c>
      <c r="CL39" s="53">
        <v>0.92415005289795293</v>
      </c>
      <c r="CM39" s="507">
        <v>108.20753587192864</v>
      </c>
      <c r="CN39" s="380">
        <f t="shared" si="7"/>
        <v>0.65174218865729472</v>
      </c>
      <c r="CO39" s="506">
        <v>100</v>
      </c>
      <c r="CP39" s="53">
        <v>0.93365011536207365</v>
      </c>
      <c r="CQ39" s="507">
        <v>107.10650419747397</v>
      </c>
      <c r="CR39" s="380">
        <f t="shared" si="8"/>
        <v>-1.1010316744546742</v>
      </c>
      <c r="CS39" s="506">
        <v>100</v>
      </c>
      <c r="CT39" s="53">
        <v>0.92355009685546685</v>
      </c>
      <c r="CU39" s="507">
        <v>108.27782958442994</v>
      </c>
      <c r="CV39" s="380">
        <f t="shared" si="9"/>
        <v>1.1713253869559708</v>
      </c>
      <c r="CW39" s="506">
        <v>100</v>
      </c>
      <c r="CX39" s="53">
        <v>0.92679992635648722</v>
      </c>
      <c r="CY39" s="507">
        <v>107.89815272550604</v>
      </c>
      <c r="CZ39" s="380">
        <f t="shared" si="10"/>
        <v>-0.3796768589239008</v>
      </c>
      <c r="DA39" s="506">
        <v>100</v>
      </c>
      <c r="DB39" s="53">
        <v>0.93120011077831821</v>
      </c>
      <c r="DC39" s="507">
        <v>107.38830337597118</v>
      </c>
      <c r="DD39" s="380">
        <f t="shared" si="11"/>
        <v>-0.50984934953486061</v>
      </c>
      <c r="DE39" s="506">
        <v>100</v>
      </c>
      <c r="DF39" s="53">
        <v>0.92994998180364785</v>
      </c>
      <c r="DG39" s="507">
        <v>107.53266515049437</v>
      </c>
      <c r="DH39" s="380">
        <f t="shared" si="12"/>
        <v>0.14436177452319043</v>
      </c>
      <c r="DI39" s="506">
        <v>100</v>
      </c>
      <c r="DJ39" s="53">
        <v>0.93195002815326489</v>
      </c>
      <c r="DK39" s="507">
        <v>107.3018906369456</v>
      </c>
      <c r="DL39" s="380">
        <f t="shared" si="13"/>
        <v>-0.23077451354876644</v>
      </c>
      <c r="DM39" s="506">
        <v>100</v>
      </c>
      <c r="DN39" s="53">
        <v>0.93824987665418513</v>
      </c>
      <c r="DO39" s="507">
        <v>106.58141555701738</v>
      </c>
      <c r="DP39" s="380">
        <f t="shared" si="14"/>
        <v>-0.72047507992822091</v>
      </c>
      <c r="DQ39" s="506">
        <v>100</v>
      </c>
      <c r="DR39" s="53">
        <v>0.94195000839359433</v>
      </c>
      <c r="DS39" s="507">
        <v>106.16274654590262</v>
      </c>
      <c r="DT39" s="380">
        <f t="shared" si="15"/>
        <v>-0.4186690111147584</v>
      </c>
      <c r="DU39" s="506">
        <v>100</v>
      </c>
      <c r="DV39" s="53">
        <v>0.9373000236467175</v>
      </c>
      <c r="DW39" s="507">
        <v>106.68942438615738</v>
      </c>
      <c r="DX39" s="380">
        <f t="shared" si="16"/>
        <v>0.52667784025476294</v>
      </c>
      <c r="DY39" s="506">
        <v>100</v>
      </c>
      <c r="DZ39" s="53">
        <v>0.93435000000000001</v>
      </c>
      <c r="EA39" s="507">
        <v>107.02627495050035</v>
      </c>
      <c r="EB39" s="380">
        <f t="shared" si="17"/>
        <v>0.33685056434296712</v>
      </c>
      <c r="EC39" s="506">
        <v>100</v>
      </c>
      <c r="ED39" s="53">
        <v>0.93379999999999996</v>
      </c>
      <c r="EE39" s="507">
        <v>107.08931248661384</v>
      </c>
      <c r="EF39" s="380">
        <f t="shared" si="18"/>
        <v>6.3037536113483839E-2</v>
      </c>
      <c r="EG39" s="506">
        <v>100</v>
      </c>
      <c r="EH39" s="53">
        <v>0.93425000000000002</v>
      </c>
      <c r="EI39" s="507">
        <v>107.03773080010704</v>
      </c>
      <c r="EJ39" s="380">
        <f t="shared" si="19"/>
        <v>-5.1581686506793289E-2</v>
      </c>
      <c r="EK39" s="506">
        <v>100</v>
      </c>
      <c r="EL39" s="53">
        <v>0.93684999999999996</v>
      </c>
      <c r="EM39" s="507">
        <v>106.74067353365</v>
      </c>
      <c r="EN39" s="380">
        <f t="shared" si="20"/>
        <v>-0.29705726645704544</v>
      </c>
      <c r="EO39" s="506">
        <v>100</v>
      </c>
      <c r="EP39" s="53">
        <v>0.93189999999999995</v>
      </c>
      <c r="EQ39" s="507">
        <v>107.30765103551884</v>
      </c>
      <c r="ER39" s="380">
        <f t="shared" si="21"/>
        <v>0.56697750186884832</v>
      </c>
      <c r="ES39" s="506">
        <v>100</v>
      </c>
      <c r="ET39" s="53">
        <v>0.93494999999999995</v>
      </c>
      <c r="EU39" s="507">
        <v>106.95759131504359</v>
      </c>
      <c r="EV39" s="380">
        <f t="shared" si="22"/>
        <v>-0.35005972047525802</v>
      </c>
      <c r="EW39" s="506">
        <v>100</v>
      </c>
      <c r="EX39" s="53">
        <v>0.93610000000000004</v>
      </c>
      <c r="EY39" s="507">
        <v>106.82619378271552</v>
      </c>
      <c r="EZ39" s="380">
        <f t="shared" si="23"/>
        <v>-0.13139753232806584</v>
      </c>
      <c r="FA39" s="506">
        <v>100</v>
      </c>
      <c r="FB39" s="53">
        <v>0.93505000000000005</v>
      </c>
      <c r="FC39" s="507">
        <v>106.94615261215978</v>
      </c>
      <c r="FD39" s="380">
        <f t="shared" si="24"/>
        <v>0.11995882944425773</v>
      </c>
      <c r="FE39" s="506">
        <v>100</v>
      </c>
      <c r="FF39" s="53">
        <v>0.93874999999999997</v>
      </c>
      <c r="FG39" s="507">
        <v>106.52463382157124</v>
      </c>
      <c r="FH39" s="380">
        <f t="shared" si="25"/>
        <v>-0.42151879058853581</v>
      </c>
      <c r="FI39" s="506">
        <v>100</v>
      </c>
      <c r="FJ39" s="53">
        <v>0.93815000000000004</v>
      </c>
      <c r="FK39" s="507">
        <v>106.59276235143633</v>
      </c>
      <c r="FL39" s="380">
        <f t="shared" si="26"/>
        <v>6.8128529865091991E-2</v>
      </c>
      <c r="FM39" s="506">
        <v>100</v>
      </c>
      <c r="FN39" s="53">
        <v>0.9395</v>
      </c>
      <c r="FO39" s="507">
        <v>106.43959552953699</v>
      </c>
      <c r="FP39" s="380">
        <f t="shared" si="27"/>
        <v>-0.15316682189934738</v>
      </c>
      <c r="FQ39" s="506">
        <v>100</v>
      </c>
      <c r="FR39" s="53">
        <v>0.93674999999999997</v>
      </c>
      <c r="FS39" s="507">
        <v>106.75206832132373</v>
      </c>
      <c r="FT39" s="380">
        <f t="shared" si="28"/>
        <v>0.31247279178674603</v>
      </c>
      <c r="FU39" s="506">
        <v>100</v>
      </c>
      <c r="FV39" s="53">
        <v>0.93479999999999996</v>
      </c>
      <c r="FW39" s="507">
        <v>106.9747539580659</v>
      </c>
      <c r="FX39" s="380">
        <f t="shared" si="29"/>
        <v>0.22268563674217035</v>
      </c>
      <c r="FY39" s="506">
        <v>100</v>
      </c>
      <c r="FZ39" s="53">
        <v>0.93189999999999995</v>
      </c>
      <c r="GA39" s="507">
        <v>107.30765103551884</v>
      </c>
      <c r="GB39" s="380">
        <f t="shared" si="30"/>
        <v>0.33289707745294095</v>
      </c>
      <c r="GC39" s="506">
        <v>100</v>
      </c>
      <c r="GD39" s="53">
        <v>0.93559999999999999</v>
      </c>
      <c r="GE39" s="507">
        <v>106.88328345446773</v>
      </c>
      <c r="GF39" s="380">
        <f t="shared" si="31"/>
        <v>-0.42436758105111494</v>
      </c>
      <c r="GG39" s="506">
        <v>100</v>
      </c>
      <c r="GH39" s="53">
        <v>0.93830000000000002</v>
      </c>
      <c r="GI39" s="507">
        <v>106.57572205051689</v>
      </c>
      <c r="GJ39" s="380">
        <f t="shared" si="32"/>
        <v>-0.3075614039508423</v>
      </c>
      <c r="GK39" s="506">
        <v>100</v>
      </c>
      <c r="GL39" s="53">
        <v>0.93625000000000003</v>
      </c>
      <c r="GM39" s="507">
        <v>106.8090787716956</v>
      </c>
      <c r="GN39" s="380">
        <f t="shared" si="33"/>
        <v>0.23335672117870843</v>
      </c>
      <c r="GO39" s="506">
        <v>100</v>
      </c>
      <c r="GP39" s="53">
        <v>0.93384999999999996</v>
      </c>
      <c r="GQ39" s="507">
        <v>107.08357873320126</v>
      </c>
      <c r="GR39" s="380">
        <f t="shared" si="34"/>
        <v>0.27449996150566847</v>
      </c>
      <c r="GS39" s="506">
        <v>100</v>
      </c>
      <c r="GT39" s="53">
        <v>0.93435000000000001</v>
      </c>
      <c r="GU39" s="507">
        <v>107.02627495050035</v>
      </c>
      <c r="GV39" s="380">
        <f t="shared" si="35"/>
        <v>-5.7303782700913075E-2</v>
      </c>
      <c r="GW39" s="506">
        <v>100</v>
      </c>
      <c r="GX39" s="53">
        <v>0.93384999999999996</v>
      </c>
      <c r="GY39" s="507">
        <v>107.08357873320126</v>
      </c>
      <c r="GZ39" s="380">
        <f t="shared" si="36"/>
        <v>5.7303782700913075E-2</v>
      </c>
      <c r="HA39" s="506">
        <v>100</v>
      </c>
      <c r="HB39" s="53">
        <v>0.93540000000000001</v>
      </c>
      <c r="HC39" s="507">
        <v>106.90613641223005</v>
      </c>
      <c r="HD39" s="380">
        <f t="shared" si="37"/>
        <v>-0.17744232097120971</v>
      </c>
      <c r="HE39" s="506">
        <v>100</v>
      </c>
      <c r="HF39" s="53">
        <v>0.93725000000000003</v>
      </c>
      <c r="HG39" s="507">
        <v>106.69511869831955</v>
      </c>
      <c r="HH39" s="380">
        <f t="shared" si="38"/>
        <v>-0.21101771391050761</v>
      </c>
      <c r="HI39" s="506">
        <v>100</v>
      </c>
      <c r="HJ39" s="53">
        <v>0.93635000000000002</v>
      </c>
      <c r="HK39" s="507">
        <v>106.79767181075452</v>
      </c>
      <c r="HL39" s="380">
        <f t="shared" si="39"/>
        <v>0.10255311243497545</v>
      </c>
      <c r="HM39" s="506">
        <v>100</v>
      </c>
      <c r="HN39" s="53">
        <v>0.93884999999999996</v>
      </c>
      <c r="HO39" s="507">
        <v>106.5132875326197</v>
      </c>
      <c r="HP39" s="380">
        <f t="shared" si="40"/>
        <v>-0.28438427813482292</v>
      </c>
      <c r="HQ39" s="506">
        <v>100</v>
      </c>
      <c r="HR39" s="53">
        <v>0.93855</v>
      </c>
      <c r="HS39" s="507">
        <v>106.54733365297534</v>
      </c>
      <c r="HT39" s="380">
        <f t="shared" si="41"/>
        <v>3.4046120355640141E-2</v>
      </c>
      <c r="HU39" s="506">
        <v>100</v>
      </c>
      <c r="HV39" s="53">
        <v>0.94035000000000002</v>
      </c>
      <c r="HW39" s="507">
        <v>106.34338278300632</v>
      </c>
      <c r="HX39" s="380">
        <f t="shared" si="42"/>
        <v>-0.20395086996902023</v>
      </c>
      <c r="HY39" s="506">
        <v>100</v>
      </c>
      <c r="HZ39" s="53">
        <v>0.93579999999999997</v>
      </c>
      <c r="IA39" s="507">
        <v>106.86044026501389</v>
      </c>
      <c r="IB39" s="380">
        <f t="shared" si="43"/>
        <v>0.51705748200757284</v>
      </c>
      <c r="IC39" s="506">
        <v>100</v>
      </c>
      <c r="ID39" s="53">
        <v>0.93579999999999997</v>
      </c>
      <c r="IE39" s="507">
        <v>106.86044026501389</v>
      </c>
      <c r="IF39" s="380">
        <f t="shared" si="44"/>
        <v>0</v>
      </c>
      <c r="IG39" s="506">
        <v>100</v>
      </c>
      <c r="IH39" s="53">
        <v>0.93579999999999997</v>
      </c>
      <c r="II39" s="507">
        <v>106.86044026501389</v>
      </c>
      <c r="IJ39" s="380">
        <f t="shared" si="45"/>
        <v>0</v>
      </c>
      <c r="IK39" s="506">
        <v>100</v>
      </c>
      <c r="IL39" s="53">
        <v>0.93579999999999997</v>
      </c>
      <c r="IM39" s="507">
        <v>106.86044026501389</v>
      </c>
      <c r="IN39" s="380">
        <f t="shared" si="46"/>
        <v>0</v>
      </c>
      <c r="IO39" s="506">
        <v>100</v>
      </c>
      <c r="IP39" s="53">
        <v>0.93579999999999997</v>
      </c>
      <c r="IQ39" s="507">
        <v>106.86044026501389</v>
      </c>
      <c r="IR39" s="380">
        <f t="shared" si="47"/>
        <v>0</v>
      </c>
      <c r="IS39" s="506">
        <v>100</v>
      </c>
      <c r="IT39" s="53">
        <v>0.93579999999999997</v>
      </c>
      <c r="IU39" s="507">
        <v>106.86044026501389</v>
      </c>
      <c r="IV39" s="380">
        <f t="shared" si="48"/>
        <v>0</v>
      </c>
      <c r="IW39" s="506">
        <v>100</v>
      </c>
      <c r="IX39" s="53">
        <v>0.93874999999999997</v>
      </c>
      <c r="IY39" s="507">
        <v>106.52463382157124</v>
      </c>
      <c r="IZ39" s="380">
        <f t="shared" si="49"/>
        <v>-0.33580644344264954</v>
      </c>
    </row>
    <row r="40" spans="1:260">
      <c r="A40" s="13" t="s">
        <v>548</v>
      </c>
      <c r="B40" s="13" t="s">
        <v>549</v>
      </c>
      <c r="C40" s="13" t="s">
        <v>38</v>
      </c>
      <c r="D40" s="13" t="s">
        <v>306</v>
      </c>
      <c r="E40" s="13" t="s">
        <v>14</v>
      </c>
      <c r="F40" s="13" t="s">
        <v>442</v>
      </c>
      <c r="G40" s="13" t="s">
        <v>574</v>
      </c>
      <c r="H40" s="49" t="s">
        <v>575</v>
      </c>
      <c r="I40" s="14">
        <f>+VLOOKUP(F40,'HSBC - Banco'!$B$3:$G$39,6, FALSE)</f>
        <v>0</v>
      </c>
      <c r="J40" s="14">
        <f>+VLOOKUP(E40,'Summary - Colar'!$M$39:$N$54,2,FALSE)</f>
        <v>1.5035000000000001</v>
      </c>
      <c r="K40" s="14">
        <f t="shared" si="50"/>
        <v>0</v>
      </c>
      <c r="L40" s="506">
        <v>0</v>
      </c>
      <c r="M40" s="53">
        <v>1.5132999926105561</v>
      </c>
      <c r="N40" s="507">
        <v>0</v>
      </c>
      <c r="O40" s="506">
        <v>0</v>
      </c>
      <c r="P40" s="53">
        <v>1.5132999926105561</v>
      </c>
      <c r="Q40" s="507">
        <v>0</v>
      </c>
      <c r="R40" s="506">
        <v>0</v>
      </c>
      <c r="S40" s="53">
        <v>1.5132999926105561</v>
      </c>
      <c r="T40" s="507">
        <v>0</v>
      </c>
      <c r="U40" s="506">
        <v>0</v>
      </c>
      <c r="V40" s="53">
        <v>1.5132999926105561</v>
      </c>
      <c r="W40" s="507">
        <v>0</v>
      </c>
      <c r="X40" s="506">
        <v>0</v>
      </c>
      <c r="Y40" s="53">
        <v>1.5132999926105561</v>
      </c>
      <c r="Z40" s="507">
        <v>0</v>
      </c>
      <c r="AA40" s="506">
        <v>0</v>
      </c>
      <c r="AB40" s="53">
        <v>1.5132999926105561</v>
      </c>
      <c r="AC40" s="507">
        <v>0</v>
      </c>
      <c r="AD40" s="506">
        <v>0</v>
      </c>
      <c r="AE40" s="53">
        <v>1.5132999926105561</v>
      </c>
      <c r="AF40" s="507">
        <v>0</v>
      </c>
      <c r="AG40" s="506">
        <v>0</v>
      </c>
      <c r="AH40" s="53">
        <v>1.5035000051795575</v>
      </c>
      <c r="AI40" s="507">
        <v>0</v>
      </c>
      <c r="AJ40" s="506">
        <v>0</v>
      </c>
      <c r="AK40" s="53">
        <v>1.5035000051795575</v>
      </c>
      <c r="AL40" s="507">
        <v>0</v>
      </c>
      <c r="AM40" s="506">
        <v>0</v>
      </c>
      <c r="AN40" s="53">
        <v>1.5035000051795575</v>
      </c>
      <c r="AO40" s="507">
        <v>0</v>
      </c>
      <c r="AP40" s="506">
        <v>0</v>
      </c>
      <c r="AQ40" s="53">
        <v>1.5035000051795575</v>
      </c>
      <c r="AR40" s="507">
        <v>0</v>
      </c>
      <c r="AS40" s="506">
        <v>0</v>
      </c>
      <c r="AT40" s="53">
        <v>1.5035000000000001</v>
      </c>
      <c r="AU40" s="507">
        <v>0</v>
      </c>
      <c r="AV40" s="506">
        <v>0</v>
      </c>
      <c r="AW40" s="53">
        <v>1.5035000051795575</v>
      </c>
      <c r="AX40" s="507">
        <v>0</v>
      </c>
      <c r="AY40" s="506">
        <v>700000</v>
      </c>
      <c r="AZ40" s="53">
        <v>1.5035000051795575</v>
      </c>
      <c r="BA40" s="507">
        <v>465580.31099999999</v>
      </c>
      <c r="BB40" s="506">
        <v>0</v>
      </c>
      <c r="BC40" s="53">
        <v>1.5035000051795575</v>
      </c>
      <c r="BD40" s="507">
        <v>0</v>
      </c>
      <c r="BE40" s="506">
        <v>0</v>
      </c>
      <c r="BF40" s="53">
        <v>1.5035000051795575</v>
      </c>
      <c r="BG40" s="507">
        <v>0</v>
      </c>
      <c r="BH40" s="380">
        <f t="shared" si="0"/>
        <v>-1.5035000051795575</v>
      </c>
      <c r="BI40" s="506">
        <v>0</v>
      </c>
      <c r="BJ40" s="53">
        <v>1.5035000051795575</v>
      </c>
      <c r="BK40" s="507">
        <v>0</v>
      </c>
      <c r="BL40" s="380">
        <f t="shared" si="1"/>
        <v>0</v>
      </c>
      <c r="BM40" s="506">
        <v>0</v>
      </c>
      <c r="BN40" s="53">
        <v>1.5035000051795575</v>
      </c>
      <c r="BO40" s="507">
        <v>0</v>
      </c>
      <c r="BP40">
        <v>0</v>
      </c>
      <c r="BQ40" s="506">
        <v>0</v>
      </c>
      <c r="BR40" s="53">
        <v>1.5035000051795575</v>
      </c>
      <c r="BS40" s="507">
        <v>0</v>
      </c>
      <c r="BT40" s="380">
        <f t="shared" si="2"/>
        <v>0</v>
      </c>
      <c r="BU40" s="506">
        <v>0</v>
      </c>
      <c r="BV40" s="53">
        <v>1.5035000051795575</v>
      </c>
      <c r="BW40" s="507">
        <v>0</v>
      </c>
      <c r="BX40" s="380">
        <f t="shared" si="3"/>
        <v>0</v>
      </c>
      <c r="BY40" s="506">
        <v>0</v>
      </c>
      <c r="BZ40" s="53">
        <v>1.5035000051795575</v>
      </c>
      <c r="CA40" s="507">
        <v>0</v>
      </c>
      <c r="CB40" s="380">
        <f t="shared" si="4"/>
        <v>0</v>
      </c>
      <c r="CC40" s="506">
        <v>0</v>
      </c>
      <c r="CD40" s="53">
        <v>1.5035000051795575</v>
      </c>
      <c r="CE40" s="507">
        <v>0</v>
      </c>
      <c r="CF40" s="380">
        <f t="shared" si="5"/>
        <v>0</v>
      </c>
      <c r="CG40" s="506">
        <v>0</v>
      </c>
      <c r="CH40" s="53">
        <v>1.5035000051795575</v>
      </c>
      <c r="CI40" s="507">
        <v>0</v>
      </c>
      <c r="CJ40" s="380">
        <f t="shared" si="6"/>
        <v>0</v>
      </c>
      <c r="CK40" s="506">
        <v>0</v>
      </c>
      <c r="CL40" s="53">
        <v>1.5035000051795575</v>
      </c>
      <c r="CM40" s="507">
        <v>0</v>
      </c>
      <c r="CN40" s="380">
        <f t="shared" si="7"/>
        <v>0</v>
      </c>
      <c r="CO40" s="506">
        <v>0</v>
      </c>
      <c r="CP40" s="53">
        <v>1.5035000051795575</v>
      </c>
      <c r="CQ40" s="507">
        <v>0</v>
      </c>
      <c r="CR40" s="380">
        <f t="shared" si="8"/>
        <v>0</v>
      </c>
      <c r="CS40" s="506">
        <v>0</v>
      </c>
      <c r="CT40" s="53">
        <v>1.5035000051795575</v>
      </c>
      <c r="CU40" s="507">
        <v>0</v>
      </c>
      <c r="CV40" s="380">
        <f t="shared" si="9"/>
        <v>0</v>
      </c>
      <c r="CW40" s="506">
        <v>0</v>
      </c>
      <c r="CX40" s="53">
        <v>1.5035000051795575</v>
      </c>
      <c r="CY40" s="507">
        <v>0</v>
      </c>
      <c r="CZ40" s="380">
        <f t="shared" si="10"/>
        <v>0</v>
      </c>
      <c r="DA40" s="506">
        <v>0</v>
      </c>
      <c r="DB40" s="53">
        <v>1.5035000051795575</v>
      </c>
      <c r="DC40" s="507">
        <v>0</v>
      </c>
      <c r="DD40" s="380">
        <f t="shared" si="11"/>
        <v>0</v>
      </c>
      <c r="DE40" s="506">
        <v>0</v>
      </c>
      <c r="DF40" s="53">
        <v>1.5035000051795575</v>
      </c>
      <c r="DG40" s="507">
        <v>0</v>
      </c>
      <c r="DH40" s="380">
        <f t="shared" si="12"/>
        <v>0</v>
      </c>
      <c r="DI40" s="506">
        <v>300000</v>
      </c>
      <c r="DJ40" s="53">
        <v>1.5035000051795575</v>
      </c>
      <c r="DK40" s="507">
        <v>199534.41899999999</v>
      </c>
      <c r="DL40" s="380">
        <f t="shared" si="13"/>
        <v>199534.41899999999</v>
      </c>
      <c r="DM40" s="506">
        <v>300000</v>
      </c>
      <c r="DN40" s="53">
        <v>1.5035000051795575</v>
      </c>
      <c r="DO40" s="507">
        <v>199534.41899999999</v>
      </c>
      <c r="DP40" s="380">
        <f t="shared" si="14"/>
        <v>0</v>
      </c>
      <c r="DQ40" s="506">
        <v>0</v>
      </c>
      <c r="DR40" s="53">
        <v>1.5035000051795575</v>
      </c>
      <c r="DS40" s="507">
        <v>0</v>
      </c>
      <c r="DT40" s="380">
        <f t="shared" si="15"/>
        <v>-199534.41899999999</v>
      </c>
      <c r="DU40" s="506">
        <v>0</v>
      </c>
      <c r="DV40" s="53">
        <v>1.5035000051795575</v>
      </c>
      <c r="DW40" s="507">
        <v>0</v>
      </c>
      <c r="DX40" s="380">
        <f t="shared" si="16"/>
        <v>0</v>
      </c>
      <c r="DY40" s="506">
        <v>0</v>
      </c>
      <c r="DZ40" s="53">
        <v>1.5035000000000001</v>
      </c>
      <c r="EA40" s="507">
        <v>0</v>
      </c>
      <c r="EB40" s="380">
        <f t="shared" si="17"/>
        <v>0</v>
      </c>
      <c r="EC40" s="506">
        <v>0</v>
      </c>
      <c r="ED40" s="53">
        <v>1.5035000000000001</v>
      </c>
      <c r="EE40" s="507">
        <v>0</v>
      </c>
      <c r="EF40" s="380">
        <f t="shared" si="18"/>
        <v>0</v>
      </c>
      <c r="EG40" s="506">
        <v>0</v>
      </c>
      <c r="EH40" s="53">
        <v>1.5035000000000001</v>
      </c>
      <c r="EI40" s="507">
        <v>0</v>
      </c>
      <c r="EJ40" s="380">
        <f t="shared" si="19"/>
        <v>0</v>
      </c>
      <c r="EK40" s="506">
        <v>0</v>
      </c>
      <c r="EL40" s="53">
        <v>1.5035000000000001</v>
      </c>
      <c r="EM40" s="507">
        <v>0</v>
      </c>
      <c r="EN40" s="380">
        <f t="shared" si="20"/>
        <v>0</v>
      </c>
      <c r="EO40" s="506">
        <v>0</v>
      </c>
      <c r="EP40" s="53">
        <v>1.5035000000000001</v>
      </c>
      <c r="EQ40" s="507">
        <v>0</v>
      </c>
      <c r="ER40" s="380">
        <f t="shared" si="21"/>
        <v>0</v>
      </c>
      <c r="ES40" s="506">
        <v>0</v>
      </c>
      <c r="ET40" s="53">
        <v>1.5035000000000001</v>
      </c>
      <c r="EU40" s="507">
        <v>0</v>
      </c>
      <c r="EV40" s="380">
        <f t="shared" si="22"/>
        <v>0</v>
      </c>
      <c r="EW40" s="506">
        <v>0</v>
      </c>
      <c r="EX40" s="53">
        <v>1.5035000000000001</v>
      </c>
      <c r="EY40" s="507">
        <v>0</v>
      </c>
      <c r="EZ40" s="380">
        <f t="shared" si="23"/>
        <v>0</v>
      </c>
      <c r="FA40" s="506">
        <v>0</v>
      </c>
      <c r="FB40" s="53">
        <v>1.5035000000000001</v>
      </c>
      <c r="FC40" s="507">
        <v>0</v>
      </c>
      <c r="FD40" s="380">
        <f t="shared" si="24"/>
        <v>0</v>
      </c>
      <c r="FE40" s="506">
        <v>0</v>
      </c>
      <c r="FF40" s="53">
        <v>1.5035000000000001</v>
      </c>
      <c r="FG40" s="507">
        <v>0</v>
      </c>
      <c r="FH40" s="380">
        <f t="shared" si="25"/>
        <v>0</v>
      </c>
      <c r="FI40" s="506">
        <v>0</v>
      </c>
      <c r="FJ40" s="53">
        <v>1.5035000000000001</v>
      </c>
      <c r="FK40" s="507">
        <v>0</v>
      </c>
      <c r="FL40" s="380">
        <f t="shared" si="26"/>
        <v>0</v>
      </c>
      <c r="FM40" s="506">
        <v>0</v>
      </c>
      <c r="FN40" s="53">
        <v>1.5035000000000001</v>
      </c>
      <c r="FO40" s="507">
        <v>0</v>
      </c>
      <c r="FP40" s="380">
        <f t="shared" si="27"/>
        <v>0</v>
      </c>
      <c r="FQ40" s="506">
        <v>0</v>
      </c>
      <c r="FR40" s="53">
        <v>1.5035000000000001</v>
      </c>
      <c r="FS40" s="507">
        <v>0</v>
      </c>
      <c r="FT40" s="380">
        <f t="shared" si="28"/>
        <v>0</v>
      </c>
      <c r="FU40" s="506">
        <v>0</v>
      </c>
      <c r="FV40" s="53">
        <v>1.5035000000000001</v>
      </c>
      <c r="FW40" s="507">
        <v>0</v>
      </c>
      <c r="FX40" s="380">
        <f t="shared" si="29"/>
        <v>0</v>
      </c>
      <c r="FY40" s="506">
        <v>0</v>
      </c>
      <c r="FZ40" s="53">
        <v>1.5035000000000001</v>
      </c>
      <c r="GA40" s="507">
        <v>0</v>
      </c>
      <c r="GB40" s="380">
        <f t="shared" si="30"/>
        <v>0</v>
      </c>
      <c r="GC40" s="506">
        <v>0</v>
      </c>
      <c r="GD40" s="53">
        <v>1.5035000000000001</v>
      </c>
      <c r="GE40" s="507">
        <v>0</v>
      </c>
      <c r="GF40" s="380">
        <f t="shared" si="31"/>
        <v>0</v>
      </c>
      <c r="GG40" s="506">
        <v>0</v>
      </c>
      <c r="GH40" s="53">
        <v>1.5035000000000001</v>
      </c>
      <c r="GI40" s="507">
        <v>0</v>
      </c>
      <c r="GJ40" s="380">
        <f t="shared" si="32"/>
        <v>0</v>
      </c>
      <c r="GK40" s="506">
        <v>0</v>
      </c>
      <c r="GL40" s="53">
        <v>1.5035000000000001</v>
      </c>
      <c r="GM40" s="507">
        <v>0</v>
      </c>
      <c r="GN40" s="380">
        <f t="shared" si="33"/>
        <v>0</v>
      </c>
      <c r="GO40" s="506">
        <v>0</v>
      </c>
      <c r="GP40" s="53">
        <v>1.5035000000000001</v>
      </c>
      <c r="GQ40" s="507">
        <v>0</v>
      </c>
      <c r="GR40" s="380">
        <f t="shared" si="34"/>
        <v>0</v>
      </c>
      <c r="GS40" s="506">
        <v>0</v>
      </c>
      <c r="GT40" s="53">
        <v>1.5035000000000001</v>
      </c>
      <c r="GU40" s="507">
        <v>0</v>
      </c>
      <c r="GV40" s="380">
        <f t="shared" si="35"/>
        <v>0</v>
      </c>
      <c r="GW40" s="506">
        <v>0</v>
      </c>
      <c r="GX40" s="53">
        <v>1.5035000000000001</v>
      </c>
      <c r="GY40" s="507">
        <v>0</v>
      </c>
      <c r="GZ40" s="380">
        <f t="shared" si="36"/>
        <v>0</v>
      </c>
      <c r="HA40" s="506">
        <v>0</v>
      </c>
      <c r="HB40" s="53">
        <v>1.5035000000000001</v>
      </c>
      <c r="HC40" s="507">
        <v>0</v>
      </c>
      <c r="HD40" s="380">
        <f t="shared" si="37"/>
        <v>0</v>
      </c>
      <c r="HE40" s="506">
        <v>0</v>
      </c>
      <c r="HF40" s="53">
        <v>1.5035000000000001</v>
      </c>
      <c r="HG40" s="507">
        <v>0</v>
      </c>
      <c r="HH40" s="380">
        <f t="shared" si="38"/>
        <v>0</v>
      </c>
      <c r="HI40" s="506">
        <v>0</v>
      </c>
      <c r="HJ40" s="53">
        <v>1.5035000000000001</v>
      </c>
      <c r="HK40" s="507">
        <v>0</v>
      </c>
      <c r="HL40" s="380">
        <f t="shared" si="39"/>
        <v>0</v>
      </c>
      <c r="HM40" s="506">
        <v>0</v>
      </c>
      <c r="HN40" s="53">
        <v>1.5035000000000001</v>
      </c>
      <c r="HO40" s="507">
        <v>0</v>
      </c>
      <c r="HP40" s="380">
        <f t="shared" si="40"/>
        <v>0</v>
      </c>
      <c r="HQ40" s="506">
        <v>0</v>
      </c>
      <c r="HR40" s="53">
        <v>1.5035000000000001</v>
      </c>
      <c r="HS40" s="507">
        <v>0</v>
      </c>
      <c r="HT40" s="380">
        <f t="shared" si="41"/>
        <v>0</v>
      </c>
      <c r="HU40" s="506">
        <v>400000</v>
      </c>
      <c r="HV40" s="53">
        <v>1.5035000000000001</v>
      </c>
      <c r="HW40" s="507">
        <v>266045.8929165281</v>
      </c>
      <c r="HX40" s="380">
        <f t="shared" si="42"/>
        <v>266045.8929165281</v>
      </c>
      <c r="HY40" s="506">
        <v>0</v>
      </c>
      <c r="HZ40" s="53">
        <v>1.5035000000000001</v>
      </c>
      <c r="IA40" s="507">
        <v>0</v>
      </c>
      <c r="IB40" s="380">
        <f t="shared" si="43"/>
        <v>-266045.8929165281</v>
      </c>
      <c r="IC40" s="506">
        <v>0</v>
      </c>
      <c r="ID40" s="53">
        <v>1.5035000000000001</v>
      </c>
      <c r="IE40" s="507">
        <v>0</v>
      </c>
      <c r="IF40" s="380">
        <f t="shared" si="44"/>
        <v>0</v>
      </c>
      <c r="IG40" s="506">
        <v>0</v>
      </c>
      <c r="IH40" s="53">
        <v>1.5035000000000001</v>
      </c>
      <c r="II40" s="507">
        <v>0</v>
      </c>
      <c r="IJ40" s="380">
        <f t="shared" si="45"/>
        <v>0</v>
      </c>
      <c r="IK40" s="506">
        <v>0</v>
      </c>
      <c r="IL40" s="53">
        <v>1.5035000000000001</v>
      </c>
      <c r="IM40" s="507">
        <v>0</v>
      </c>
      <c r="IN40" s="380">
        <f t="shared" si="46"/>
        <v>0</v>
      </c>
      <c r="IO40" s="506">
        <v>0</v>
      </c>
      <c r="IP40" s="53">
        <v>1.5035000000000001</v>
      </c>
      <c r="IQ40" s="507">
        <v>0</v>
      </c>
      <c r="IR40" s="380">
        <f t="shared" si="47"/>
        <v>0</v>
      </c>
      <c r="IS40" s="506">
        <v>0</v>
      </c>
      <c r="IT40" s="53">
        <v>1.5035000000000001</v>
      </c>
      <c r="IU40" s="507">
        <v>0</v>
      </c>
      <c r="IV40" s="380">
        <f t="shared" si="48"/>
        <v>0</v>
      </c>
      <c r="IW40" s="506">
        <v>0</v>
      </c>
      <c r="IX40" s="53">
        <v>1.5035000000000001</v>
      </c>
      <c r="IY40" s="507">
        <v>0</v>
      </c>
      <c r="IZ40" s="380">
        <f t="shared" si="49"/>
        <v>0</v>
      </c>
    </row>
    <row r="41" spans="1:260">
      <c r="A41" s="13" t="s">
        <v>548</v>
      </c>
      <c r="B41" s="13" t="s">
        <v>549</v>
      </c>
      <c r="C41" s="13" t="s">
        <v>38</v>
      </c>
      <c r="D41" s="13" t="s">
        <v>306</v>
      </c>
      <c r="E41" s="13" t="s">
        <v>4</v>
      </c>
      <c r="F41" s="13" t="s">
        <v>445</v>
      </c>
      <c r="G41" s="13" t="s">
        <v>576</v>
      </c>
      <c r="H41" s="49" t="s">
        <v>543</v>
      </c>
      <c r="I41" s="14">
        <f>+VLOOKUP(F41,'HSBC - Banco'!$B$3:$G$39,6, FALSE)</f>
        <v>0</v>
      </c>
      <c r="J41" s="14">
        <f>+VLOOKUP(E41,'Summary - Colar'!$M$39:$N$54,2,FALSE)</f>
        <v>0.8528</v>
      </c>
      <c r="K41" s="14">
        <f t="shared" si="50"/>
        <v>0</v>
      </c>
      <c r="L41" s="506">
        <v>0</v>
      </c>
      <c r="M41" s="53">
        <v>0.82944999704118039</v>
      </c>
      <c r="N41" s="507">
        <v>0</v>
      </c>
      <c r="O41" s="506">
        <v>0</v>
      </c>
      <c r="P41" s="53">
        <v>0.82985000194803504</v>
      </c>
      <c r="Q41" s="507">
        <v>0</v>
      </c>
      <c r="R41" s="506">
        <v>0</v>
      </c>
      <c r="S41" s="53">
        <v>0.83675000142339673</v>
      </c>
      <c r="T41" s="507">
        <v>0</v>
      </c>
      <c r="U41" s="506">
        <v>0</v>
      </c>
      <c r="V41" s="53">
        <v>0.84450000060846753</v>
      </c>
      <c r="W41" s="507">
        <v>0</v>
      </c>
      <c r="X41" s="506">
        <v>0</v>
      </c>
      <c r="Y41" s="53">
        <v>0.84404999960386917</v>
      </c>
      <c r="Z41" s="507">
        <v>0</v>
      </c>
      <c r="AA41" s="506">
        <v>0</v>
      </c>
      <c r="AB41" s="53">
        <v>0.83594999940504033</v>
      </c>
      <c r="AC41" s="507">
        <v>0</v>
      </c>
      <c r="AD41" s="506">
        <v>0</v>
      </c>
      <c r="AE41" s="53">
        <v>0.83355000042005567</v>
      </c>
      <c r="AF41" s="507">
        <v>0</v>
      </c>
      <c r="AG41" s="506">
        <v>0</v>
      </c>
      <c r="AH41" s="53">
        <v>0.83210000018059904</v>
      </c>
      <c r="AI41" s="507">
        <v>0</v>
      </c>
      <c r="AJ41" s="506">
        <v>0</v>
      </c>
      <c r="AK41" s="53">
        <v>0.82765000030319136</v>
      </c>
      <c r="AL41" s="507">
        <v>0</v>
      </c>
      <c r="AM41" s="506">
        <v>1000</v>
      </c>
      <c r="AN41" s="53">
        <v>0.82594999743944864</v>
      </c>
      <c r="AO41" s="507">
        <v>1210.7270453418837</v>
      </c>
      <c r="AP41" s="506">
        <v>0</v>
      </c>
      <c r="AQ41" s="53">
        <v>0.84075000044594062</v>
      </c>
      <c r="AR41" s="507">
        <v>0</v>
      </c>
      <c r="AS41" s="506">
        <v>3000</v>
      </c>
      <c r="AT41" s="53">
        <v>0.84175</v>
      </c>
      <c r="AU41" s="507">
        <v>3564.003564003564</v>
      </c>
      <c r="AV41" s="506">
        <v>3000</v>
      </c>
      <c r="AW41" s="53">
        <v>0.83715000023255848</v>
      </c>
      <c r="AX41" s="507">
        <v>3583.5871697624157</v>
      </c>
      <c r="AY41" s="506">
        <v>3000</v>
      </c>
      <c r="AZ41" s="53">
        <v>0.83345000011593484</v>
      </c>
      <c r="BA41" s="507">
        <v>3599.4960700494248</v>
      </c>
      <c r="BB41" s="506">
        <v>3000</v>
      </c>
      <c r="BC41" s="53">
        <v>0.8352999999595857</v>
      </c>
      <c r="BD41" s="507">
        <v>3591.5240035258576</v>
      </c>
      <c r="BE41" s="506">
        <v>3000</v>
      </c>
      <c r="BF41" s="53">
        <v>0.83619999978584703</v>
      </c>
      <c r="BG41" s="507">
        <v>3587.6584558339005</v>
      </c>
      <c r="BH41" s="380">
        <f t="shared" si="0"/>
        <v>3586.8231558339407</v>
      </c>
      <c r="BI41" s="506">
        <v>3000</v>
      </c>
      <c r="BJ41" s="53">
        <v>0.83434999986719449</v>
      </c>
      <c r="BK41" s="507">
        <v>3595.6133522832351</v>
      </c>
      <c r="BL41" s="380">
        <f t="shared" si="1"/>
        <v>7.954896449334683</v>
      </c>
      <c r="BM41" s="506">
        <v>3000</v>
      </c>
      <c r="BN41" s="53">
        <v>0.84160000070083552</v>
      </c>
      <c r="BO41" s="507">
        <v>3564.6387803015382</v>
      </c>
      <c r="BP41">
        <v>1210.7270453418837</v>
      </c>
      <c r="BQ41" s="506">
        <v>3000</v>
      </c>
      <c r="BR41" s="53">
        <v>0.84934999973825842</v>
      </c>
      <c r="BS41" s="507">
        <v>3532.1127932236427</v>
      </c>
      <c r="BT41" s="380">
        <f t="shared" si="2"/>
        <v>-32.525987077895479</v>
      </c>
      <c r="BU41" s="506">
        <v>3000</v>
      </c>
      <c r="BV41" s="53">
        <v>0.85520000047240285</v>
      </c>
      <c r="BW41" s="507">
        <v>3507.9513544701049</v>
      </c>
      <c r="BX41" s="380">
        <f t="shared" si="3"/>
        <v>-24.161438753537823</v>
      </c>
      <c r="BY41" s="506">
        <v>3000</v>
      </c>
      <c r="BZ41" s="53">
        <v>0.85570000024121062</v>
      </c>
      <c r="CA41" s="507">
        <v>3505.9016000401302</v>
      </c>
      <c r="CB41" s="380">
        <f t="shared" si="4"/>
        <v>-2.0497544299746551</v>
      </c>
      <c r="CC41" s="506">
        <v>3000</v>
      </c>
      <c r="CD41" s="53">
        <v>0.86369999964947808</v>
      </c>
      <c r="CE41" s="507">
        <v>3473.4282751157957</v>
      </c>
      <c r="CF41" s="380">
        <f t="shared" si="5"/>
        <v>-32.47332492433452</v>
      </c>
      <c r="CG41" s="506">
        <v>3000</v>
      </c>
      <c r="CH41" s="53">
        <v>0.85609999997089647</v>
      </c>
      <c r="CI41" s="507">
        <v>3504.2635207358794</v>
      </c>
      <c r="CJ41" s="380">
        <f t="shared" si="6"/>
        <v>30.835245620083697</v>
      </c>
      <c r="CK41" s="506">
        <v>3000</v>
      </c>
      <c r="CL41" s="53">
        <v>0.86570000046334739</v>
      </c>
      <c r="CM41" s="507">
        <v>3465.4037176785423</v>
      </c>
      <c r="CN41" s="380">
        <f t="shared" si="7"/>
        <v>-38.859803057337103</v>
      </c>
      <c r="CO41" s="506">
        <v>3000</v>
      </c>
      <c r="CP41" s="53">
        <v>0.86384999950164088</v>
      </c>
      <c r="CQ41" s="507">
        <v>3472.8251452575264</v>
      </c>
      <c r="CR41" s="380">
        <f t="shared" si="8"/>
        <v>7.421427578984094</v>
      </c>
      <c r="CS41" s="506">
        <v>3000</v>
      </c>
      <c r="CT41" s="53">
        <v>0.85580000078257989</v>
      </c>
      <c r="CU41" s="507">
        <v>3505.4919341629734</v>
      </c>
      <c r="CV41" s="380">
        <f t="shared" si="9"/>
        <v>32.666788905446992</v>
      </c>
      <c r="CW41" s="506">
        <v>3000</v>
      </c>
      <c r="CX41" s="53">
        <v>0.85619999953234882</v>
      </c>
      <c r="CY41" s="507">
        <v>3503.8542415774136</v>
      </c>
      <c r="CZ41" s="380">
        <f t="shared" si="10"/>
        <v>-1.6376925855597619</v>
      </c>
      <c r="DA41" s="506">
        <v>3000</v>
      </c>
      <c r="DB41" s="53">
        <v>0.85640000044870379</v>
      </c>
      <c r="DC41" s="507">
        <v>3503.0359626671816</v>
      </c>
      <c r="DD41" s="380">
        <f t="shared" si="11"/>
        <v>-0.81827891023203847</v>
      </c>
      <c r="DE41" s="506">
        <v>3000</v>
      </c>
      <c r="DF41" s="53">
        <v>0.86165000042925399</v>
      </c>
      <c r="DG41" s="507">
        <v>3481.6921006272496</v>
      </c>
      <c r="DH41" s="380">
        <f t="shared" si="12"/>
        <v>-21.343862039931992</v>
      </c>
      <c r="DI41" s="506">
        <v>3000</v>
      </c>
      <c r="DJ41" s="53">
        <v>0.85845000052737486</v>
      </c>
      <c r="DK41" s="507">
        <v>3494.6706251464834</v>
      </c>
      <c r="DL41" s="380">
        <f t="shared" si="13"/>
        <v>12.978524519233815</v>
      </c>
      <c r="DM41" s="506">
        <v>3000</v>
      </c>
      <c r="DN41" s="53">
        <v>0.85774999952894071</v>
      </c>
      <c r="DO41" s="507">
        <v>3497.5225900874852</v>
      </c>
      <c r="DP41" s="380">
        <f t="shared" si="14"/>
        <v>2.8519649410018246</v>
      </c>
      <c r="DQ41" s="506">
        <v>3000</v>
      </c>
      <c r="DR41" s="53">
        <v>0.85095000037133195</v>
      </c>
      <c r="DS41" s="507">
        <v>3525.4715302789587</v>
      </c>
      <c r="DT41" s="380">
        <f t="shared" si="15"/>
        <v>27.948940191473412</v>
      </c>
      <c r="DU41" s="506">
        <v>3000</v>
      </c>
      <c r="DV41" s="53">
        <v>0.84944999993097159</v>
      </c>
      <c r="DW41" s="507">
        <v>3531.6969806860761</v>
      </c>
      <c r="DX41" s="380">
        <f t="shared" si="16"/>
        <v>6.2254504071174779</v>
      </c>
      <c r="DY41" s="506">
        <v>3000</v>
      </c>
      <c r="DZ41" s="53">
        <v>0.85345000000000004</v>
      </c>
      <c r="EA41" s="507">
        <v>3515.144413849669</v>
      </c>
      <c r="EB41" s="380">
        <f t="shared" si="17"/>
        <v>-16.552566836407095</v>
      </c>
      <c r="EC41" s="506">
        <v>3000</v>
      </c>
      <c r="ED41" s="53">
        <v>0.85175000000000001</v>
      </c>
      <c r="EE41" s="507">
        <v>3522.1602582917521</v>
      </c>
      <c r="EF41" s="380">
        <f t="shared" si="18"/>
        <v>7.0158444420831074</v>
      </c>
      <c r="EG41" s="506">
        <v>3000</v>
      </c>
      <c r="EH41" s="53">
        <v>0.84724999999999995</v>
      </c>
      <c r="EI41" s="507">
        <v>3540.8675125405725</v>
      </c>
      <c r="EJ41" s="380">
        <f t="shared" si="19"/>
        <v>18.707254248820391</v>
      </c>
      <c r="EK41" s="506">
        <v>3000</v>
      </c>
      <c r="EL41" s="53">
        <v>0.85085</v>
      </c>
      <c r="EM41" s="507">
        <v>3525.8858788270554</v>
      </c>
      <c r="EN41" s="380">
        <f t="shared" si="20"/>
        <v>-14.981633713517112</v>
      </c>
      <c r="EO41" s="506">
        <v>3000</v>
      </c>
      <c r="EP41" s="53">
        <v>0.84740000000000004</v>
      </c>
      <c r="EQ41" s="507">
        <v>3540.2407363700731</v>
      </c>
      <c r="ER41" s="380">
        <f t="shared" si="21"/>
        <v>14.354857543017715</v>
      </c>
      <c r="ES41" s="506">
        <v>3000</v>
      </c>
      <c r="ET41" s="53">
        <v>0.84755000000000003</v>
      </c>
      <c r="EU41" s="507">
        <v>3539.6141820541561</v>
      </c>
      <c r="EV41" s="380">
        <f t="shared" si="22"/>
        <v>-0.62655431591701927</v>
      </c>
      <c r="EW41" s="506">
        <v>3000</v>
      </c>
      <c r="EX41" s="53">
        <v>0.84325000000000006</v>
      </c>
      <c r="EY41" s="507">
        <v>3557.663800770827</v>
      </c>
      <c r="EZ41" s="380">
        <f t="shared" si="23"/>
        <v>18.049618716670921</v>
      </c>
      <c r="FA41" s="506">
        <v>3000</v>
      </c>
      <c r="FB41" s="53">
        <v>0.84045000000000003</v>
      </c>
      <c r="FC41" s="507">
        <v>3569.5163305372121</v>
      </c>
      <c r="FD41" s="380">
        <f t="shared" si="24"/>
        <v>11.852529766385032</v>
      </c>
      <c r="FE41" s="506">
        <v>3000</v>
      </c>
      <c r="FF41" s="53">
        <v>0.84119999999999995</v>
      </c>
      <c r="FG41" s="507">
        <v>3566.333808844508</v>
      </c>
      <c r="FH41" s="380">
        <f t="shared" si="25"/>
        <v>-3.1825216927040856</v>
      </c>
      <c r="FI41" s="506">
        <v>3000</v>
      </c>
      <c r="FJ41" s="53">
        <v>0.84275</v>
      </c>
      <c r="FK41" s="507">
        <v>3559.7745476119844</v>
      </c>
      <c r="FL41" s="380">
        <f t="shared" si="26"/>
        <v>-6.5592612325235677</v>
      </c>
      <c r="FM41" s="506">
        <v>3000</v>
      </c>
      <c r="FN41" s="53">
        <v>0.84235000000000004</v>
      </c>
      <c r="FO41" s="507">
        <v>3561.4649492491244</v>
      </c>
      <c r="FP41" s="380">
        <f t="shared" si="27"/>
        <v>1.6904016371399848</v>
      </c>
      <c r="FQ41" s="506">
        <v>3000</v>
      </c>
      <c r="FR41" s="53">
        <v>0.84150000000000003</v>
      </c>
      <c r="FS41" s="507">
        <v>3565.0623885918003</v>
      </c>
      <c r="FT41" s="380">
        <f t="shared" si="28"/>
        <v>3.5974393426758979</v>
      </c>
      <c r="FU41" s="506">
        <v>3000</v>
      </c>
      <c r="FV41" s="53">
        <v>0.84399999999999997</v>
      </c>
      <c r="FW41" s="507">
        <v>3554.5023696682465</v>
      </c>
      <c r="FX41" s="380">
        <f t="shared" si="29"/>
        <v>-10.560018923553798</v>
      </c>
      <c r="FY41" s="506">
        <v>3000</v>
      </c>
      <c r="FZ41" s="53">
        <v>0.83975</v>
      </c>
      <c r="GA41" s="507">
        <v>3572.4918130395949</v>
      </c>
      <c r="GB41" s="380">
        <f t="shared" si="30"/>
        <v>17.989443371348443</v>
      </c>
      <c r="GC41" s="506">
        <v>3000</v>
      </c>
      <c r="GD41" s="53">
        <v>0.83904999999999996</v>
      </c>
      <c r="GE41" s="507">
        <v>3575.4722602943807</v>
      </c>
      <c r="GF41" s="380">
        <f t="shared" si="31"/>
        <v>2.9804472547857586</v>
      </c>
      <c r="GG41" s="506">
        <v>3000</v>
      </c>
      <c r="GH41" s="53">
        <v>0.83779999999999999</v>
      </c>
      <c r="GI41" s="507">
        <v>3580.8068751492006</v>
      </c>
      <c r="GJ41" s="380">
        <f t="shared" si="32"/>
        <v>5.3346148548198471</v>
      </c>
      <c r="GK41" s="506">
        <v>3000</v>
      </c>
      <c r="GL41" s="53">
        <v>0.8397</v>
      </c>
      <c r="GM41" s="507">
        <v>3572.7045373347623</v>
      </c>
      <c r="GN41" s="380">
        <f t="shared" si="33"/>
        <v>-8.102337814438215</v>
      </c>
      <c r="GO41" s="506">
        <v>3000</v>
      </c>
      <c r="GP41" s="53">
        <v>0.83720000000000006</v>
      </c>
      <c r="GQ41" s="507">
        <v>3583.3731485905396</v>
      </c>
      <c r="GR41" s="380">
        <f t="shared" si="34"/>
        <v>10.66861125577725</v>
      </c>
      <c r="GS41" s="506">
        <v>3000</v>
      </c>
      <c r="GT41" s="53">
        <v>0.84130000000000005</v>
      </c>
      <c r="GU41" s="507">
        <v>3565.9099013431592</v>
      </c>
      <c r="GV41" s="380">
        <f t="shared" si="35"/>
        <v>-17.463247247380423</v>
      </c>
      <c r="GW41" s="506">
        <v>3000</v>
      </c>
      <c r="GX41" s="53">
        <v>0.84325000000000006</v>
      </c>
      <c r="GY41" s="507">
        <v>3557.663800770827</v>
      </c>
      <c r="GZ41" s="380">
        <f t="shared" si="36"/>
        <v>-8.246100572332125</v>
      </c>
      <c r="HA41" s="506">
        <v>3000</v>
      </c>
      <c r="HB41" s="53">
        <v>0.84345000000000003</v>
      </c>
      <c r="HC41" s="507">
        <v>3556.8202027387515</v>
      </c>
      <c r="HD41" s="380">
        <f t="shared" si="37"/>
        <v>-0.84359803207553341</v>
      </c>
      <c r="HE41" s="506">
        <v>3000</v>
      </c>
      <c r="HF41" s="53">
        <v>0.84189999999999998</v>
      </c>
      <c r="HG41" s="507">
        <v>3563.3685710892032</v>
      </c>
      <c r="HH41" s="380">
        <f t="shared" si="38"/>
        <v>6.5483683504517103</v>
      </c>
      <c r="HI41" s="506">
        <v>3000</v>
      </c>
      <c r="HJ41" s="53">
        <v>0.84194999999999998</v>
      </c>
      <c r="HK41" s="507">
        <v>3563.1569570639585</v>
      </c>
      <c r="HL41" s="380">
        <f t="shared" si="39"/>
        <v>-0.21161402524467121</v>
      </c>
      <c r="HM41" s="506">
        <v>3000</v>
      </c>
      <c r="HN41" s="53">
        <v>0.84260000000000002</v>
      </c>
      <c r="HO41" s="507">
        <v>3560.4082601471637</v>
      </c>
      <c r="HP41" s="380">
        <f t="shared" si="40"/>
        <v>-2.74869691679487</v>
      </c>
      <c r="HQ41" s="506">
        <v>3000</v>
      </c>
      <c r="HR41" s="53">
        <v>0.84609999999999996</v>
      </c>
      <c r="HS41" s="507">
        <v>3545.6801796477957</v>
      </c>
      <c r="HT41" s="380">
        <f t="shared" si="41"/>
        <v>-14.728080499367934</v>
      </c>
      <c r="HU41" s="506">
        <v>3000</v>
      </c>
      <c r="HV41" s="53">
        <v>0.84714999999999996</v>
      </c>
      <c r="HW41" s="507">
        <v>3541.2854866316475</v>
      </c>
      <c r="HX41" s="380">
        <f t="shared" si="42"/>
        <v>-4.3946930161482669</v>
      </c>
      <c r="HY41" s="506">
        <v>3000</v>
      </c>
      <c r="HZ41" s="53">
        <v>0.85004999999999997</v>
      </c>
      <c r="IA41" s="507">
        <v>3529.2041644609144</v>
      </c>
      <c r="IB41" s="380">
        <f t="shared" si="43"/>
        <v>-12.081322170733074</v>
      </c>
      <c r="IC41" s="506">
        <v>3000</v>
      </c>
      <c r="ID41" s="53">
        <v>0.85004999999999997</v>
      </c>
      <c r="IE41" s="507">
        <v>3529.2041644609144</v>
      </c>
      <c r="IF41" s="380">
        <f t="shared" si="44"/>
        <v>0</v>
      </c>
      <c r="IG41" s="506">
        <v>3000</v>
      </c>
      <c r="IH41" s="53">
        <v>0.85004999999999997</v>
      </c>
      <c r="II41" s="507">
        <v>3529.2041644609144</v>
      </c>
      <c r="IJ41" s="380">
        <f t="shared" si="45"/>
        <v>0</v>
      </c>
      <c r="IK41" s="506">
        <v>3000</v>
      </c>
      <c r="IL41" s="53">
        <v>0.85004999999999997</v>
      </c>
      <c r="IM41" s="507">
        <v>3529.2041644609144</v>
      </c>
      <c r="IN41" s="380">
        <f t="shared" si="46"/>
        <v>0</v>
      </c>
      <c r="IO41" s="506">
        <v>3000</v>
      </c>
      <c r="IP41" s="53">
        <v>0.85004999999999997</v>
      </c>
      <c r="IQ41" s="507">
        <v>3529.2041644609144</v>
      </c>
      <c r="IR41" s="380">
        <f t="shared" si="47"/>
        <v>0</v>
      </c>
      <c r="IS41" s="506">
        <v>0</v>
      </c>
      <c r="IT41" s="53">
        <v>0.85004999999999997</v>
      </c>
      <c r="IU41" s="507">
        <v>0</v>
      </c>
      <c r="IV41" s="380">
        <f t="shared" si="48"/>
        <v>-3529.2041644609144</v>
      </c>
      <c r="IW41" s="506">
        <v>0</v>
      </c>
      <c r="IX41" s="53">
        <v>0.8528</v>
      </c>
      <c r="IY41" s="507">
        <v>0</v>
      </c>
      <c r="IZ41" s="380">
        <f t="shared" si="49"/>
        <v>0</v>
      </c>
    </row>
    <row r="42" spans="1:260">
      <c r="A42" s="13" t="s">
        <v>577</v>
      </c>
      <c r="B42" s="13" t="s">
        <v>578</v>
      </c>
      <c r="C42" s="13" t="s">
        <v>579</v>
      </c>
      <c r="D42" s="13" t="s">
        <v>306</v>
      </c>
      <c r="E42" s="13" t="s">
        <v>4</v>
      </c>
      <c r="F42" s="13" t="s">
        <v>424</v>
      </c>
      <c r="G42" s="13" t="s">
        <v>580</v>
      </c>
      <c r="H42" s="49" t="s">
        <v>512</v>
      </c>
      <c r="I42" s="14">
        <f>+VLOOKUP(F42,'HSBC - Banco'!$B$3:$G$39,6, FALSE)</f>
        <v>8632.57</v>
      </c>
      <c r="J42" s="14">
        <f>+VLOOKUP(E42,'Summary - Colar'!$M$39:$N$54,2,FALSE)</f>
        <v>0.8528</v>
      </c>
      <c r="K42" s="14">
        <f t="shared" si="50"/>
        <v>10122.619606003753</v>
      </c>
      <c r="L42" s="506">
        <v>336482.53</v>
      </c>
      <c r="M42" s="53">
        <v>0.82944999704118039</v>
      </c>
      <c r="N42" s="507">
        <v>405669.45711049828</v>
      </c>
      <c r="O42" s="506">
        <v>370682.53</v>
      </c>
      <c r="P42" s="53">
        <v>0.82985000194803504</v>
      </c>
      <c r="Q42" s="507">
        <v>446686.18320159026</v>
      </c>
      <c r="R42" s="506">
        <v>420026.77</v>
      </c>
      <c r="S42" s="53">
        <v>0.83675000142339673</v>
      </c>
      <c r="T42" s="507">
        <v>501974.02962114348</v>
      </c>
      <c r="U42" s="506">
        <v>531086.77</v>
      </c>
      <c r="V42" s="53">
        <v>0.84450000060846753</v>
      </c>
      <c r="W42" s="507">
        <v>628877.1694699215</v>
      </c>
      <c r="X42" s="506">
        <v>131086.76999999999</v>
      </c>
      <c r="Y42" s="53">
        <v>0.84404999960386917</v>
      </c>
      <c r="Z42" s="507">
        <v>155306.87762753607</v>
      </c>
      <c r="AA42" s="506">
        <v>131086.76999999999</v>
      </c>
      <c r="AB42" s="53">
        <v>0.83594999940504033</v>
      </c>
      <c r="AC42" s="507">
        <v>156811.73526322944</v>
      </c>
      <c r="AD42" s="506">
        <v>132686.76999999999</v>
      </c>
      <c r="AE42" s="53">
        <v>0.83355000042005567</v>
      </c>
      <c r="AF42" s="507">
        <v>159182.73640829511</v>
      </c>
      <c r="AG42" s="506">
        <v>132653.41</v>
      </c>
      <c r="AH42" s="53">
        <v>0.83210000018059904</v>
      </c>
      <c r="AI42" s="507">
        <v>159420.03361520119</v>
      </c>
      <c r="AJ42" s="506">
        <v>132653.41</v>
      </c>
      <c r="AK42" s="53">
        <v>0.82765000030319136</v>
      </c>
      <c r="AL42" s="507">
        <v>160277.18232514389</v>
      </c>
      <c r="AM42" s="506">
        <v>74937.240000000005</v>
      </c>
      <c r="AN42" s="53">
        <v>0.82594999743944864</v>
      </c>
      <c r="AO42" s="507">
        <v>90728.543171275625</v>
      </c>
      <c r="AP42" s="506">
        <v>104637.24</v>
      </c>
      <c r="AQ42" s="53">
        <v>0.84075000044594062</v>
      </c>
      <c r="AR42" s="507">
        <v>124457.02045138218</v>
      </c>
      <c r="AS42" s="506">
        <v>110963.44</v>
      </c>
      <c r="AT42" s="53">
        <v>0.84175</v>
      </c>
      <c r="AU42" s="507">
        <v>131824.69854469853</v>
      </c>
      <c r="AV42" s="506">
        <v>110963.44</v>
      </c>
      <c r="AW42" s="53">
        <v>0.83715000023255848</v>
      </c>
      <c r="AX42" s="507">
        <v>132549.05329890054</v>
      </c>
      <c r="AY42" s="506">
        <v>110963.44</v>
      </c>
      <c r="AZ42" s="53">
        <v>0.83345000011593484</v>
      </c>
      <c r="BA42" s="507">
        <v>133137.48873305504</v>
      </c>
      <c r="BB42" s="506">
        <v>110963.44</v>
      </c>
      <c r="BC42" s="53">
        <v>0.8352999999595857</v>
      </c>
      <c r="BD42" s="507">
        <v>132842.61942460045</v>
      </c>
      <c r="BE42" s="506">
        <v>110963.44</v>
      </c>
      <c r="BF42" s="53">
        <v>0.83619999978584703</v>
      </c>
      <c r="BG42" s="507">
        <v>132699.64126813924</v>
      </c>
      <c r="BH42" s="380">
        <f t="shared" si="0"/>
        <v>132698.80596813929</v>
      </c>
      <c r="BI42" s="506">
        <v>110963.44</v>
      </c>
      <c r="BJ42" s="53">
        <v>0.83434999986719449</v>
      </c>
      <c r="BK42" s="507">
        <v>132993.87549309322</v>
      </c>
      <c r="BL42" s="380">
        <f t="shared" si="1"/>
        <v>294.23422495397972</v>
      </c>
      <c r="BM42" s="506">
        <v>110963.44</v>
      </c>
      <c r="BN42" s="53">
        <v>0.84160000070083552</v>
      </c>
      <c r="BO42" s="507">
        <v>131848.19380655431</v>
      </c>
      <c r="BP42">
        <v>-69548.639153868266</v>
      </c>
      <c r="BQ42" s="506">
        <v>110963.44</v>
      </c>
      <c r="BR42" s="53">
        <v>0.84934999973825842</v>
      </c>
      <c r="BS42" s="507">
        <v>130645.1286680347</v>
      </c>
      <c r="BT42" s="380">
        <f t="shared" si="2"/>
        <v>-1203.0651385196106</v>
      </c>
      <c r="BU42" s="506">
        <v>110963.44</v>
      </c>
      <c r="BV42" s="53">
        <v>0.85520000047240285</v>
      </c>
      <c r="BW42" s="507">
        <v>129751.44988155407</v>
      </c>
      <c r="BX42" s="380">
        <f t="shared" si="3"/>
        <v>-893.67878648062469</v>
      </c>
      <c r="BY42" s="506">
        <v>110963.44</v>
      </c>
      <c r="BZ42" s="53">
        <v>0.85570000024121062</v>
      </c>
      <c r="CA42" s="507">
        <v>129675.63394731899</v>
      </c>
      <c r="CB42" s="380">
        <f t="shared" si="4"/>
        <v>-75.815934235084569</v>
      </c>
      <c r="CC42" s="506">
        <v>110963.44</v>
      </c>
      <c r="CD42" s="53">
        <v>0.86369999964947808</v>
      </c>
      <c r="CE42" s="507">
        <v>128474.51666670504</v>
      </c>
      <c r="CF42" s="380">
        <f t="shared" si="5"/>
        <v>-1201.1172806139512</v>
      </c>
      <c r="CG42" s="506">
        <v>110963.44</v>
      </c>
      <c r="CH42" s="53">
        <v>0.85609999997089647</v>
      </c>
      <c r="CI42" s="507">
        <v>129615.04497578817</v>
      </c>
      <c r="CJ42" s="380">
        <f t="shared" si="6"/>
        <v>1140.5283090831363</v>
      </c>
      <c r="CK42" s="506">
        <v>110963.44</v>
      </c>
      <c r="CL42" s="53">
        <v>0.86570000046334739</v>
      </c>
      <c r="CM42" s="507">
        <v>128177.7058341333</v>
      </c>
      <c r="CN42" s="380">
        <f t="shared" si="7"/>
        <v>-1437.3391416548693</v>
      </c>
      <c r="CO42" s="506">
        <v>110947.64</v>
      </c>
      <c r="CP42" s="53">
        <v>0.86384999950164088</v>
      </c>
      <c r="CQ42" s="507">
        <v>128433.91799965991</v>
      </c>
      <c r="CR42" s="380">
        <f t="shared" si="8"/>
        <v>256.21216552660917</v>
      </c>
      <c r="CS42" s="506">
        <v>110947.64</v>
      </c>
      <c r="CT42" s="53">
        <v>0.85580000078257989</v>
      </c>
      <c r="CU42" s="507">
        <v>129642.01904480575</v>
      </c>
      <c r="CV42" s="380">
        <f t="shared" si="9"/>
        <v>1208.1010451458424</v>
      </c>
      <c r="CW42" s="506">
        <v>110947.64</v>
      </c>
      <c r="CX42" s="53">
        <v>0.85619999953234882</v>
      </c>
      <c r="CY42" s="507">
        <v>129581.45300233465</v>
      </c>
      <c r="CZ42" s="380">
        <f t="shared" si="10"/>
        <v>-60.56604247110954</v>
      </c>
      <c r="DA42" s="506">
        <v>110947.64</v>
      </c>
      <c r="DB42" s="53">
        <v>0.85640000044870379</v>
      </c>
      <c r="DC42" s="507">
        <v>129551.19096435064</v>
      </c>
      <c r="DD42" s="380">
        <f t="shared" si="11"/>
        <v>-30.262037984008202</v>
      </c>
      <c r="DE42" s="506">
        <v>110947.64</v>
      </c>
      <c r="DF42" s="53">
        <v>0.86165000042925399</v>
      </c>
      <c r="DG42" s="507">
        <v>128761.84059041196</v>
      </c>
      <c r="DH42" s="380">
        <f t="shared" si="12"/>
        <v>-789.3503739386797</v>
      </c>
      <c r="DI42" s="506">
        <v>110947.64</v>
      </c>
      <c r="DJ42" s="53">
        <v>0.85845000052737486</v>
      </c>
      <c r="DK42" s="507">
        <v>129241.81947910899</v>
      </c>
      <c r="DL42" s="380">
        <f t="shared" si="13"/>
        <v>479.97888869703456</v>
      </c>
      <c r="DM42" s="506">
        <v>110947.64</v>
      </c>
      <c r="DN42" s="53">
        <v>0.85774999952894071</v>
      </c>
      <c r="DO42" s="507">
        <v>129347.29240563129</v>
      </c>
      <c r="DP42" s="380">
        <f t="shared" si="14"/>
        <v>105.47292652229953</v>
      </c>
      <c r="DQ42" s="506">
        <v>112240.05</v>
      </c>
      <c r="DR42" s="53">
        <v>0.85095000037133195</v>
      </c>
      <c r="DS42" s="507">
        <v>131899.70027736228</v>
      </c>
      <c r="DT42" s="380">
        <f t="shared" si="15"/>
        <v>2552.4078717309894</v>
      </c>
      <c r="DU42" s="506">
        <v>112240.05</v>
      </c>
      <c r="DV42" s="53">
        <v>0.84944999993097159</v>
      </c>
      <c r="DW42" s="507">
        <v>132132.61523235141</v>
      </c>
      <c r="DX42" s="380">
        <f t="shared" si="16"/>
        <v>232.91495498912991</v>
      </c>
      <c r="DY42" s="506">
        <v>112240.05</v>
      </c>
      <c r="DZ42" s="53">
        <v>0.85345000000000004</v>
      </c>
      <c r="EA42" s="507">
        <v>131513.32825590251</v>
      </c>
      <c r="EB42" s="380">
        <f t="shared" si="17"/>
        <v>-619.28697644890053</v>
      </c>
      <c r="EC42" s="506">
        <v>112240.05</v>
      </c>
      <c r="ED42" s="53">
        <v>0.85175000000000001</v>
      </c>
      <c r="EE42" s="507">
        <v>131775.81449955972</v>
      </c>
      <c r="EF42" s="380">
        <f t="shared" si="18"/>
        <v>262.4862436572148</v>
      </c>
      <c r="EG42" s="506">
        <v>112222.72</v>
      </c>
      <c r="EH42" s="53">
        <v>0.84724999999999995</v>
      </c>
      <c r="EI42" s="507">
        <v>132455.26113897905</v>
      </c>
      <c r="EJ42" s="380">
        <f t="shared" si="19"/>
        <v>679.44663941932959</v>
      </c>
      <c r="EK42" s="506">
        <v>112222.72</v>
      </c>
      <c r="EL42" s="53">
        <v>0.85085</v>
      </c>
      <c r="EM42" s="507">
        <v>131894.83457718752</v>
      </c>
      <c r="EN42" s="380">
        <f t="shared" si="20"/>
        <v>-560.4265617915371</v>
      </c>
      <c r="EO42" s="506">
        <v>10222.719999999999</v>
      </c>
      <c r="EP42" s="53">
        <v>0.84740000000000004</v>
      </c>
      <c r="EQ42" s="507">
        <v>12063.629926835023</v>
      </c>
      <c r="ER42" s="380">
        <f t="shared" si="21"/>
        <v>-119831.20465035249</v>
      </c>
      <c r="ES42" s="506">
        <v>10222.719999999999</v>
      </c>
      <c r="ET42" s="53">
        <v>0.84755000000000003</v>
      </c>
      <c r="EU42" s="507">
        <v>12061.49489705622</v>
      </c>
      <c r="EV42" s="380">
        <f t="shared" si="22"/>
        <v>-2.135029778803073</v>
      </c>
      <c r="EW42" s="506">
        <v>10222.719999999999</v>
      </c>
      <c r="EX42" s="53">
        <v>0.84325000000000006</v>
      </c>
      <c r="EY42" s="507">
        <v>12123.000296471982</v>
      </c>
      <c r="EZ42" s="380">
        <f t="shared" si="23"/>
        <v>61.50539941576244</v>
      </c>
      <c r="FA42" s="506">
        <v>10222.719999999999</v>
      </c>
      <c r="FB42" s="53">
        <v>0.84045000000000003</v>
      </c>
      <c r="FC42" s="507">
        <v>12163.388660836456</v>
      </c>
      <c r="FD42" s="380">
        <f t="shared" si="24"/>
        <v>40.388364364473091</v>
      </c>
      <c r="FE42" s="506">
        <v>10222.719999999999</v>
      </c>
      <c r="FF42" s="53">
        <v>0.84119999999999995</v>
      </c>
      <c r="FG42" s="507">
        <v>12152.543984783642</v>
      </c>
      <c r="FH42" s="380">
        <f t="shared" si="25"/>
        <v>-10.844676052813156</v>
      </c>
      <c r="FI42" s="506">
        <v>10207.32</v>
      </c>
      <c r="FJ42" s="53">
        <v>0.84275</v>
      </c>
      <c r="FK42" s="507">
        <v>12111.919311776921</v>
      </c>
      <c r="FL42" s="380">
        <f t="shared" si="26"/>
        <v>-40.624673006721423</v>
      </c>
      <c r="FM42" s="506">
        <v>10207.32</v>
      </c>
      <c r="FN42" s="53">
        <v>0.84235000000000004</v>
      </c>
      <c r="FO42" s="507">
        <v>12117.67080192319</v>
      </c>
      <c r="FP42" s="380">
        <f t="shared" si="27"/>
        <v>5.7514901462691341</v>
      </c>
      <c r="FQ42" s="506">
        <v>10207.32</v>
      </c>
      <c r="FR42" s="53">
        <v>0.84150000000000003</v>
      </c>
      <c r="FS42" s="507">
        <v>12129.910873440285</v>
      </c>
      <c r="FT42" s="380">
        <f t="shared" si="28"/>
        <v>12.240071517095203</v>
      </c>
      <c r="FU42" s="506">
        <v>10207.32</v>
      </c>
      <c r="FV42" s="53">
        <v>0.84399999999999997</v>
      </c>
      <c r="FW42" s="507">
        <v>12093.981042654028</v>
      </c>
      <c r="FX42" s="380">
        <f t="shared" si="29"/>
        <v>-35.929830786257298</v>
      </c>
      <c r="FY42" s="506">
        <v>10207.32</v>
      </c>
      <c r="FZ42" s="53">
        <v>0.83975</v>
      </c>
      <c r="GA42" s="507">
        <v>12155.18904435844</v>
      </c>
      <c r="GB42" s="380">
        <f t="shared" si="30"/>
        <v>61.208001704411799</v>
      </c>
      <c r="GC42" s="506">
        <v>10207.32</v>
      </c>
      <c r="GD42" s="53">
        <v>0.83904999999999996</v>
      </c>
      <c r="GE42" s="507">
        <v>12165.329837316012</v>
      </c>
      <c r="GF42" s="380">
        <f t="shared" si="31"/>
        <v>10.140792957572557</v>
      </c>
      <c r="GG42" s="506">
        <v>10207.32</v>
      </c>
      <c r="GH42" s="53">
        <v>0.83779999999999999</v>
      </c>
      <c r="GI42" s="507">
        <v>12183.480544282645</v>
      </c>
      <c r="GJ42" s="380">
        <f t="shared" si="32"/>
        <v>18.150706966633152</v>
      </c>
      <c r="GK42" s="506">
        <v>10207.32</v>
      </c>
      <c r="GL42" s="53">
        <v>0.8397</v>
      </c>
      <c r="GM42" s="507">
        <v>12155.912826009289</v>
      </c>
      <c r="GN42" s="380">
        <f t="shared" si="33"/>
        <v>-27.567718273356149</v>
      </c>
      <c r="GO42" s="506">
        <v>10207.32</v>
      </c>
      <c r="GP42" s="53">
        <v>0.83720000000000006</v>
      </c>
      <c r="GQ42" s="507">
        <v>12192.212135690395</v>
      </c>
      <c r="GR42" s="380">
        <f t="shared" si="34"/>
        <v>36.299309681106024</v>
      </c>
      <c r="GS42" s="506">
        <v>10207.32</v>
      </c>
      <c r="GT42" s="53">
        <v>0.84130000000000005</v>
      </c>
      <c r="GU42" s="507">
        <v>12132.794484726019</v>
      </c>
      <c r="GV42" s="380">
        <f t="shared" si="35"/>
        <v>-59.417650964376662</v>
      </c>
      <c r="GW42" s="506">
        <v>10207.32</v>
      </c>
      <c r="GX42" s="53">
        <v>0.84325000000000006</v>
      </c>
      <c r="GY42" s="507">
        <v>12104.737622294691</v>
      </c>
      <c r="GZ42" s="380">
        <f t="shared" si="36"/>
        <v>-28.056862431327318</v>
      </c>
      <c r="HA42" s="506">
        <v>10207.32</v>
      </c>
      <c r="HB42" s="53">
        <v>0.84345000000000003</v>
      </c>
      <c r="HC42" s="507">
        <v>12101.867330606437</v>
      </c>
      <c r="HD42" s="380">
        <f t="shared" si="37"/>
        <v>-2.8702916882539284</v>
      </c>
      <c r="HE42" s="506">
        <v>10207.32</v>
      </c>
      <c r="HF42" s="53">
        <v>0.84189999999999998</v>
      </c>
      <c r="HG42" s="507">
        <v>12124.147761016748</v>
      </c>
      <c r="HH42" s="380">
        <f t="shared" si="38"/>
        <v>22.280430410310146</v>
      </c>
      <c r="HI42" s="506">
        <v>10207.32</v>
      </c>
      <c r="HJ42" s="53">
        <v>0.84194999999999998</v>
      </c>
      <c r="HK42" s="507">
        <v>12123.427756992696</v>
      </c>
      <c r="HL42" s="380">
        <f t="shared" si="39"/>
        <v>-0.7200040240513772</v>
      </c>
      <c r="HM42" s="506">
        <v>10207.32</v>
      </c>
      <c r="HN42" s="53">
        <v>0.84260000000000002</v>
      </c>
      <c r="HO42" s="507">
        <v>12114.075480655114</v>
      </c>
      <c r="HP42" s="380">
        <f t="shared" si="40"/>
        <v>-9.3522763375822251</v>
      </c>
      <c r="HQ42" s="506">
        <v>10207.32</v>
      </c>
      <c r="HR42" s="53">
        <v>0.84609999999999996</v>
      </c>
      <c r="HS42" s="507">
        <v>12063.964070440847</v>
      </c>
      <c r="HT42" s="380">
        <f t="shared" si="41"/>
        <v>-50.11141021426738</v>
      </c>
      <c r="HU42" s="506">
        <v>10207.32</v>
      </c>
      <c r="HV42" s="53">
        <v>0.84714999999999996</v>
      </c>
      <c r="HW42" s="507">
        <v>12049.011391134982</v>
      </c>
      <c r="HX42" s="380">
        <f t="shared" si="42"/>
        <v>-14.952679305864876</v>
      </c>
      <c r="HY42" s="506">
        <v>10192.120000000001</v>
      </c>
      <c r="HZ42" s="53">
        <v>0.85004999999999997</v>
      </c>
      <c r="IA42" s="507">
        <v>11990.024116228458</v>
      </c>
      <c r="IB42" s="380">
        <f t="shared" si="43"/>
        <v>-58.987274906523453</v>
      </c>
      <c r="IC42" s="506">
        <v>10192.120000000001</v>
      </c>
      <c r="ID42" s="53">
        <v>0.85004999999999997</v>
      </c>
      <c r="IE42" s="507">
        <v>11990.024116228458</v>
      </c>
      <c r="IF42" s="380">
        <f t="shared" si="44"/>
        <v>0</v>
      </c>
      <c r="IG42" s="506">
        <v>10192.120000000001</v>
      </c>
      <c r="IH42" s="53">
        <v>0.85004999999999997</v>
      </c>
      <c r="II42" s="507">
        <v>11990.024116228458</v>
      </c>
      <c r="IJ42" s="380">
        <f t="shared" si="45"/>
        <v>0</v>
      </c>
      <c r="IK42" s="506">
        <v>10192.120000000001</v>
      </c>
      <c r="IL42" s="53">
        <v>0.85004999999999997</v>
      </c>
      <c r="IM42" s="507">
        <v>11990.024116228458</v>
      </c>
      <c r="IN42" s="380">
        <f t="shared" si="46"/>
        <v>0</v>
      </c>
      <c r="IO42" s="506">
        <v>10192.120000000001</v>
      </c>
      <c r="IP42" s="53">
        <v>0.85004999999999997</v>
      </c>
      <c r="IQ42" s="507">
        <v>11990.024116228458</v>
      </c>
      <c r="IR42" s="380">
        <f t="shared" si="47"/>
        <v>0</v>
      </c>
      <c r="IS42" s="506">
        <v>8632.57</v>
      </c>
      <c r="IT42" s="53">
        <v>0.85004999999999997</v>
      </c>
      <c r="IU42" s="507">
        <v>10155.367331333451</v>
      </c>
      <c r="IV42" s="380">
        <f t="shared" si="48"/>
        <v>-1834.6567848950071</v>
      </c>
      <c r="IW42" s="506">
        <v>8632.57</v>
      </c>
      <c r="IX42" s="53">
        <v>0.8528</v>
      </c>
      <c r="IY42" s="507">
        <v>10122.619606003753</v>
      </c>
      <c r="IZ42" s="380">
        <f t="shared" si="49"/>
        <v>-32.747725329698369</v>
      </c>
    </row>
    <row r="43" spans="1:260">
      <c r="A43" s="13" t="s">
        <v>581</v>
      </c>
      <c r="B43" s="13" t="s">
        <v>582</v>
      </c>
      <c r="C43" s="13" t="s">
        <v>583</v>
      </c>
      <c r="D43" s="13" t="s">
        <v>584</v>
      </c>
      <c r="E43" s="13" t="s">
        <v>585</v>
      </c>
      <c r="F43" s="13">
        <v>634305013724</v>
      </c>
      <c r="G43" s="13"/>
      <c r="H43" s="49" t="s">
        <v>543</v>
      </c>
      <c r="I43" s="14" t="s">
        <v>494</v>
      </c>
      <c r="J43" s="14"/>
      <c r="K43" s="14"/>
      <c r="L43" s="506" t="s">
        <v>494</v>
      </c>
      <c r="M43" s="53"/>
      <c r="N43" s="507"/>
      <c r="O43" s="506" t="s">
        <v>494</v>
      </c>
      <c r="P43" s="53"/>
      <c r="Q43" s="507"/>
      <c r="R43" s="506" t="s">
        <v>494</v>
      </c>
      <c r="S43" s="53"/>
      <c r="T43" s="507"/>
      <c r="U43" s="506" t="s">
        <v>494</v>
      </c>
      <c r="V43" s="53"/>
      <c r="W43" s="507"/>
      <c r="X43" s="506" t="s">
        <v>494</v>
      </c>
      <c r="Y43" s="53"/>
      <c r="Z43" s="507"/>
      <c r="AA43" s="506" t="s">
        <v>494</v>
      </c>
      <c r="AB43" s="53"/>
      <c r="AC43" s="507"/>
      <c r="AD43" s="506" t="s">
        <v>494</v>
      </c>
      <c r="AE43" s="53"/>
      <c r="AF43" s="507"/>
      <c r="AG43" s="506" t="s">
        <v>494</v>
      </c>
      <c r="AH43" s="53"/>
      <c r="AI43" s="507"/>
      <c r="AJ43" s="506" t="s">
        <v>494</v>
      </c>
      <c r="AK43" s="53"/>
      <c r="AL43" s="507"/>
      <c r="AM43" s="506" t="s">
        <v>494</v>
      </c>
      <c r="AN43" s="53"/>
      <c r="AO43" s="507"/>
      <c r="AP43" s="506" t="s">
        <v>494</v>
      </c>
      <c r="AQ43" s="53"/>
      <c r="AR43" s="507"/>
      <c r="AS43" s="506" t="s">
        <v>494</v>
      </c>
      <c r="AT43" s="53"/>
      <c r="AU43" s="507"/>
      <c r="AV43" s="506" t="s">
        <v>494</v>
      </c>
      <c r="AW43" s="53"/>
      <c r="AX43" s="507"/>
      <c r="AY43" s="506" t="s">
        <v>494</v>
      </c>
      <c r="AZ43" s="53"/>
      <c r="BA43" s="507"/>
      <c r="BB43" s="506" t="s">
        <v>494</v>
      </c>
      <c r="BC43" s="53"/>
      <c r="BD43" s="507"/>
      <c r="BE43" s="506" t="s">
        <v>494</v>
      </c>
      <c r="BF43" s="53"/>
      <c r="BG43" s="507"/>
      <c r="BH43" s="380">
        <f t="shared" si="0"/>
        <v>0</v>
      </c>
      <c r="BI43" s="506" t="s">
        <v>494</v>
      </c>
      <c r="BJ43" s="53"/>
      <c r="BK43" s="507"/>
      <c r="BL43" s="380">
        <f t="shared" si="1"/>
        <v>0</v>
      </c>
      <c r="BM43" s="506" t="s">
        <v>494</v>
      </c>
      <c r="BN43" s="53"/>
      <c r="BO43" s="507"/>
      <c r="BP43">
        <v>0</v>
      </c>
      <c r="BQ43" s="506" t="s">
        <v>494</v>
      </c>
      <c r="BR43" s="53"/>
      <c r="BS43" s="507"/>
      <c r="BT43" s="380">
        <f t="shared" si="2"/>
        <v>0</v>
      </c>
      <c r="BU43" s="506" t="s">
        <v>494</v>
      </c>
      <c r="BV43" s="53"/>
      <c r="BW43" s="507"/>
      <c r="BX43" s="380">
        <f t="shared" si="3"/>
        <v>0</v>
      </c>
      <c r="BY43" s="506" t="s">
        <v>494</v>
      </c>
      <c r="BZ43" s="53"/>
      <c r="CA43" s="507"/>
      <c r="CB43" s="380">
        <f t="shared" si="4"/>
        <v>0</v>
      </c>
      <c r="CC43" s="506" t="s">
        <v>494</v>
      </c>
      <c r="CD43" s="53"/>
      <c r="CE43" s="507"/>
      <c r="CF43" s="380">
        <f t="shared" si="5"/>
        <v>0</v>
      </c>
      <c r="CG43" s="506" t="s">
        <v>494</v>
      </c>
      <c r="CH43" s="53"/>
      <c r="CI43" s="507"/>
      <c r="CJ43" s="380">
        <f t="shared" si="6"/>
        <v>0</v>
      </c>
      <c r="CK43" s="506" t="s">
        <v>494</v>
      </c>
      <c r="CL43" s="53"/>
      <c r="CM43" s="507"/>
      <c r="CN43" s="380">
        <f t="shared" si="7"/>
        <v>0</v>
      </c>
      <c r="CO43" s="506" t="s">
        <v>494</v>
      </c>
      <c r="CP43" s="53"/>
      <c r="CQ43" s="507"/>
      <c r="CR43" s="380">
        <f t="shared" si="8"/>
        <v>0</v>
      </c>
      <c r="CS43" s="506" t="s">
        <v>494</v>
      </c>
      <c r="CT43" s="53"/>
      <c r="CU43" s="507"/>
      <c r="CV43" s="380">
        <f t="shared" si="9"/>
        <v>0</v>
      </c>
      <c r="CW43" s="506" t="s">
        <v>494</v>
      </c>
      <c r="CX43" s="53"/>
      <c r="CY43" s="507"/>
      <c r="CZ43" s="380">
        <f t="shared" si="10"/>
        <v>0</v>
      </c>
      <c r="DA43" s="506" t="s">
        <v>494</v>
      </c>
      <c r="DB43" s="53"/>
      <c r="DC43" s="507"/>
      <c r="DD43" s="380">
        <f t="shared" si="11"/>
        <v>0</v>
      </c>
      <c r="DE43" s="506" t="s">
        <v>494</v>
      </c>
      <c r="DF43" s="53"/>
      <c r="DG43" s="507"/>
      <c r="DH43" s="380">
        <f t="shared" si="12"/>
        <v>0</v>
      </c>
      <c r="DI43" s="506" t="s">
        <v>494</v>
      </c>
      <c r="DJ43" s="53"/>
      <c r="DK43" s="507"/>
      <c r="DL43" s="380">
        <f t="shared" si="13"/>
        <v>0</v>
      </c>
      <c r="DM43" s="506" t="s">
        <v>494</v>
      </c>
      <c r="DN43" s="53"/>
      <c r="DO43" s="507"/>
      <c r="DP43" s="380">
        <f t="shared" si="14"/>
        <v>0</v>
      </c>
      <c r="DQ43" s="506" t="s">
        <v>494</v>
      </c>
      <c r="DR43" s="53"/>
      <c r="DS43" s="507"/>
      <c r="DT43" s="380">
        <f t="shared" si="15"/>
        <v>0</v>
      </c>
      <c r="DU43" s="506" t="s">
        <v>494</v>
      </c>
      <c r="DV43" s="53"/>
      <c r="DW43" s="507"/>
      <c r="DX43" s="380">
        <f t="shared" si="16"/>
        <v>0</v>
      </c>
      <c r="DY43" s="506" t="s">
        <v>494</v>
      </c>
      <c r="DZ43" s="53"/>
      <c r="EA43" s="507"/>
      <c r="EB43" s="380">
        <f t="shared" si="17"/>
        <v>0</v>
      </c>
      <c r="EC43" s="506" t="s">
        <v>494</v>
      </c>
      <c r="ED43" s="53"/>
      <c r="EE43" s="507"/>
      <c r="EF43" s="380">
        <f t="shared" si="18"/>
        <v>0</v>
      </c>
      <c r="EG43" s="506" t="s">
        <v>494</v>
      </c>
      <c r="EH43" s="53"/>
      <c r="EI43" s="507"/>
      <c r="EJ43" s="380">
        <f t="shared" si="19"/>
        <v>0</v>
      </c>
      <c r="EK43" s="506" t="s">
        <v>494</v>
      </c>
      <c r="EL43" s="53"/>
      <c r="EM43" s="507"/>
      <c r="EN43" s="380">
        <f t="shared" si="20"/>
        <v>0</v>
      </c>
      <c r="EO43" s="506" t="s">
        <v>494</v>
      </c>
      <c r="EP43" s="53"/>
      <c r="EQ43" s="507"/>
      <c r="ER43" s="380">
        <f t="shared" si="21"/>
        <v>0</v>
      </c>
      <c r="ES43" s="506" t="s">
        <v>494</v>
      </c>
      <c r="ET43" s="53"/>
      <c r="EU43" s="507"/>
      <c r="EV43" s="380">
        <f t="shared" si="22"/>
        <v>0</v>
      </c>
      <c r="EW43" s="506" t="s">
        <v>494</v>
      </c>
      <c r="EX43" s="53"/>
      <c r="EY43" s="507"/>
      <c r="EZ43" s="380">
        <f t="shared" si="23"/>
        <v>0</v>
      </c>
      <c r="FA43" s="506" t="s">
        <v>494</v>
      </c>
      <c r="FB43" s="53"/>
      <c r="FC43" s="507"/>
      <c r="FD43" s="380">
        <f t="shared" si="24"/>
        <v>0</v>
      </c>
      <c r="FE43" s="506" t="s">
        <v>494</v>
      </c>
      <c r="FF43" s="53"/>
      <c r="FG43" s="507"/>
      <c r="FH43" s="380">
        <f t="shared" si="25"/>
        <v>0</v>
      </c>
      <c r="FI43" s="506" t="s">
        <v>494</v>
      </c>
      <c r="FJ43" s="53"/>
      <c r="FK43" s="507"/>
      <c r="FL43" s="380">
        <f t="shared" si="26"/>
        <v>0</v>
      </c>
      <c r="FM43" s="506" t="s">
        <v>494</v>
      </c>
      <c r="FN43" s="53"/>
      <c r="FO43" s="507"/>
      <c r="FP43" s="380">
        <f t="shared" si="27"/>
        <v>0</v>
      </c>
      <c r="FQ43" s="506" t="s">
        <v>494</v>
      </c>
      <c r="FR43" s="53"/>
      <c r="FS43" s="507"/>
      <c r="FT43" s="380">
        <f t="shared" si="28"/>
        <v>0</v>
      </c>
      <c r="FU43" s="506" t="s">
        <v>494</v>
      </c>
      <c r="FV43" s="53"/>
      <c r="FW43" s="507"/>
      <c r="FX43" s="380">
        <f t="shared" si="29"/>
        <v>0</v>
      </c>
      <c r="FY43" s="506" t="s">
        <v>494</v>
      </c>
      <c r="FZ43" s="53"/>
      <c r="GA43" s="507"/>
      <c r="GB43" s="380">
        <f t="shared" si="30"/>
        <v>0</v>
      </c>
      <c r="GC43" s="506" t="s">
        <v>494</v>
      </c>
      <c r="GD43" s="53"/>
      <c r="GE43" s="507"/>
      <c r="GF43" s="380">
        <f t="shared" si="31"/>
        <v>0</v>
      </c>
      <c r="GG43" s="506" t="s">
        <v>494</v>
      </c>
      <c r="GH43" s="53"/>
      <c r="GI43" s="507"/>
      <c r="GJ43" s="380">
        <f t="shared" si="32"/>
        <v>0</v>
      </c>
      <c r="GK43" s="506" t="s">
        <v>494</v>
      </c>
      <c r="GL43" s="53"/>
      <c r="GM43" s="507"/>
      <c r="GN43" s="380">
        <f t="shared" si="33"/>
        <v>0</v>
      </c>
      <c r="GO43" s="506" t="s">
        <v>494</v>
      </c>
      <c r="GP43" s="53"/>
      <c r="GQ43" s="507"/>
      <c r="GR43" s="380">
        <f t="shared" si="34"/>
        <v>0</v>
      </c>
      <c r="GS43" s="506" t="s">
        <v>494</v>
      </c>
      <c r="GT43" s="53"/>
      <c r="GU43" s="507"/>
      <c r="GV43" s="380">
        <f t="shared" si="35"/>
        <v>0</v>
      </c>
      <c r="GW43" s="506" t="s">
        <v>494</v>
      </c>
      <c r="GX43" s="53"/>
      <c r="GY43" s="507"/>
      <c r="GZ43" s="380">
        <f t="shared" si="36"/>
        <v>0</v>
      </c>
      <c r="HA43" s="506" t="s">
        <v>494</v>
      </c>
      <c r="HB43" s="53"/>
      <c r="HC43" s="507"/>
      <c r="HD43" s="380">
        <f t="shared" si="37"/>
        <v>0</v>
      </c>
      <c r="HE43" s="506" t="s">
        <v>494</v>
      </c>
      <c r="HF43" s="53"/>
      <c r="HG43" s="507"/>
      <c r="HH43" s="380">
        <f t="shared" si="38"/>
        <v>0</v>
      </c>
      <c r="HI43" s="506" t="s">
        <v>494</v>
      </c>
      <c r="HJ43" s="53"/>
      <c r="HK43" s="507"/>
      <c r="HL43" s="380">
        <f t="shared" si="39"/>
        <v>0</v>
      </c>
      <c r="HM43" s="506" t="s">
        <v>494</v>
      </c>
      <c r="HN43" s="53"/>
      <c r="HO43" s="507"/>
      <c r="HP43" s="380">
        <f t="shared" si="40"/>
        <v>0</v>
      </c>
      <c r="HQ43" s="506" t="s">
        <v>494</v>
      </c>
      <c r="HR43" s="53"/>
      <c r="HS43" s="507"/>
      <c r="HT43" s="380">
        <f t="shared" si="41"/>
        <v>0</v>
      </c>
      <c r="HU43" s="506" t="s">
        <v>494</v>
      </c>
      <c r="HV43" s="53"/>
      <c r="HW43" s="507"/>
      <c r="HX43" s="380">
        <f t="shared" si="42"/>
        <v>0</v>
      </c>
      <c r="HY43" s="506" t="s">
        <v>494</v>
      </c>
      <c r="HZ43" s="53"/>
      <c r="IA43" s="507"/>
      <c r="IB43" s="380">
        <f t="shared" si="43"/>
        <v>0</v>
      </c>
      <c r="IC43" s="506" t="s">
        <v>494</v>
      </c>
      <c r="ID43" s="53"/>
      <c r="IE43" s="507"/>
      <c r="IF43" s="380">
        <f t="shared" si="44"/>
        <v>0</v>
      </c>
      <c r="IG43" s="506" t="s">
        <v>494</v>
      </c>
      <c r="IH43" s="53"/>
      <c r="II43" s="507"/>
      <c r="IJ43" s="380">
        <f t="shared" si="45"/>
        <v>0</v>
      </c>
      <c r="IK43" s="506" t="s">
        <v>494</v>
      </c>
      <c r="IL43" s="53"/>
      <c r="IM43" s="507"/>
      <c r="IN43" s="380">
        <f t="shared" si="46"/>
        <v>0</v>
      </c>
      <c r="IO43" s="506" t="s">
        <v>494</v>
      </c>
      <c r="IP43" s="53"/>
      <c r="IQ43" s="507"/>
      <c r="IR43" s="380">
        <f t="shared" si="47"/>
        <v>0</v>
      </c>
      <c r="IS43" s="506" t="s">
        <v>494</v>
      </c>
      <c r="IT43" s="53"/>
      <c r="IU43" s="507"/>
      <c r="IV43" s="380">
        <f t="shared" si="48"/>
        <v>0</v>
      </c>
      <c r="IW43" s="506" t="s">
        <v>494</v>
      </c>
      <c r="IX43" s="53"/>
      <c r="IY43" s="507"/>
      <c r="IZ43" s="380">
        <f t="shared" si="49"/>
        <v>0</v>
      </c>
    </row>
    <row r="44" spans="1:260">
      <c r="A44" s="13">
        <v>56</v>
      </c>
      <c r="B44" s="13" t="s">
        <v>586</v>
      </c>
      <c r="C44" s="13" t="s">
        <v>38</v>
      </c>
      <c r="D44" s="13" t="s">
        <v>336</v>
      </c>
      <c r="E44" s="13" t="s">
        <v>2</v>
      </c>
      <c r="F44" s="13">
        <v>658818368</v>
      </c>
      <c r="G44" s="13" t="s">
        <v>45</v>
      </c>
      <c r="H44" s="49" t="s">
        <v>508</v>
      </c>
      <c r="I44" s="14">
        <f>+'IBP export - Colar'!A6</f>
        <v>0</v>
      </c>
      <c r="J44" s="14">
        <f>+VLOOKUP(E44,'Summary - Colar'!$M$39:$N$54,2,FALSE)</f>
        <v>1</v>
      </c>
      <c r="K44" s="14">
        <f t="shared" si="50"/>
        <v>0</v>
      </c>
      <c r="L44" s="506">
        <v>0</v>
      </c>
      <c r="M44" s="53">
        <v>1</v>
      </c>
      <c r="N44" s="507">
        <v>0</v>
      </c>
      <c r="O44" s="506">
        <v>0</v>
      </c>
      <c r="P44" s="53">
        <v>1</v>
      </c>
      <c r="Q44" s="507">
        <v>0</v>
      </c>
      <c r="R44" s="506">
        <v>0</v>
      </c>
      <c r="S44" s="53">
        <v>1</v>
      </c>
      <c r="T44" s="507">
        <v>0</v>
      </c>
      <c r="U44" s="506">
        <v>0</v>
      </c>
      <c r="V44" s="53">
        <v>1</v>
      </c>
      <c r="W44" s="507">
        <v>0</v>
      </c>
      <c r="X44" s="506">
        <v>0</v>
      </c>
      <c r="Y44" s="53">
        <v>1</v>
      </c>
      <c r="Z44" s="507">
        <v>0</v>
      </c>
      <c r="AA44" s="506">
        <v>0</v>
      </c>
      <c r="AB44" s="53">
        <v>1</v>
      </c>
      <c r="AC44" s="507">
        <v>0</v>
      </c>
      <c r="AD44" s="506">
        <v>0</v>
      </c>
      <c r="AE44" s="53">
        <v>1</v>
      </c>
      <c r="AF44" s="507">
        <v>0</v>
      </c>
      <c r="AG44" s="506">
        <v>0</v>
      </c>
      <c r="AH44" s="53">
        <v>1</v>
      </c>
      <c r="AI44" s="507">
        <v>0</v>
      </c>
      <c r="AJ44" s="506">
        <v>0</v>
      </c>
      <c r="AK44" s="53">
        <v>1</v>
      </c>
      <c r="AL44" s="507">
        <v>0</v>
      </c>
      <c r="AM44" s="506">
        <v>0</v>
      </c>
      <c r="AN44" s="53">
        <v>1</v>
      </c>
      <c r="AO44" s="507">
        <v>0</v>
      </c>
      <c r="AP44" s="506">
        <v>0</v>
      </c>
      <c r="AQ44" s="53">
        <v>1</v>
      </c>
      <c r="AR44" s="507">
        <v>0</v>
      </c>
      <c r="AS44" s="506">
        <v>0</v>
      </c>
      <c r="AT44" s="53">
        <v>1</v>
      </c>
      <c r="AU44" s="507">
        <v>0</v>
      </c>
      <c r="AV44" s="506">
        <v>0</v>
      </c>
      <c r="AW44" s="53">
        <v>1</v>
      </c>
      <c r="AX44" s="507">
        <v>0</v>
      </c>
      <c r="AY44" s="506">
        <v>0</v>
      </c>
      <c r="AZ44" s="53">
        <v>1</v>
      </c>
      <c r="BA44" s="507">
        <v>0</v>
      </c>
      <c r="BB44" s="506">
        <v>2989050</v>
      </c>
      <c r="BC44" s="53">
        <v>1</v>
      </c>
      <c r="BD44" s="507">
        <v>2989050</v>
      </c>
      <c r="BE44" s="506">
        <v>0</v>
      </c>
      <c r="BF44" s="53">
        <v>1</v>
      </c>
      <c r="BG44" s="507">
        <v>0</v>
      </c>
      <c r="BH44" s="380">
        <f t="shared" si="0"/>
        <v>-1</v>
      </c>
      <c r="BI44" s="506">
        <v>0</v>
      </c>
      <c r="BJ44" s="53">
        <v>1</v>
      </c>
      <c r="BK44" s="507">
        <v>0</v>
      </c>
      <c r="BL44" s="380">
        <f t="shared" si="1"/>
        <v>0</v>
      </c>
      <c r="BM44" s="506">
        <v>0</v>
      </c>
      <c r="BN44" s="53">
        <v>1</v>
      </c>
      <c r="BO44" s="507">
        <v>0</v>
      </c>
      <c r="BP44">
        <v>0</v>
      </c>
      <c r="BQ44" s="506">
        <v>0</v>
      </c>
      <c r="BR44" s="53">
        <v>1</v>
      </c>
      <c r="BS44" s="507">
        <v>0</v>
      </c>
      <c r="BT44" s="380">
        <f t="shared" si="2"/>
        <v>0</v>
      </c>
      <c r="BU44" s="506">
        <v>0</v>
      </c>
      <c r="BV44" s="53">
        <v>1</v>
      </c>
      <c r="BW44" s="507">
        <v>0</v>
      </c>
      <c r="BX44" s="380">
        <f t="shared" si="3"/>
        <v>0</v>
      </c>
      <c r="BY44" s="506">
        <v>0</v>
      </c>
      <c r="BZ44" s="53">
        <v>1</v>
      </c>
      <c r="CA44" s="507">
        <v>0</v>
      </c>
      <c r="CB44" s="380">
        <f t="shared" si="4"/>
        <v>0</v>
      </c>
      <c r="CC44" s="506">
        <v>0</v>
      </c>
      <c r="CD44" s="53">
        <v>1</v>
      </c>
      <c r="CE44" s="507">
        <v>0</v>
      </c>
      <c r="CF44" s="380">
        <f t="shared" si="5"/>
        <v>0</v>
      </c>
      <c r="CG44" s="506">
        <v>0</v>
      </c>
      <c r="CH44" s="53">
        <v>1</v>
      </c>
      <c r="CI44" s="507">
        <v>0</v>
      </c>
      <c r="CJ44" s="380">
        <f t="shared" si="6"/>
        <v>0</v>
      </c>
      <c r="CK44" s="506">
        <v>0</v>
      </c>
      <c r="CL44" s="53">
        <v>1</v>
      </c>
      <c r="CM44" s="507">
        <v>0</v>
      </c>
      <c r="CN44" s="380">
        <f t="shared" si="7"/>
        <v>0</v>
      </c>
      <c r="CO44" s="506">
        <v>0</v>
      </c>
      <c r="CP44" s="53">
        <v>1</v>
      </c>
      <c r="CQ44" s="507">
        <v>0</v>
      </c>
      <c r="CR44" s="380">
        <f t="shared" si="8"/>
        <v>0</v>
      </c>
      <c r="CS44" s="506">
        <v>0</v>
      </c>
      <c r="CT44" s="53">
        <v>1</v>
      </c>
      <c r="CU44" s="507">
        <v>0</v>
      </c>
      <c r="CV44" s="380">
        <f t="shared" si="9"/>
        <v>0</v>
      </c>
      <c r="CW44" s="506">
        <v>0</v>
      </c>
      <c r="CX44" s="53">
        <v>1</v>
      </c>
      <c r="CY44" s="507">
        <v>0</v>
      </c>
      <c r="CZ44" s="380">
        <f t="shared" si="10"/>
        <v>0</v>
      </c>
      <c r="DA44" s="506">
        <v>0</v>
      </c>
      <c r="DB44" s="53">
        <v>1</v>
      </c>
      <c r="DC44" s="507">
        <v>0</v>
      </c>
      <c r="DD44" s="380">
        <f t="shared" si="11"/>
        <v>0</v>
      </c>
      <c r="DE44" s="506">
        <v>0</v>
      </c>
      <c r="DF44" s="53">
        <v>1</v>
      </c>
      <c r="DG44" s="507">
        <v>0</v>
      </c>
      <c r="DH44" s="380">
        <f t="shared" si="12"/>
        <v>0</v>
      </c>
      <c r="DI44" s="506">
        <v>0</v>
      </c>
      <c r="DJ44" s="53">
        <v>1</v>
      </c>
      <c r="DK44" s="507">
        <v>0</v>
      </c>
      <c r="DL44" s="380">
        <f t="shared" si="13"/>
        <v>0</v>
      </c>
      <c r="DM44" s="506">
        <v>-92988.5</v>
      </c>
      <c r="DN44" s="53">
        <v>1</v>
      </c>
      <c r="DO44" s="507">
        <v>-92988.5</v>
      </c>
      <c r="DP44" s="380">
        <f t="shared" si="14"/>
        <v>-92988.5</v>
      </c>
      <c r="DQ44" s="506">
        <v>0</v>
      </c>
      <c r="DR44" s="53">
        <v>1</v>
      </c>
      <c r="DS44" s="507">
        <v>0</v>
      </c>
      <c r="DT44" s="380">
        <f t="shared" si="15"/>
        <v>92988.5</v>
      </c>
      <c r="DU44" s="506">
        <v>0</v>
      </c>
      <c r="DV44" s="53">
        <v>1</v>
      </c>
      <c r="DW44" s="507">
        <v>0</v>
      </c>
      <c r="DX44" s="380">
        <f t="shared" si="16"/>
        <v>0</v>
      </c>
      <c r="DY44" s="506">
        <v>0</v>
      </c>
      <c r="DZ44" s="53">
        <v>1</v>
      </c>
      <c r="EA44" s="507">
        <v>0</v>
      </c>
      <c r="EB44" s="380">
        <f t="shared" si="17"/>
        <v>0</v>
      </c>
      <c r="EC44" s="506">
        <v>0</v>
      </c>
      <c r="ED44" s="53">
        <v>1</v>
      </c>
      <c r="EE44" s="507">
        <v>0</v>
      </c>
      <c r="EF44" s="380">
        <f t="shared" si="18"/>
        <v>0</v>
      </c>
      <c r="EG44" s="506">
        <v>0</v>
      </c>
      <c r="EH44" s="53">
        <v>1</v>
      </c>
      <c r="EI44" s="507">
        <v>0</v>
      </c>
      <c r="EJ44" s="380">
        <f t="shared" si="19"/>
        <v>0</v>
      </c>
      <c r="EK44" s="506">
        <v>0</v>
      </c>
      <c r="EL44" s="53">
        <v>1</v>
      </c>
      <c r="EM44" s="507">
        <v>0</v>
      </c>
      <c r="EN44" s="380">
        <f t="shared" si="20"/>
        <v>0</v>
      </c>
      <c r="EO44" s="506">
        <v>0</v>
      </c>
      <c r="EP44" s="53">
        <v>1</v>
      </c>
      <c r="EQ44" s="507">
        <v>0</v>
      </c>
      <c r="ER44" s="380">
        <f t="shared" si="21"/>
        <v>0</v>
      </c>
      <c r="ES44" s="506">
        <v>0</v>
      </c>
      <c r="ET44" s="53">
        <v>1</v>
      </c>
      <c r="EU44" s="507">
        <v>0</v>
      </c>
      <c r="EV44" s="380">
        <f t="shared" si="22"/>
        <v>0</v>
      </c>
      <c r="EW44" s="506">
        <v>0</v>
      </c>
      <c r="EX44" s="53">
        <v>1</v>
      </c>
      <c r="EY44" s="507">
        <v>0</v>
      </c>
      <c r="EZ44" s="380">
        <f t="shared" si="23"/>
        <v>0</v>
      </c>
      <c r="FA44" s="506">
        <v>0</v>
      </c>
      <c r="FB44" s="53">
        <v>1</v>
      </c>
      <c r="FC44" s="507">
        <v>0</v>
      </c>
      <c r="FD44" s="380">
        <f t="shared" si="24"/>
        <v>0</v>
      </c>
      <c r="FE44" s="506">
        <v>0</v>
      </c>
      <c r="FF44" s="53">
        <v>1</v>
      </c>
      <c r="FG44" s="507">
        <v>0</v>
      </c>
      <c r="FH44" s="380">
        <f t="shared" si="25"/>
        <v>0</v>
      </c>
      <c r="FI44" s="506">
        <v>0</v>
      </c>
      <c r="FJ44" s="53">
        <v>1</v>
      </c>
      <c r="FK44" s="507">
        <v>0</v>
      </c>
      <c r="FL44" s="380">
        <f t="shared" si="26"/>
        <v>0</v>
      </c>
      <c r="FM44" s="506">
        <v>0</v>
      </c>
      <c r="FN44" s="53">
        <v>1</v>
      </c>
      <c r="FO44" s="507">
        <v>0</v>
      </c>
      <c r="FP44" s="380">
        <f t="shared" si="27"/>
        <v>0</v>
      </c>
      <c r="FQ44" s="506">
        <v>0</v>
      </c>
      <c r="FR44" s="53">
        <v>1</v>
      </c>
      <c r="FS44" s="507">
        <v>0</v>
      </c>
      <c r="FT44" s="380">
        <f t="shared" si="28"/>
        <v>0</v>
      </c>
      <c r="FU44" s="506">
        <v>0</v>
      </c>
      <c r="FV44" s="53">
        <v>1</v>
      </c>
      <c r="FW44" s="507">
        <v>0</v>
      </c>
      <c r="FX44" s="380">
        <f t="shared" si="29"/>
        <v>0</v>
      </c>
      <c r="FY44" s="506">
        <v>0</v>
      </c>
      <c r="FZ44" s="53">
        <v>1</v>
      </c>
      <c r="GA44" s="507">
        <v>0</v>
      </c>
      <c r="GB44" s="380">
        <f t="shared" si="30"/>
        <v>0</v>
      </c>
      <c r="GC44" s="506">
        <v>0</v>
      </c>
      <c r="GD44" s="53">
        <v>1</v>
      </c>
      <c r="GE44" s="507">
        <v>0</v>
      </c>
      <c r="GF44" s="380">
        <f t="shared" si="31"/>
        <v>0</v>
      </c>
      <c r="GG44" s="506">
        <v>-15013</v>
      </c>
      <c r="GH44" s="53">
        <v>1</v>
      </c>
      <c r="GI44" s="507">
        <v>-15013</v>
      </c>
      <c r="GJ44" s="380">
        <f t="shared" si="32"/>
        <v>-15013</v>
      </c>
      <c r="GK44" s="506">
        <v>0</v>
      </c>
      <c r="GL44" s="53">
        <v>1</v>
      </c>
      <c r="GM44" s="507">
        <v>0</v>
      </c>
      <c r="GN44" s="380">
        <f t="shared" si="33"/>
        <v>15013</v>
      </c>
      <c r="GO44" s="506">
        <v>0</v>
      </c>
      <c r="GP44" s="53">
        <v>1</v>
      </c>
      <c r="GQ44" s="507">
        <v>0</v>
      </c>
      <c r="GR44" s="380">
        <f t="shared" si="34"/>
        <v>0</v>
      </c>
      <c r="GS44" s="506">
        <v>0</v>
      </c>
      <c r="GT44" s="53">
        <v>1</v>
      </c>
      <c r="GU44" s="507">
        <v>0</v>
      </c>
      <c r="GV44" s="380">
        <f t="shared" si="35"/>
        <v>0</v>
      </c>
      <c r="GW44" s="506">
        <v>0</v>
      </c>
      <c r="GX44" s="53">
        <v>1</v>
      </c>
      <c r="GY44" s="507">
        <v>0</v>
      </c>
      <c r="GZ44" s="380">
        <f t="shared" si="36"/>
        <v>0</v>
      </c>
      <c r="HA44" s="506">
        <v>0</v>
      </c>
      <c r="HB44" s="53">
        <v>1</v>
      </c>
      <c r="HC44" s="507">
        <v>0</v>
      </c>
      <c r="HD44" s="380">
        <f t="shared" si="37"/>
        <v>0</v>
      </c>
      <c r="HE44" s="506">
        <v>0</v>
      </c>
      <c r="HF44" s="53">
        <v>1</v>
      </c>
      <c r="HG44" s="507">
        <v>0</v>
      </c>
      <c r="HH44" s="380">
        <f t="shared" si="38"/>
        <v>0</v>
      </c>
      <c r="HI44" s="506">
        <v>0</v>
      </c>
      <c r="HJ44" s="53">
        <v>1</v>
      </c>
      <c r="HK44" s="507">
        <v>0</v>
      </c>
      <c r="HL44" s="380">
        <f t="shared" si="39"/>
        <v>0</v>
      </c>
      <c r="HM44" s="506">
        <v>0</v>
      </c>
      <c r="HN44" s="53">
        <v>1</v>
      </c>
      <c r="HO44" s="507">
        <v>0</v>
      </c>
      <c r="HP44" s="380">
        <f t="shared" si="40"/>
        <v>0</v>
      </c>
      <c r="HQ44" s="506">
        <v>0</v>
      </c>
      <c r="HR44" s="53">
        <v>1</v>
      </c>
      <c r="HS44" s="507">
        <v>0</v>
      </c>
      <c r="HT44" s="380">
        <f t="shared" si="41"/>
        <v>0</v>
      </c>
      <c r="HU44" s="506">
        <v>0</v>
      </c>
      <c r="HV44" s="53">
        <v>1</v>
      </c>
      <c r="HW44" s="507">
        <v>0</v>
      </c>
      <c r="HX44" s="380">
        <f t="shared" si="42"/>
        <v>0</v>
      </c>
      <c r="HY44" s="506">
        <v>0</v>
      </c>
      <c r="HZ44" s="53">
        <v>1</v>
      </c>
      <c r="IA44" s="507">
        <v>0</v>
      </c>
      <c r="IB44" s="380">
        <f t="shared" si="43"/>
        <v>0</v>
      </c>
      <c r="IC44" s="506">
        <v>0</v>
      </c>
      <c r="ID44" s="53">
        <v>1</v>
      </c>
      <c r="IE44" s="507">
        <v>0</v>
      </c>
      <c r="IF44" s="380">
        <f t="shared" si="44"/>
        <v>0</v>
      </c>
      <c r="IG44" s="506">
        <v>0</v>
      </c>
      <c r="IH44" s="53">
        <v>1</v>
      </c>
      <c r="II44" s="507">
        <v>0</v>
      </c>
      <c r="IJ44" s="380">
        <f t="shared" si="45"/>
        <v>0</v>
      </c>
      <c r="IK44" s="506">
        <v>0</v>
      </c>
      <c r="IL44" s="53">
        <v>1</v>
      </c>
      <c r="IM44" s="507">
        <v>0</v>
      </c>
      <c r="IN44" s="380">
        <f t="shared" si="46"/>
        <v>0</v>
      </c>
      <c r="IO44" s="506">
        <v>0</v>
      </c>
      <c r="IP44" s="53">
        <v>1</v>
      </c>
      <c r="IQ44" s="507">
        <v>0</v>
      </c>
      <c r="IR44" s="380">
        <f t="shared" si="47"/>
        <v>0</v>
      </c>
      <c r="IS44" s="506">
        <v>0</v>
      </c>
      <c r="IT44" s="53">
        <v>1</v>
      </c>
      <c r="IU44" s="507">
        <v>0</v>
      </c>
      <c r="IV44" s="380">
        <f t="shared" si="48"/>
        <v>0</v>
      </c>
      <c r="IW44" s="506">
        <v>0</v>
      </c>
      <c r="IX44" s="53">
        <v>1</v>
      </c>
      <c r="IY44" s="507">
        <v>0</v>
      </c>
      <c r="IZ44" s="380">
        <f t="shared" si="49"/>
        <v>0</v>
      </c>
    </row>
    <row r="45" spans="1:260">
      <c r="A45" s="13" t="s">
        <v>587</v>
      </c>
      <c r="B45" s="13" t="s">
        <v>588</v>
      </c>
      <c r="C45" s="13" t="s">
        <v>132</v>
      </c>
      <c r="D45" s="13" t="s">
        <v>336</v>
      </c>
      <c r="E45" s="13" t="s">
        <v>2</v>
      </c>
      <c r="F45" s="13">
        <v>25010331</v>
      </c>
      <c r="G45" s="13" t="s">
        <v>207</v>
      </c>
      <c r="H45" s="49" t="s">
        <v>508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50"/>
        <v>550000</v>
      </c>
      <c r="L45" s="506">
        <v>550000</v>
      </c>
      <c r="M45" s="53">
        <v>1</v>
      </c>
      <c r="N45" s="507">
        <v>550000</v>
      </c>
      <c r="O45" s="506">
        <v>550000</v>
      </c>
      <c r="P45" s="53">
        <v>1</v>
      </c>
      <c r="Q45" s="507">
        <v>550000</v>
      </c>
      <c r="R45" s="506">
        <v>550000</v>
      </c>
      <c r="S45" s="53">
        <v>1</v>
      </c>
      <c r="T45" s="507">
        <v>550000</v>
      </c>
      <c r="U45" s="506">
        <v>550000</v>
      </c>
      <c r="V45" s="53">
        <v>1</v>
      </c>
      <c r="W45" s="507">
        <v>550000</v>
      </c>
      <c r="X45" s="506">
        <v>550000</v>
      </c>
      <c r="Y45" s="53">
        <v>1</v>
      </c>
      <c r="Z45" s="507">
        <v>550000</v>
      </c>
      <c r="AA45" s="506">
        <v>550000</v>
      </c>
      <c r="AB45" s="53">
        <v>1</v>
      </c>
      <c r="AC45" s="507">
        <v>550000</v>
      </c>
      <c r="AD45" s="506">
        <v>550000</v>
      </c>
      <c r="AE45" s="53">
        <v>1</v>
      </c>
      <c r="AF45" s="507">
        <v>550000</v>
      </c>
      <c r="AG45" s="506">
        <v>550000</v>
      </c>
      <c r="AH45" s="53">
        <v>1</v>
      </c>
      <c r="AI45" s="507">
        <v>550000</v>
      </c>
      <c r="AJ45" s="506">
        <v>550000</v>
      </c>
      <c r="AK45" s="53">
        <v>1</v>
      </c>
      <c r="AL45" s="507">
        <v>550000</v>
      </c>
      <c r="AM45" s="506">
        <v>550000</v>
      </c>
      <c r="AN45" s="53">
        <v>1</v>
      </c>
      <c r="AO45" s="507">
        <v>550000</v>
      </c>
      <c r="AP45" s="506">
        <v>550000</v>
      </c>
      <c r="AQ45" s="53">
        <v>1</v>
      </c>
      <c r="AR45" s="507">
        <v>550000</v>
      </c>
      <c r="AS45" s="506">
        <v>550000</v>
      </c>
      <c r="AT45" s="53">
        <v>1</v>
      </c>
      <c r="AU45" s="507">
        <v>550000</v>
      </c>
      <c r="AV45" s="506">
        <v>550000</v>
      </c>
      <c r="AW45" s="53">
        <v>1</v>
      </c>
      <c r="AX45" s="507">
        <v>550000</v>
      </c>
      <c r="AY45" s="506">
        <v>550000</v>
      </c>
      <c r="AZ45" s="53">
        <v>1</v>
      </c>
      <c r="BA45" s="507">
        <v>550000</v>
      </c>
      <c r="BB45" s="506">
        <v>550000</v>
      </c>
      <c r="BC45" s="53">
        <v>1</v>
      </c>
      <c r="BD45" s="507">
        <v>550000</v>
      </c>
      <c r="BE45" s="506">
        <v>550000</v>
      </c>
      <c r="BF45" s="53">
        <v>1</v>
      </c>
      <c r="BG45" s="507">
        <v>550000</v>
      </c>
      <c r="BH45" s="380">
        <f t="shared" si="0"/>
        <v>549999</v>
      </c>
      <c r="BI45" s="506">
        <v>550000</v>
      </c>
      <c r="BJ45" s="53">
        <v>1</v>
      </c>
      <c r="BK45" s="507">
        <v>550000</v>
      </c>
      <c r="BL45" s="380">
        <f t="shared" si="1"/>
        <v>0</v>
      </c>
      <c r="BM45" s="506">
        <v>550000</v>
      </c>
      <c r="BN45" s="53">
        <v>1</v>
      </c>
      <c r="BO45" s="507">
        <v>550000</v>
      </c>
      <c r="BP45">
        <v>0</v>
      </c>
      <c r="BQ45" s="506">
        <v>550000</v>
      </c>
      <c r="BR45" s="53">
        <v>1</v>
      </c>
      <c r="BS45" s="507">
        <v>550000</v>
      </c>
      <c r="BT45" s="380">
        <f t="shared" si="2"/>
        <v>0</v>
      </c>
      <c r="BU45" s="506">
        <v>550000</v>
      </c>
      <c r="BV45" s="53">
        <v>1</v>
      </c>
      <c r="BW45" s="507">
        <v>550000</v>
      </c>
      <c r="BX45" s="380">
        <f t="shared" si="3"/>
        <v>0</v>
      </c>
      <c r="BY45" s="506">
        <v>550000</v>
      </c>
      <c r="BZ45" s="53">
        <v>1</v>
      </c>
      <c r="CA45" s="507">
        <v>550000</v>
      </c>
      <c r="CB45" s="380">
        <f t="shared" si="4"/>
        <v>0</v>
      </c>
      <c r="CC45" s="506">
        <v>550000</v>
      </c>
      <c r="CD45" s="53">
        <v>1</v>
      </c>
      <c r="CE45" s="507">
        <v>550000</v>
      </c>
      <c r="CF45" s="380">
        <f t="shared" si="5"/>
        <v>0</v>
      </c>
      <c r="CG45" s="506">
        <v>550000</v>
      </c>
      <c r="CH45" s="53">
        <v>1</v>
      </c>
      <c r="CI45" s="507">
        <v>550000</v>
      </c>
      <c r="CJ45" s="380">
        <f t="shared" si="6"/>
        <v>0</v>
      </c>
      <c r="CK45" s="506">
        <v>550000</v>
      </c>
      <c r="CL45" s="53">
        <v>1</v>
      </c>
      <c r="CM45" s="507">
        <v>550000</v>
      </c>
      <c r="CN45" s="380">
        <f t="shared" si="7"/>
        <v>0</v>
      </c>
      <c r="CO45" s="506">
        <v>550000</v>
      </c>
      <c r="CP45" s="53">
        <v>1</v>
      </c>
      <c r="CQ45" s="507">
        <v>550000</v>
      </c>
      <c r="CR45" s="380">
        <f t="shared" si="8"/>
        <v>0</v>
      </c>
      <c r="CS45" s="506">
        <v>550000</v>
      </c>
      <c r="CT45" s="53">
        <v>1</v>
      </c>
      <c r="CU45" s="507">
        <v>550000</v>
      </c>
      <c r="CV45" s="380">
        <f t="shared" si="9"/>
        <v>0</v>
      </c>
      <c r="CW45" s="506">
        <v>550000</v>
      </c>
      <c r="CX45" s="53">
        <v>1</v>
      </c>
      <c r="CY45" s="507">
        <v>550000</v>
      </c>
      <c r="CZ45" s="380">
        <f t="shared" si="10"/>
        <v>0</v>
      </c>
      <c r="DA45" s="506">
        <v>550000</v>
      </c>
      <c r="DB45" s="53">
        <v>1</v>
      </c>
      <c r="DC45" s="507">
        <v>550000</v>
      </c>
      <c r="DD45" s="380">
        <f t="shared" si="11"/>
        <v>0</v>
      </c>
      <c r="DE45" s="506">
        <v>550000</v>
      </c>
      <c r="DF45" s="53">
        <v>1</v>
      </c>
      <c r="DG45" s="507">
        <v>550000</v>
      </c>
      <c r="DH45" s="380">
        <f t="shared" si="12"/>
        <v>0</v>
      </c>
      <c r="DI45" s="506">
        <v>550000</v>
      </c>
      <c r="DJ45" s="53">
        <v>1</v>
      </c>
      <c r="DK45" s="507">
        <v>550000</v>
      </c>
      <c r="DL45" s="380">
        <f t="shared" si="13"/>
        <v>0</v>
      </c>
      <c r="DM45" s="506">
        <v>550000</v>
      </c>
      <c r="DN45" s="53">
        <v>1</v>
      </c>
      <c r="DO45" s="507">
        <v>550000</v>
      </c>
      <c r="DP45" s="380">
        <f t="shared" si="14"/>
        <v>0</v>
      </c>
      <c r="DQ45" s="506">
        <v>550000</v>
      </c>
      <c r="DR45" s="53">
        <v>1</v>
      </c>
      <c r="DS45" s="507">
        <v>550000</v>
      </c>
      <c r="DT45" s="380">
        <f t="shared" si="15"/>
        <v>0</v>
      </c>
      <c r="DU45" s="506">
        <v>550000</v>
      </c>
      <c r="DV45" s="53">
        <v>1</v>
      </c>
      <c r="DW45" s="507">
        <v>550000</v>
      </c>
      <c r="DX45" s="380">
        <f t="shared" si="16"/>
        <v>0</v>
      </c>
      <c r="DY45" s="506">
        <v>550000</v>
      </c>
      <c r="DZ45" s="53">
        <v>1</v>
      </c>
      <c r="EA45" s="507">
        <v>550000</v>
      </c>
      <c r="EB45" s="380">
        <f t="shared" si="17"/>
        <v>0</v>
      </c>
      <c r="EC45" s="506">
        <v>550000</v>
      </c>
      <c r="ED45" s="53">
        <v>1</v>
      </c>
      <c r="EE45" s="507">
        <v>550000</v>
      </c>
      <c r="EF45" s="380">
        <f t="shared" si="18"/>
        <v>0</v>
      </c>
      <c r="EG45" s="506">
        <v>550000</v>
      </c>
      <c r="EH45" s="53">
        <v>1</v>
      </c>
      <c r="EI45" s="507">
        <v>550000</v>
      </c>
      <c r="EJ45" s="380">
        <f t="shared" si="19"/>
        <v>0</v>
      </c>
      <c r="EK45" s="506">
        <v>550000</v>
      </c>
      <c r="EL45" s="53">
        <v>1</v>
      </c>
      <c r="EM45" s="507">
        <v>550000</v>
      </c>
      <c r="EN45" s="380">
        <f t="shared" si="20"/>
        <v>0</v>
      </c>
      <c r="EO45" s="506">
        <v>550000</v>
      </c>
      <c r="EP45" s="53">
        <v>1</v>
      </c>
      <c r="EQ45" s="507">
        <v>550000</v>
      </c>
      <c r="ER45" s="380">
        <f t="shared" si="21"/>
        <v>0</v>
      </c>
      <c r="ES45" s="506">
        <v>550000</v>
      </c>
      <c r="ET45" s="53">
        <v>1</v>
      </c>
      <c r="EU45" s="507">
        <v>550000</v>
      </c>
      <c r="EV45" s="380">
        <f t="shared" si="22"/>
        <v>0</v>
      </c>
      <c r="EW45" s="506">
        <v>550000</v>
      </c>
      <c r="EX45" s="53">
        <v>1</v>
      </c>
      <c r="EY45" s="507">
        <v>550000</v>
      </c>
      <c r="EZ45" s="380">
        <f t="shared" si="23"/>
        <v>0</v>
      </c>
      <c r="FA45" s="506">
        <v>550000</v>
      </c>
      <c r="FB45" s="53">
        <v>1</v>
      </c>
      <c r="FC45" s="507">
        <v>550000</v>
      </c>
      <c r="FD45" s="380">
        <f t="shared" si="24"/>
        <v>0</v>
      </c>
      <c r="FE45" s="506">
        <v>550000</v>
      </c>
      <c r="FF45" s="53">
        <v>1</v>
      </c>
      <c r="FG45" s="507">
        <v>550000</v>
      </c>
      <c r="FH45" s="380">
        <f t="shared" si="25"/>
        <v>0</v>
      </c>
      <c r="FI45" s="506">
        <v>550000</v>
      </c>
      <c r="FJ45" s="53">
        <v>1</v>
      </c>
      <c r="FK45" s="507">
        <v>550000</v>
      </c>
      <c r="FL45" s="380">
        <f t="shared" si="26"/>
        <v>0</v>
      </c>
      <c r="FM45" s="506">
        <v>550000</v>
      </c>
      <c r="FN45" s="53">
        <v>1</v>
      </c>
      <c r="FO45" s="507">
        <v>550000</v>
      </c>
      <c r="FP45" s="380">
        <f t="shared" si="27"/>
        <v>0</v>
      </c>
      <c r="FQ45" s="506">
        <v>550000</v>
      </c>
      <c r="FR45" s="53">
        <v>1</v>
      </c>
      <c r="FS45" s="507">
        <v>550000</v>
      </c>
      <c r="FT45" s="380">
        <f t="shared" si="28"/>
        <v>0</v>
      </c>
      <c r="FU45" s="506">
        <v>550000</v>
      </c>
      <c r="FV45" s="53">
        <v>1</v>
      </c>
      <c r="FW45" s="507">
        <v>550000</v>
      </c>
      <c r="FX45" s="380">
        <f t="shared" si="29"/>
        <v>0</v>
      </c>
      <c r="FY45" s="506">
        <v>550000</v>
      </c>
      <c r="FZ45" s="53">
        <v>1</v>
      </c>
      <c r="GA45" s="507">
        <v>550000</v>
      </c>
      <c r="GB45" s="380">
        <f t="shared" si="30"/>
        <v>0</v>
      </c>
      <c r="GC45" s="506">
        <v>550000</v>
      </c>
      <c r="GD45" s="53">
        <v>1</v>
      </c>
      <c r="GE45" s="507">
        <v>550000</v>
      </c>
      <c r="GF45" s="380">
        <f t="shared" si="31"/>
        <v>0</v>
      </c>
      <c r="GG45" s="506">
        <v>550000</v>
      </c>
      <c r="GH45" s="53">
        <v>1</v>
      </c>
      <c r="GI45" s="507">
        <v>550000</v>
      </c>
      <c r="GJ45" s="380">
        <f t="shared" si="32"/>
        <v>0</v>
      </c>
      <c r="GK45" s="506">
        <v>1450000</v>
      </c>
      <c r="GL45" s="53">
        <v>1</v>
      </c>
      <c r="GM45" s="507">
        <v>1450000</v>
      </c>
      <c r="GN45" s="380">
        <f t="shared" si="33"/>
        <v>900000</v>
      </c>
      <c r="GO45" s="506">
        <v>550000</v>
      </c>
      <c r="GP45" s="53">
        <v>1</v>
      </c>
      <c r="GQ45" s="507">
        <v>550000</v>
      </c>
      <c r="GR45" s="380">
        <f t="shared" si="34"/>
        <v>-900000</v>
      </c>
      <c r="GS45" s="506">
        <v>550000</v>
      </c>
      <c r="GT45" s="53">
        <v>1</v>
      </c>
      <c r="GU45" s="507">
        <v>550000</v>
      </c>
      <c r="GV45" s="380">
        <f t="shared" si="35"/>
        <v>0</v>
      </c>
      <c r="GW45" s="506">
        <v>550000</v>
      </c>
      <c r="GX45" s="53">
        <v>1</v>
      </c>
      <c r="GY45" s="507">
        <v>550000</v>
      </c>
      <c r="GZ45" s="380">
        <f t="shared" si="36"/>
        <v>0</v>
      </c>
      <c r="HA45" s="506">
        <v>550000</v>
      </c>
      <c r="HB45" s="53">
        <v>1</v>
      </c>
      <c r="HC45" s="507">
        <v>550000</v>
      </c>
      <c r="HD45" s="380">
        <f t="shared" si="37"/>
        <v>0</v>
      </c>
      <c r="HE45" s="506">
        <v>550000</v>
      </c>
      <c r="HF45" s="53">
        <v>1</v>
      </c>
      <c r="HG45" s="507">
        <v>550000</v>
      </c>
      <c r="HH45" s="380">
        <f t="shared" si="38"/>
        <v>0</v>
      </c>
      <c r="HI45" s="506">
        <v>550000</v>
      </c>
      <c r="HJ45" s="53">
        <v>1</v>
      </c>
      <c r="HK45" s="507">
        <v>550000</v>
      </c>
      <c r="HL45" s="380">
        <f t="shared" si="39"/>
        <v>0</v>
      </c>
      <c r="HM45" s="506">
        <v>550000</v>
      </c>
      <c r="HN45" s="53">
        <v>1</v>
      </c>
      <c r="HO45" s="507">
        <v>550000</v>
      </c>
      <c r="HP45" s="380">
        <f t="shared" si="40"/>
        <v>0</v>
      </c>
      <c r="HQ45" s="506">
        <v>550000</v>
      </c>
      <c r="HR45" s="53">
        <v>1</v>
      </c>
      <c r="HS45" s="507">
        <v>550000</v>
      </c>
      <c r="HT45" s="380">
        <f t="shared" si="41"/>
        <v>0</v>
      </c>
      <c r="HU45" s="506">
        <v>550000</v>
      </c>
      <c r="HV45" s="53">
        <v>1</v>
      </c>
      <c r="HW45" s="507">
        <v>550000</v>
      </c>
      <c r="HX45" s="380">
        <f t="shared" si="42"/>
        <v>0</v>
      </c>
      <c r="HY45" s="506">
        <v>550000</v>
      </c>
      <c r="HZ45" s="53">
        <v>1</v>
      </c>
      <c r="IA45" s="507">
        <v>550000</v>
      </c>
      <c r="IB45" s="380">
        <f t="shared" si="43"/>
        <v>0</v>
      </c>
      <c r="IC45" s="506">
        <v>550000</v>
      </c>
      <c r="ID45" s="53">
        <v>1</v>
      </c>
      <c r="IE45" s="507">
        <v>550000</v>
      </c>
      <c r="IF45" s="380">
        <f t="shared" si="44"/>
        <v>0</v>
      </c>
      <c r="IG45" s="506">
        <v>550000</v>
      </c>
      <c r="IH45" s="53">
        <v>1</v>
      </c>
      <c r="II45" s="507">
        <v>550000</v>
      </c>
      <c r="IJ45" s="380">
        <f t="shared" si="45"/>
        <v>0</v>
      </c>
      <c r="IK45" s="506">
        <v>550000</v>
      </c>
      <c r="IL45" s="53">
        <v>1</v>
      </c>
      <c r="IM45" s="507">
        <v>550000</v>
      </c>
      <c r="IN45" s="380">
        <f t="shared" si="46"/>
        <v>0</v>
      </c>
      <c r="IO45" s="506">
        <v>550000</v>
      </c>
      <c r="IP45" s="53">
        <v>1</v>
      </c>
      <c r="IQ45" s="507">
        <v>550000</v>
      </c>
      <c r="IR45" s="380">
        <f t="shared" si="47"/>
        <v>0</v>
      </c>
      <c r="IS45" s="506">
        <v>550000</v>
      </c>
      <c r="IT45" s="53">
        <v>1</v>
      </c>
      <c r="IU45" s="507">
        <v>550000</v>
      </c>
      <c r="IV45" s="380">
        <f t="shared" si="48"/>
        <v>0</v>
      </c>
      <c r="IW45" s="506">
        <v>550000</v>
      </c>
      <c r="IX45" s="53">
        <v>1</v>
      </c>
      <c r="IY45" s="507">
        <v>550000</v>
      </c>
      <c r="IZ45" s="380">
        <f t="shared" si="49"/>
        <v>0</v>
      </c>
    </row>
    <row r="46" spans="1:260">
      <c r="A46" s="13" t="s">
        <v>589</v>
      </c>
      <c r="B46" s="13" t="s">
        <v>590</v>
      </c>
      <c r="C46" s="13" t="s">
        <v>213</v>
      </c>
      <c r="D46" s="13" t="s">
        <v>336</v>
      </c>
      <c r="E46" s="13" t="s">
        <v>2</v>
      </c>
      <c r="F46" s="13" t="s">
        <v>591</v>
      </c>
      <c r="G46" s="13" t="s">
        <v>212</v>
      </c>
      <c r="H46" s="49" t="s">
        <v>508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50"/>
        <v>0</v>
      </c>
      <c r="L46" s="506">
        <v>-40.950000000000003</v>
      </c>
      <c r="M46" s="53">
        <v>1</v>
      </c>
      <c r="N46" s="507">
        <v>-40.950000000000003</v>
      </c>
      <c r="O46" s="506">
        <v>0</v>
      </c>
      <c r="P46" s="53">
        <v>1</v>
      </c>
      <c r="Q46" s="507">
        <v>0</v>
      </c>
      <c r="R46" s="506">
        <v>0</v>
      </c>
      <c r="S46" s="53">
        <v>1</v>
      </c>
      <c r="T46" s="507">
        <v>0</v>
      </c>
      <c r="U46" s="506">
        <v>-92.82</v>
      </c>
      <c r="V46" s="53">
        <v>1</v>
      </c>
      <c r="W46" s="507">
        <v>-92.82</v>
      </c>
      <c r="X46" s="506">
        <v>0</v>
      </c>
      <c r="Y46" s="53">
        <v>1</v>
      </c>
      <c r="Z46" s="507">
        <v>0</v>
      </c>
      <c r="AA46" s="506">
        <v>-66.61</v>
      </c>
      <c r="AB46" s="53">
        <v>1</v>
      </c>
      <c r="AC46" s="507">
        <v>-66.61</v>
      </c>
      <c r="AD46" s="506">
        <v>0</v>
      </c>
      <c r="AE46" s="53">
        <v>1</v>
      </c>
      <c r="AF46" s="507">
        <v>0</v>
      </c>
      <c r="AG46" s="506">
        <v>0</v>
      </c>
      <c r="AH46" s="53">
        <v>1</v>
      </c>
      <c r="AI46" s="507">
        <v>0</v>
      </c>
      <c r="AJ46" s="506">
        <v>0</v>
      </c>
      <c r="AK46" s="53">
        <v>1</v>
      </c>
      <c r="AL46" s="507">
        <v>0</v>
      </c>
      <c r="AM46" s="506">
        <v>-40.799999999999997</v>
      </c>
      <c r="AN46" s="53">
        <v>1</v>
      </c>
      <c r="AO46" s="507">
        <v>-40.799999999999997</v>
      </c>
      <c r="AP46" s="506">
        <v>0</v>
      </c>
      <c r="AQ46" s="53">
        <v>1</v>
      </c>
      <c r="AR46" s="507">
        <v>0</v>
      </c>
      <c r="AS46" s="506">
        <v>0</v>
      </c>
      <c r="AT46" s="53">
        <v>1</v>
      </c>
      <c r="AU46" s="507">
        <v>0</v>
      </c>
      <c r="AV46" s="506">
        <v>0</v>
      </c>
      <c r="AW46" s="53">
        <v>1</v>
      </c>
      <c r="AX46" s="507">
        <v>0</v>
      </c>
      <c r="AY46" s="506">
        <v>0</v>
      </c>
      <c r="AZ46" s="53">
        <v>1</v>
      </c>
      <c r="BA46" s="507">
        <v>0</v>
      </c>
      <c r="BB46" s="506">
        <v>0</v>
      </c>
      <c r="BC46" s="53">
        <v>1</v>
      </c>
      <c r="BD46" s="507">
        <v>0</v>
      </c>
      <c r="BE46" s="506">
        <v>0</v>
      </c>
      <c r="BF46" s="53">
        <v>1</v>
      </c>
      <c r="BG46" s="507">
        <v>0</v>
      </c>
      <c r="BH46" s="380">
        <f t="shared" si="0"/>
        <v>-1</v>
      </c>
      <c r="BI46" s="506">
        <v>0</v>
      </c>
      <c r="BJ46" s="53">
        <v>1</v>
      </c>
      <c r="BK46" s="507">
        <v>0</v>
      </c>
      <c r="BL46" s="380">
        <f t="shared" si="1"/>
        <v>0</v>
      </c>
      <c r="BM46" s="506">
        <v>0</v>
      </c>
      <c r="BN46" s="53">
        <v>1</v>
      </c>
      <c r="BO46" s="507">
        <v>0</v>
      </c>
      <c r="BP46">
        <v>-40.799999999999997</v>
      </c>
      <c r="BQ46" s="506">
        <v>0</v>
      </c>
      <c r="BR46" s="53">
        <v>1</v>
      </c>
      <c r="BS46" s="507">
        <v>0</v>
      </c>
      <c r="BT46" s="380">
        <f t="shared" si="2"/>
        <v>0</v>
      </c>
      <c r="BU46" s="506">
        <v>0</v>
      </c>
      <c r="BV46" s="53">
        <v>1</v>
      </c>
      <c r="BW46" s="507">
        <v>0</v>
      </c>
      <c r="BX46" s="380">
        <f t="shared" si="3"/>
        <v>0</v>
      </c>
      <c r="BY46" s="506">
        <v>0</v>
      </c>
      <c r="BZ46" s="53">
        <v>1</v>
      </c>
      <c r="CA46" s="507">
        <v>0</v>
      </c>
      <c r="CB46" s="380">
        <f t="shared" si="4"/>
        <v>0</v>
      </c>
      <c r="CC46" s="506">
        <v>0</v>
      </c>
      <c r="CD46" s="53">
        <v>1</v>
      </c>
      <c r="CE46" s="507">
        <v>0</v>
      </c>
      <c r="CF46" s="380">
        <f t="shared" si="5"/>
        <v>0</v>
      </c>
      <c r="CG46" s="506">
        <v>0</v>
      </c>
      <c r="CH46" s="53">
        <v>1</v>
      </c>
      <c r="CI46" s="507">
        <v>0</v>
      </c>
      <c r="CJ46" s="380">
        <f t="shared" si="6"/>
        <v>0</v>
      </c>
      <c r="CK46" s="506">
        <v>0</v>
      </c>
      <c r="CL46" s="53">
        <v>1</v>
      </c>
      <c r="CM46" s="507">
        <v>0</v>
      </c>
      <c r="CN46" s="380">
        <f t="shared" si="7"/>
        <v>0</v>
      </c>
      <c r="CO46" s="506">
        <v>0</v>
      </c>
      <c r="CP46" s="53">
        <v>1</v>
      </c>
      <c r="CQ46" s="507">
        <v>0</v>
      </c>
      <c r="CR46" s="380">
        <f t="shared" si="8"/>
        <v>0</v>
      </c>
      <c r="CS46" s="506">
        <v>0</v>
      </c>
      <c r="CT46" s="53">
        <v>1</v>
      </c>
      <c r="CU46" s="507">
        <v>0</v>
      </c>
      <c r="CV46" s="380">
        <f t="shared" si="9"/>
        <v>0</v>
      </c>
      <c r="CW46" s="506">
        <v>0</v>
      </c>
      <c r="CX46" s="53">
        <v>1</v>
      </c>
      <c r="CY46" s="507">
        <v>0</v>
      </c>
      <c r="CZ46" s="380">
        <f t="shared" si="10"/>
        <v>0</v>
      </c>
      <c r="DA46" s="506">
        <v>-16.07</v>
      </c>
      <c r="DB46" s="53">
        <v>1</v>
      </c>
      <c r="DC46" s="507">
        <v>-16.07</v>
      </c>
      <c r="DD46" s="380">
        <f t="shared" si="11"/>
        <v>-16.07</v>
      </c>
      <c r="DE46" s="506">
        <v>-16.07</v>
      </c>
      <c r="DF46" s="53">
        <v>1</v>
      </c>
      <c r="DG46" s="507">
        <v>-16.07</v>
      </c>
      <c r="DH46" s="380">
        <f t="shared" si="12"/>
        <v>0</v>
      </c>
      <c r="DI46" s="506">
        <v>0</v>
      </c>
      <c r="DJ46" s="53">
        <v>1</v>
      </c>
      <c r="DK46" s="507">
        <v>0</v>
      </c>
      <c r="DL46" s="380">
        <f t="shared" si="13"/>
        <v>16.07</v>
      </c>
      <c r="DM46" s="506">
        <v>0</v>
      </c>
      <c r="DN46" s="53">
        <v>1</v>
      </c>
      <c r="DO46" s="507">
        <v>0</v>
      </c>
      <c r="DP46" s="380">
        <f t="shared" si="14"/>
        <v>0</v>
      </c>
      <c r="DQ46" s="506">
        <v>0</v>
      </c>
      <c r="DR46" s="53">
        <v>1</v>
      </c>
      <c r="DS46" s="507">
        <v>0</v>
      </c>
      <c r="DT46" s="380">
        <f t="shared" si="15"/>
        <v>0</v>
      </c>
      <c r="DU46" s="506">
        <v>-40.799999999999997</v>
      </c>
      <c r="DV46" s="53">
        <v>1</v>
      </c>
      <c r="DW46" s="507">
        <v>-40.799999999999997</v>
      </c>
      <c r="DX46" s="380">
        <f t="shared" si="16"/>
        <v>-40.799999999999997</v>
      </c>
      <c r="DY46" s="506">
        <v>-10</v>
      </c>
      <c r="DZ46" s="53">
        <v>1</v>
      </c>
      <c r="EA46" s="507">
        <v>-10</v>
      </c>
      <c r="EB46" s="380">
        <f t="shared" si="17"/>
        <v>30.799999999999997</v>
      </c>
      <c r="EC46" s="506">
        <v>0</v>
      </c>
      <c r="ED46" s="53">
        <v>1</v>
      </c>
      <c r="EE46" s="507">
        <v>0</v>
      </c>
      <c r="EF46" s="380">
        <f t="shared" si="18"/>
        <v>10</v>
      </c>
      <c r="EG46" s="506">
        <v>0</v>
      </c>
      <c r="EH46" s="53">
        <v>1</v>
      </c>
      <c r="EI46" s="507">
        <v>0</v>
      </c>
      <c r="EJ46" s="380">
        <f t="shared" si="19"/>
        <v>0</v>
      </c>
      <c r="EK46" s="506">
        <v>0</v>
      </c>
      <c r="EL46" s="53">
        <v>1</v>
      </c>
      <c r="EM46" s="507">
        <v>0</v>
      </c>
      <c r="EN46" s="380">
        <f t="shared" si="20"/>
        <v>0</v>
      </c>
      <c r="EO46" s="506">
        <v>0</v>
      </c>
      <c r="EP46" s="53">
        <v>1</v>
      </c>
      <c r="EQ46" s="507">
        <v>0</v>
      </c>
      <c r="ER46" s="380">
        <f t="shared" si="21"/>
        <v>0</v>
      </c>
      <c r="ES46" s="506">
        <v>0</v>
      </c>
      <c r="ET46" s="53">
        <v>1</v>
      </c>
      <c r="EU46" s="507">
        <v>0</v>
      </c>
      <c r="EV46" s="380">
        <f t="shared" si="22"/>
        <v>0</v>
      </c>
      <c r="EW46" s="506">
        <v>0</v>
      </c>
      <c r="EX46" s="53">
        <v>1</v>
      </c>
      <c r="EY46" s="507">
        <v>0</v>
      </c>
      <c r="EZ46" s="380">
        <f t="shared" si="23"/>
        <v>0</v>
      </c>
      <c r="FA46" s="506">
        <v>0</v>
      </c>
      <c r="FB46" s="53">
        <v>1</v>
      </c>
      <c r="FC46" s="507">
        <v>0</v>
      </c>
      <c r="FD46" s="380">
        <f t="shared" si="24"/>
        <v>0</v>
      </c>
      <c r="FE46" s="506">
        <v>0</v>
      </c>
      <c r="FF46" s="53">
        <v>1</v>
      </c>
      <c r="FG46" s="507">
        <v>0</v>
      </c>
      <c r="FH46" s="380">
        <f t="shared" si="25"/>
        <v>0</v>
      </c>
      <c r="FI46" s="506">
        <v>0</v>
      </c>
      <c r="FJ46" s="53">
        <v>1</v>
      </c>
      <c r="FK46" s="507">
        <v>0</v>
      </c>
      <c r="FL46" s="380">
        <f t="shared" si="26"/>
        <v>0</v>
      </c>
      <c r="FM46" s="506">
        <v>0</v>
      </c>
      <c r="FN46" s="53">
        <v>1</v>
      </c>
      <c r="FO46" s="507">
        <v>0</v>
      </c>
      <c r="FP46" s="380">
        <f t="shared" si="27"/>
        <v>0</v>
      </c>
      <c r="FQ46" s="506">
        <v>0</v>
      </c>
      <c r="FR46" s="53">
        <v>1</v>
      </c>
      <c r="FS46" s="507">
        <v>0</v>
      </c>
      <c r="FT46" s="380">
        <f t="shared" si="28"/>
        <v>0</v>
      </c>
      <c r="FU46" s="506">
        <v>0</v>
      </c>
      <c r="FV46" s="53">
        <v>1</v>
      </c>
      <c r="FW46" s="507">
        <v>0</v>
      </c>
      <c r="FX46" s="380">
        <f t="shared" si="29"/>
        <v>0</v>
      </c>
      <c r="FY46" s="506">
        <v>0</v>
      </c>
      <c r="FZ46" s="53">
        <v>1</v>
      </c>
      <c r="GA46" s="507">
        <v>0</v>
      </c>
      <c r="GB46" s="380">
        <f t="shared" si="30"/>
        <v>0</v>
      </c>
      <c r="GC46" s="506">
        <v>0</v>
      </c>
      <c r="GD46" s="53">
        <v>1</v>
      </c>
      <c r="GE46" s="507">
        <v>0</v>
      </c>
      <c r="GF46" s="380">
        <f t="shared" si="31"/>
        <v>0</v>
      </c>
      <c r="GG46" s="506">
        <v>0</v>
      </c>
      <c r="GH46" s="53">
        <v>1</v>
      </c>
      <c r="GI46" s="507">
        <v>0</v>
      </c>
      <c r="GJ46" s="380">
        <f t="shared" si="32"/>
        <v>0</v>
      </c>
      <c r="GK46" s="506">
        <v>0</v>
      </c>
      <c r="GL46" s="53">
        <v>1</v>
      </c>
      <c r="GM46" s="507">
        <v>0</v>
      </c>
      <c r="GN46" s="380">
        <f t="shared" si="33"/>
        <v>0</v>
      </c>
      <c r="GO46" s="506">
        <v>0</v>
      </c>
      <c r="GP46" s="53">
        <v>1</v>
      </c>
      <c r="GQ46" s="507">
        <v>0</v>
      </c>
      <c r="GR46" s="380">
        <f t="shared" si="34"/>
        <v>0</v>
      </c>
      <c r="GS46" s="506">
        <v>-41</v>
      </c>
      <c r="GT46" s="53">
        <v>1</v>
      </c>
      <c r="GU46" s="507">
        <v>-41</v>
      </c>
      <c r="GV46" s="380">
        <f t="shared" si="35"/>
        <v>-41</v>
      </c>
      <c r="GW46" s="506">
        <v>0</v>
      </c>
      <c r="GX46" s="53">
        <v>1</v>
      </c>
      <c r="GY46" s="507">
        <v>0</v>
      </c>
      <c r="GZ46" s="380">
        <f t="shared" si="36"/>
        <v>41</v>
      </c>
      <c r="HA46" s="506">
        <v>0</v>
      </c>
      <c r="HB46" s="53">
        <v>1</v>
      </c>
      <c r="HC46" s="507">
        <v>0</v>
      </c>
      <c r="HD46" s="380">
        <f t="shared" si="37"/>
        <v>0</v>
      </c>
      <c r="HE46" s="506">
        <v>0</v>
      </c>
      <c r="HF46" s="53">
        <v>1</v>
      </c>
      <c r="HG46" s="507">
        <v>0</v>
      </c>
      <c r="HH46" s="380">
        <f t="shared" si="38"/>
        <v>0</v>
      </c>
      <c r="HI46" s="506">
        <v>0</v>
      </c>
      <c r="HJ46" s="53">
        <v>1</v>
      </c>
      <c r="HK46" s="507">
        <v>0</v>
      </c>
      <c r="HL46" s="380">
        <f t="shared" si="39"/>
        <v>0</v>
      </c>
      <c r="HM46" s="506">
        <v>0</v>
      </c>
      <c r="HN46" s="53">
        <v>1</v>
      </c>
      <c r="HO46" s="507">
        <v>0</v>
      </c>
      <c r="HP46" s="380">
        <f t="shared" si="40"/>
        <v>0</v>
      </c>
      <c r="HQ46" s="506">
        <v>0</v>
      </c>
      <c r="HR46" s="53">
        <v>1</v>
      </c>
      <c r="HS46" s="507">
        <v>0</v>
      </c>
      <c r="HT46" s="380">
        <f t="shared" si="41"/>
        <v>0</v>
      </c>
      <c r="HU46" s="506">
        <v>0</v>
      </c>
      <c r="HV46" s="53">
        <v>1</v>
      </c>
      <c r="HW46" s="507">
        <v>0</v>
      </c>
      <c r="HX46" s="380">
        <f t="shared" si="42"/>
        <v>0</v>
      </c>
      <c r="HY46" s="506">
        <v>0</v>
      </c>
      <c r="HZ46" s="53">
        <v>1</v>
      </c>
      <c r="IA46" s="507">
        <v>0</v>
      </c>
      <c r="IB46" s="380">
        <f t="shared" si="43"/>
        <v>0</v>
      </c>
      <c r="IC46" s="506">
        <v>0</v>
      </c>
      <c r="ID46" s="53">
        <v>1</v>
      </c>
      <c r="IE46" s="507">
        <v>0</v>
      </c>
      <c r="IF46" s="380">
        <f t="shared" si="44"/>
        <v>0</v>
      </c>
      <c r="IG46" s="506">
        <v>0</v>
      </c>
      <c r="IH46" s="53">
        <v>1</v>
      </c>
      <c r="II46" s="507">
        <v>0</v>
      </c>
      <c r="IJ46" s="380">
        <f t="shared" si="45"/>
        <v>0</v>
      </c>
      <c r="IK46" s="506">
        <v>0</v>
      </c>
      <c r="IL46" s="53">
        <v>1</v>
      </c>
      <c r="IM46" s="507">
        <v>0</v>
      </c>
      <c r="IN46" s="380">
        <f t="shared" si="46"/>
        <v>0</v>
      </c>
      <c r="IO46" s="506">
        <v>0</v>
      </c>
      <c r="IP46" s="53">
        <v>1</v>
      </c>
      <c r="IQ46" s="507">
        <v>0</v>
      </c>
      <c r="IR46" s="380">
        <f t="shared" si="47"/>
        <v>0</v>
      </c>
      <c r="IS46" s="506">
        <v>0</v>
      </c>
      <c r="IT46" s="53">
        <v>1</v>
      </c>
      <c r="IU46" s="507">
        <v>0</v>
      </c>
      <c r="IV46" s="380">
        <f t="shared" si="48"/>
        <v>0</v>
      </c>
      <c r="IW46" s="506">
        <v>0</v>
      </c>
      <c r="IX46" s="53">
        <v>1</v>
      </c>
      <c r="IY46" s="507">
        <v>0</v>
      </c>
      <c r="IZ46" s="380">
        <f t="shared" si="49"/>
        <v>0</v>
      </c>
    </row>
    <row r="47" spans="1:260">
      <c r="A47" s="13" t="s">
        <v>592</v>
      </c>
      <c r="B47" s="13" t="s">
        <v>593</v>
      </c>
      <c r="C47" s="13" t="s">
        <v>202</v>
      </c>
      <c r="D47" s="13" t="s">
        <v>336</v>
      </c>
      <c r="E47" s="13" t="s">
        <v>2</v>
      </c>
      <c r="F47" s="13" t="s">
        <v>594</v>
      </c>
      <c r="G47" s="13" t="s">
        <v>201</v>
      </c>
      <c r="H47" s="49" t="s">
        <v>508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50"/>
        <v>700000</v>
      </c>
      <c r="L47" s="506">
        <v>700000</v>
      </c>
      <c r="M47" s="53">
        <v>1</v>
      </c>
      <c r="N47" s="507">
        <v>700000</v>
      </c>
      <c r="O47" s="506">
        <v>700000</v>
      </c>
      <c r="P47" s="53">
        <v>1</v>
      </c>
      <c r="Q47" s="507">
        <v>700000</v>
      </c>
      <c r="R47" s="506">
        <v>700000</v>
      </c>
      <c r="S47" s="53">
        <v>1</v>
      </c>
      <c r="T47" s="507">
        <v>700000</v>
      </c>
      <c r="U47" s="506">
        <v>700000</v>
      </c>
      <c r="V47" s="53">
        <v>1</v>
      </c>
      <c r="W47" s="507">
        <v>700000</v>
      </c>
      <c r="X47" s="506">
        <v>700000</v>
      </c>
      <c r="Y47" s="53">
        <v>1</v>
      </c>
      <c r="Z47" s="507">
        <v>700000</v>
      </c>
      <c r="AA47" s="506">
        <v>700000</v>
      </c>
      <c r="AB47" s="53">
        <v>1</v>
      </c>
      <c r="AC47" s="507">
        <v>700000</v>
      </c>
      <c r="AD47" s="506">
        <v>700000</v>
      </c>
      <c r="AE47" s="53">
        <v>1</v>
      </c>
      <c r="AF47" s="507">
        <v>700000</v>
      </c>
      <c r="AG47" s="506">
        <v>700000</v>
      </c>
      <c r="AH47" s="53">
        <v>1</v>
      </c>
      <c r="AI47" s="507">
        <v>700000</v>
      </c>
      <c r="AJ47" s="506">
        <v>700000</v>
      </c>
      <c r="AK47" s="53">
        <v>1</v>
      </c>
      <c r="AL47" s="507">
        <v>700000</v>
      </c>
      <c r="AM47" s="506">
        <v>700000</v>
      </c>
      <c r="AN47" s="53">
        <v>1</v>
      </c>
      <c r="AO47" s="507">
        <v>700000</v>
      </c>
      <c r="AP47" s="506">
        <v>700000</v>
      </c>
      <c r="AQ47" s="53">
        <v>1</v>
      </c>
      <c r="AR47" s="507">
        <v>700000</v>
      </c>
      <c r="AS47" s="506">
        <v>700000</v>
      </c>
      <c r="AT47" s="53">
        <v>1</v>
      </c>
      <c r="AU47" s="507">
        <v>700000</v>
      </c>
      <c r="AV47" s="506">
        <v>700000</v>
      </c>
      <c r="AW47" s="53">
        <v>1</v>
      </c>
      <c r="AX47" s="507">
        <v>700000</v>
      </c>
      <c r="AY47" s="506">
        <v>700000</v>
      </c>
      <c r="AZ47" s="53">
        <v>1</v>
      </c>
      <c r="BA47" s="507">
        <v>700000</v>
      </c>
      <c r="BB47" s="506">
        <v>700000</v>
      </c>
      <c r="BC47" s="53">
        <v>1</v>
      </c>
      <c r="BD47" s="507">
        <v>700000</v>
      </c>
      <c r="BE47" s="506">
        <v>700000</v>
      </c>
      <c r="BF47" s="53">
        <v>1</v>
      </c>
      <c r="BG47" s="507">
        <v>700000</v>
      </c>
      <c r="BH47" s="380">
        <f t="shared" si="0"/>
        <v>699999</v>
      </c>
      <c r="BI47" s="506">
        <v>700000</v>
      </c>
      <c r="BJ47" s="53">
        <v>1</v>
      </c>
      <c r="BK47" s="507">
        <v>700000</v>
      </c>
      <c r="BL47" s="380">
        <f t="shared" si="1"/>
        <v>0</v>
      </c>
      <c r="BM47" s="506">
        <v>700000</v>
      </c>
      <c r="BN47" s="53">
        <v>1</v>
      </c>
      <c r="BO47" s="507">
        <v>700000</v>
      </c>
      <c r="BP47">
        <v>0</v>
      </c>
      <c r="BQ47" s="506">
        <v>700000</v>
      </c>
      <c r="BR47" s="53">
        <v>1</v>
      </c>
      <c r="BS47" s="507">
        <v>700000</v>
      </c>
      <c r="BT47" s="380">
        <f t="shared" si="2"/>
        <v>0</v>
      </c>
      <c r="BU47" s="506">
        <v>700000</v>
      </c>
      <c r="BV47" s="53">
        <v>1</v>
      </c>
      <c r="BW47" s="507">
        <v>700000</v>
      </c>
      <c r="BX47" s="380">
        <f t="shared" si="3"/>
        <v>0</v>
      </c>
      <c r="BY47" s="506">
        <v>700000</v>
      </c>
      <c r="BZ47" s="53">
        <v>1</v>
      </c>
      <c r="CA47" s="507">
        <v>700000</v>
      </c>
      <c r="CB47" s="380">
        <f t="shared" si="4"/>
        <v>0</v>
      </c>
      <c r="CC47" s="506">
        <v>700000</v>
      </c>
      <c r="CD47" s="53">
        <v>1</v>
      </c>
      <c r="CE47" s="507">
        <v>700000</v>
      </c>
      <c r="CF47" s="380">
        <f t="shared" si="5"/>
        <v>0</v>
      </c>
      <c r="CG47" s="506">
        <v>700000</v>
      </c>
      <c r="CH47" s="53">
        <v>1</v>
      </c>
      <c r="CI47" s="507">
        <v>700000</v>
      </c>
      <c r="CJ47" s="380">
        <f t="shared" si="6"/>
        <v>0</v>
      </c>
      <c r="CK47" s="506">
        <v>700000</v>
      </c>
      <c r="CL47" s="53">
        <v>1</v>
      </c>
      <c r="CM47" s="507">
        <v>700000</v>
      </c>
      <c r="CN47" s="380">
        <f t="shared" si="7"/>
        <v>0</v>
      </c>
      <c r="CO47" s="506">
        <v>700000</v>
      </c>
      <c r="CP47" s="53">
        <v>1</v>
      </c>
      <c r="CQ47" s="507">
        <v>700000</v>
      </c>
      <c r="CR47" s="380">
        <f t="shared" si="8"/>
        <v>0</v>
      </c>
      <c r="CS47" s="506">
        <v>700000</v>
      </c>
      <c r="CT47" s="53">
        <v>1</v>
      </c>
      <c r="CU47" s="507">
        <v>700000</v>
      </c>
      <c r="CV47" s="380">
        <f t="shared" si="9"/>
        <v>0</v>
      </c>
      <c r="CW47" s="506">
        <v>700000</v>
      </c>
      <c r="CX47" s="53">
        <v>1</v>
      </c>
      <c r="CY47" s="507">
        <v>700000</v>
      </c>
      <c r="CZ47" s="380">
        <f t="shared" si="10"/>
        <v>0</v>
      </c>
      <c r="DA47" s="506">
        <v>700000</v>
      </c>
      <c r="DB47" s="53">
        <v>1</v>
      </c>
      <c r="DC47" s="507">
        <v>700000</v>
      </c>
      <c r="DD47" s="380">
        <f t="shared" si="11"/>
        <v>0</v>
      </c>
      <c r="DE47" s="506">
        <v>700000</v>
      </c>
      <c r="DF47" s="53">
        <v>1</v>
      </c>
      <c r="DG47" s="507">
        <v>700000</v>
      </c>
      <c r="DH47" s="380">
        <f t="shared" si="12"/>
        <v>0</v>
      </c>
      <c r="DI47" s="506">
        <v>700000</v>
      </c>
      <c r="DJ47" s="53">
        <v>1</v>
      </c>
      <c r="DK47" s="507">
        <v>700000</v>
      </c>
      <c r="DL47" s="380">
        <f t="shared" si="13"/>
        <v>0</v>
      </c>
      <c r="DM47" s="506">
        <v>698701.27</v>
      </c>
      <c r="DN47" s="53">
        <v>1</v>
      </c>
      <c r="DO47" s="507">
        <v>698701.27</v>
      </c>
      <c r="DP47" s="380">
        <f t="shared" si="14"/>
        <v>-1298.7299999999814</v>
      </c>
      <c r="DQ47" s="506">
        <v>700000</v>
      </c>
      <c r="DR47" s="53">
        <v>1</v>
      </c>
      <c r="DS47" s="507">
        <v>700000</v>
      </c>
      <c r="DT47" s="380">
        <f t="shared" si="15"/>
        <v>1298.7299999999814</v>
      </c>
      <c r="DU47" s="506">
        <v>700000</v>
      </c>
      <c r="DV47" s="53">
        <v>1</v>
      </c>
      <c r="DW47" s="507">
        <v>700000</v>
      </c>
      <c r="DX47" s="380">
        <f t="shared" si="16"/>
        <v>0</v>
      </c>
      <c r="DY47" s="506">
        <v>700000</v>
      </c>
      <c r="DZ47" s="53">
        <v>1</v>
      </c>
      <c r="EA47" s="507">
        <v>700000</v>
      </c>
      <c r="EB47" s="380">
        <f t="shared" si="17"/>
        <v>0</v>
      </c>
      <c r="EC47" s="506">
        <v>700000</v>
      </c>
      <c r="ED47" s="53">
        <v>1</v>
      </c>
      <c r="EE47" s="507">
        <v>700000</v>
      </c>
      <c r="EF47" s="380">
        <f t="shared" si="18"/>
        <v>0</v>
      </c>
      <c r="EG47" s="506">
        <v>700000</v>
      </c>
      <c r="EH47" s="53">
        <v>1</v>
      </c>
      <c r="EI47" s="507">
        <v>700000</v>
      </c>
      <c r="EJ47" s="380">
        <f t="shared" si="19"/>
        <v>0</v>
      </c>
      <c r="EK47" s="506">
        <v>700000</v>
      </c>
      <c r="EL47" s="53">
        <v>1</v>
      </c>
      <c r="EM47" s="507">
        <v>700000</v>
      </c>
      <c r="EN47" s="380">
        <f t="shared" si="20"/>
        <v>0</v>
      </c>
      <c r="EO47" s="506">
        <v>700000</v>
      </c>
      <c r="EP47" s="53">
        <v>1</v>
      </c>
      <c r="EQ47" s="507">
        <v>700000</v>
      </c>
      <c r="ER47" s="380">
        <f t="shared" si="21"/>
        <v>0</v>
      </c>
      <c r="ES47" s="506">
        <v>700000</v>
      </c>
      <c r="ET47" s="53">
        <v>1</v>
      </c>
      <c r="EU47" s="507">
        <v>700000</v>
      </c>
      <c r="EV47" s="380">
        <f t="shared" si="22"/>
        <v>0</v>
      </c>
      <c r="EW47" s="506">
        <v>700000</v>
      </c>
      <c r="EX47" s="53">
        <v>1</v>
      </c>
      <c r="EY47" s="507">
        <v>700000</v>
      </c>
      <c r="EZ47" s="380">
        <f t="shared" si="23"/>
        <v>0</v>
      </c>
      <c r="FA47" s="506">
        <v>700000</v>
      </c>
      <c r="FB47" s="53">
        <v>1</v>
      </c>
      <c r="FC47" s="507">
        <v>700000</v>
      </c>
      <c r="FD47" s="380">
        <f t="shared" si="24"/>
        <v>0</v>
      </c>
      <c r="FE47" s="506">
        <v>700000</v>
      </c>
      <c r="FF47" s="53">
        <v>1</v>
      </c>
      <c r="FG47" s="507">
        <v>700000</v>
      </c>
      <c r="FH47" s="380">
        <f t="shared" si="25"/>
        <v>0</v>
      </c>
      <c r="FI47" s="506">
        <v>700000</v>
      </c>
      <c r="FJ47" s="53">
        <v>1</v>
      </c>
      <c r="FK47" s="507">
        <v>700000</v>
      </c>
      <c r="FL47" s="380">
        <f t="shared" si="26"/>
        <v>0</v>
      </c>
      <c r="FM47" s="506">
        <v>700000</v>
      </c>
      <c r="FN47" s="53">
        <v>1</v>
      </c>
      <c r="FO47" s="507">
        <v>700000</v>
      </c>
      <c r="FP47" s="380">
        <f t="shared" si="27"/>
        <v>0</v>
      </c>
      <c r="FQ47" s="506">
        <v>700000</v>
      </c>
      <c r="FR47" s="53">
        <v>1</v>
      </c>
      <c r="FS47" s="507">
        <v>700000</v>
      </c>
      <c r="FT47" s="380">
        <f t="shared" si="28"/>
        <v>0</v>
      </c>
      <c r="FU47" s="506">
        <v>700000</v>
      </c>
      <c r="FV47" s="53">
        <v>1</v>
      </c>
      <c r="FW47" s="507">
        <v>700000</v>
      </c>
      <c r="FX47" s="380">
        <f t="shared" si="29"/>
        <v>0</v>
      </c>
      <c r="FY47" s="506">
        <v>700000</v>
      </c>
      <c r="FZ47" s="53">
        <v>1</v>
      </c>
      <c r="GA47" s="507">
        <v>700000</v>
      </c>
      <c r="GB47" s="380">
        <f t="shared" si="30"/>
        <v>0</v>
      </c>
      <c r="GC47" s="506">
        <v>700000</v>
      </c>
      <c r="GD47" s="53">
        <v>1</v>
      </c>
      <c r="GE47" s="507">
        <v>700000</v>
      </c>
      <c r="GF47" s="380">
        <f t="shared" si="31"/>
        <v>0</v>
      </c>
      <c r="GG47" s="506">
        <v>700000</v>
      </c>
      <c r="GH47" s="53">
        <v>1</v>
      </c>
      <c r="GI47" s="507">
        <v>700000</v>
      </c>
      <c r="GJ47" s="380">
        <f t="shared" si="32"/>
        <v>0</v>
      </c>
      <c r="GK47" s="506">
        <v>700000</v>
      </c>
      <c r="GL47" s="53">
        <v>1</v>
      </c>
      <c r="GM47" s="507">
        <v>700000</v>
      </c>
      <c r="GN47" s="380">
        <f t="shared" si="33"/>
        <v>0</v>
      </c>
      <c r="GO47" s="506">
        <v>700000</v>
      </c>
      <c r="GP47" s="53">
        <v>1</v>
      </c>
      <c r="GQ47" s="507">
        <v>700000</v>
      </c>
      <c r="GR47" s="380">
        <f t="shared" si="34"/>
        <v>0</v>
      </c>
      <c r="GS47" s="506">
        <v>700000</v>
      </c>
      <c r="GT47" s="53">
        <v>1</v>
      </c>
      <c r="GU47" s="507">
        <v>700000</v>
      </c>
      <c r="GV47" s="380">
        <f t="shared" si="35"/>
        <v>0</v>
      </c>
      <c r="GW47" s="506">
        <v>700000</v>
      </c>
      <c r="GX47" s="53">
        <v>1</v>
      </c>
      <c r="GY47" s="507">
        <v>700000</v>
      </c>
      <c r="GZ47" s="380">
        <f t="shared" si="36"/>
        <v>0</v>
      </c>
      <c r="HA47" s="506">
        <v>700000</v>
      </c>
      <c r="HB47" s="53">
        <v>1</v>
      </c>
      <c r="HC47" s="507">
        <v>700000</v>
      </c>
      <c r="HD47" s="380">
        <f t="shared" si="37"/>
        <v>0</v>
      </c>
      <c r="HE47" s="506">
        <v>700000</v>
      </c>
      <c r="HF47" s="53">
        <v>1</v>
      </c>
      <c r="HG47" s="507">
        <v>700000</v>
      </c>
      <c r="HH47" s="380">
        <f t="shared" si="38"/>
        <v>0</v>
      </c>
      <c r="HI47" s="506">
        <v>700000</v>
      </c>
      <c r="HJ47" s="53">
        <v>1</v>
      </c>
      <c r="HK47" s="507">
        <v>700000</v>
      </c>
      <c r="HL47" s="380">
        <f t="shared" si="39"/>
        <v>0</v>
      </c>
      <c r="HM47" s="506">
        <v>700000</v>
      </c>
      <c r="HN47" s="53">
        <v>1</v>
      </c>
      <c r="HO47" s="507">
        <v>700000</v>
      </c>
      <c r="HP47" s="380">
        <f t="shared" si="40"/>
        <v>0</v>
      </c>
      <c r="HQ47" s="506">
        <v>700000</v>
      </c>
      <c r="HR47" s="53">
        <v>1</v>
      </c>
      <c r="HS47" s="507">
        <v>700000</v>
      </c>
      <c r="HT47" s="380">
        <f t="shared" si="41"/>
        <v>0</v>
      </c>
      <c r="HU47" s="506">
        <v>700000</v>
      </c>
      <c r="HV47" s="53">
        <v>1</v>
      </c>
      <c r="HW47" s="507">
        <v>700000</v>
      </c>
      <c r="HX47" s="380">
        <f t="shared" si="42"/>
        <v>0</v>
      </c>
      <c r="HY47" s="506">
        <v>700000</v>
      </c>
      <c r="HZ47" s="53">
        <v>1</v>
      </c>
      <c r="IA47" s="507">
        <v>700000</v>
      </c>
      <c r="IB47" s="380">
        <f t="shared" si="43"/>
        <v>0</v>
      </c>
      <c r="IC47" s="506">
        <v>700000</v>
      </c>
      <c r="ID47" s="53">
        <v>1</v>
      </c>
      <c r="IE47" s="507">
        <v>700000</v>
      </c>
      <c r="IF47" s="380">
        <f t="shared" si="44"/>
        <v>0</v>
      </c>
      <c r="IG47" s="506">
        <v>700000</v>
      </c>
      <c r="IH47" s="53">
        <v>1</v>
      </c>
      <c r="II47" s="507">
        <v>700000</v>
      </c>
      <c r="IJ47" s="380">
        <f t="shared" si="45"/>
        <v>0</v>
      </c>
      <c r="IK47" s="506">
        <v>700000</v>
      </c>
      <c r="IL47" s="53">
        <v>1</v>
      </c>
      <c r="IM47" s="507">
        <v>700000</v>
      </c>
      <c r="IN47" s="380">
        <f t="shared" si="46"/>
        <v>0</v>
      </c>
      <c r="IO47" s="506">
        <v>700000</v>
      </c>
      <c r="IP47" s="53">
        <v>1</v>
      </c>
      <c r="IQ47" s="507">
        <v>700000</v>
      </c>
      <c r="IR47" s="380">
        <f t="shared" si="47"/>
        <v>0</v>
      </c>
      <c r="IS47" s="506">
        <v>700000</v>
      </c>
      <c r="IT47" s="53">
        <v>1</v>
      </c>
      <c r="IU47" s="507">
        <v>700000</v>
      </c>
      <c r="IV47" s="380">
        <f t="shared" si="48"/>
        <v>0</v>
      </c>
      <c r="IW47" s="506">
        <v>700000</v>
      </c>
      <c r="IX47" s="53">
        <v>1</v>
      </c>
      <c r="IY47" s="507">
        <v>700000</v>
      </c>
      <c r="IZ47" s="380">
        <f t="shared" si="49"/>
        <v>0</v>
      </c>
    </row>
    <row r="48" spans="1:260" ht="37.5">
      <c r="A48" s="13" t="s">
        <v>595</v>
      </c>
      <c r="B48" s="13" t="s">
        <v>596</v>
      </c>
      <c r="C48" s="13" t="s">
        <v>225</v>
      </c>
      <c r="D48" s="13" t="s">
        <v>336</v>
      </c>
      <c r="E48" s="13" t="s">
        <v>15</v>
      </c>
      <c r="F48" s="49" t="s">
        <v>597</v>
      </c>
      <c r="G48" s="13" t="s">
        <v>234</v>
      </c>
      <c r="H48" s="13" t="s">
        <v>508</v>
      </c>
      <c r="I48" s="14">
        <f>+'IBP export - Colar'!F75</f>
        <v>1249412</v>
      </c>
      <c r="J48" s="14">
        <f>+VLOOKUP(E48,'Summary - Colar'!$M$39:$N$54,2,FALSE)</f>
        <v>4.2567500000000003</v>
      </c>
      <c r="K48" s="14">
        <f t="shared" si="50"/>
        <v>293513.12621131144</v>
      </c>
      <c r="L48" s="506">
        <v>90965.58</v>
      </c>
      <c r="M48" s="53">
        <v>4.2752498697683077</v>
      </c>
      <c r="N48" s="507">
        <v>21277.254609899508</v>
      </c>
      <c r="O48" s="506">
        <v>90965.58</v>
      </c>
      <c r="P48" s="53">
        <v>3.1965890823886927</v>
      </c>
      <c r="Q48" s="507">
        <v>28457.07648229368</v>
      </c>
      <c r="R48" s="506">
        <v>90965.58</v>
      </c>
      <c r="S48" s="53">
        <v>3.6078577538932697</v>
      </c>
      <c r="T48" s="507">
        <v>25213.183613416655</v>
      </c>
      <c r="U48" s="506">
        <v>90965.58</v>
      </c>
      <c r="V48" s="53">
        <v>4.2592495171907769</v>
      </c>
      <c r="W48" s="507">
        <v>21357.185023524307</v>
      </c>
      <c r="X48" s="506">
        <v>85701.58</v>
      </c>
      <c r="Y48" s="53">
        <v>4.2137481424668044</v>
      </c>
      <c r="Z48" s="507">
        <v>20338.562510722044</v>
      </c>
      <c r="AA48" s="506">
        <v>85701.58</v>
      </c>
      <c r="AB48" s="53">
        <v>4.2142387507704955</v>
      </c>
      <c r="AC48" s="507">
        <v>20336.194759808295</v>
      </c>
      <c r="AD48" s="506">
        <v>85701.58</v>
      </c>
      <c r="AE48" s="53">
        <v>4.1964992990431593</v>
      </c>
      <c r="AF48" s="507">
        <v>20422.159970225839</v>
      </c>
      <c r="AG48" s="506">
        <v>85701.58</v>
      </c>
      <c r="AH48" s="53">
        <v>4.1649990994236301</v>
      </c>
      <c r="AI48" s="507">
        <v>20576.61429311227</v>
      </c>
      <c r="AJ48" s="506">
        <v>85701.58</v>
      </c>
      <c r="AK48" s="53">
        <v>4.1680001306250407</v>
      </c>
      <c r="AL48" s="507">
        <v>20561.798779777881</v>
      </c>
      <c r="AM48" s="506">
        <v>85701.58</v>
      </c>
      <c r="AN48" s="53">
        <v>4.1497498320689647</v>
      </c>
      <c r="AO48" s="507">
        <v>20652.228078354128</v>
      </c>
      <c r="AP48" s="506">
        <v>85701.58</v>
      </c>
      <c r="AQ48" s="53">
        <v>4.1780001160987501</v>
      </c>
      <c r="AR48" s="507">
        <v>20512.584398878553</v>
      </c>
      <c r="AS48" s="506">
        <v>85702</v>
      </c>
      <c r="AT48" s="53">
        <v>4.1702500000000002</v>
      </c>
      <c r="AU48" s="507">
        <v>20550.806306576342</v>
      </c>
      <c r="AV48" s="506">
        <v>85701.58</v>
      </c>
      <c r="AW48" s="53">
        <v>4.1987496438879992</v>
      </c>
      <c r="AX48" s="507">
        <v>20411.214592123481</v>
      </c>
      <c r="AY48" s="506">
        <v>85701.58</v>
      </c>
      <c r="AZ48" s="53">
        <v>4.1804998552264561</v>
      </c>
      <c r="BA48" s="507">
        <v>20500.318853702622</v>
      </c>
      <c r="BB48" s="506">
        <v>83117.58</v>
      </c>
      <c r="BC48" s="53">
        <v>4.1837503343525624</v>
      </c>
      <c r="BD48" s="507">
        <v>19866.763873916127</v>
      </c>
      <c r="BE48" s="506">
        <v>83117.58</v>
      </c>
      <c r="BF48" s="53">
        <v>4.1872503790858762</v>
      </c>
      <c r="BG48" s="507">
        <v>19850.157615400469</v>
      </c>
      <c r="BH48" s="380">
        <f t="shared" si="0"/>
        <v>19845.973865066117</v>
      </c>
      <c r="BI48" s="506">
        <v>83117.58</v>
      </c>
      <c r="BJ48" s="53">
        <v>4.1772498657576511</v>
      </c>
      <c r="BK48" s="507">
        <v>19897.679734540969</v>
      </c>
      <c r="BL48" s="380">
        <f t="shared" si="1"/>
        <v>47.522119140499854</v>
      </c>
      <c r="BM48" s="506">
        <v>83117.58</v>
      </c>
      <c r="BN48" s="53">
        <v>4.1952499771846563</v>
      </c>
      <c r="BO48" s="507">
        <v>19812.306883266694</v>
      </c>
      <c r="BP48">
        <v>90.429298576247675</v>
      </c>
      <c r="BQ48" s="506">
        <v>83117.58</v>
      </c>
      <c r="BR48" s="53">
        <v>4.2557503737592732</v>
      </c>
      <c r="BS48" s="507">
        <v>19530.652106030117</v>
      </c>
      <c r="BT48" s="380">
        <f t="shared" si="2"/>
        <v>-281.6547772365775</v>
      </c>
      <c r="BU48" s="506">
        <v>83117.58</v>
      </c>
      <c r="BV48" s="53">
        <v>4.2934996338144407</v>
      </c>
      <c r="BW48" s="507">
        <v>19358.93492231569</v>
      </c>
      <c r="BX48" s="380">
        <f t="shared" si="3"/>
        <v>-171.71718371442694</v>
      </c>
      <c r="BY48" s="506">
        <v>83117.58</v>
      </c>
      <c r="BZ48" s="53">
        <v>4.2717497069272392</v>
      </c>
      <c r="CA48" s="507">
        <v>19457.502359094971</v>
      </c>
      <c r="CB48" s="380">
        <f t="shared" si="4"/>
        <v>98.567436779281707</v>
      </c>
      <c r="CC48" s="506">
        <v>83117.58</v>
      </c>
      <c r="CD48" s="53">
        <v>4.2947502531593544</v>
      </c>
      <c r="CE48" s="507">
        <v>19353.297654236372</v>
      </c>
      <c r="CF48" s="380">
        <f t="shared" si="5"/>
        <v>-104.20470485859914</v>
      </c>
      <c r="CG48" s="506">
        <v>83117.58</v>
      </c>
      <c r="CH48" s="53">
        <v>4.2557503737592732</v>
      </c>
      <c r="CI48" s="507">
        <v>19530.652106030117</v>
      </c>
      <c r="CJ48" s="380">
        <f t="shared" si="6"/>
        <v>177.35445179374437</v>
      </c>
      <c r="CK48" s="506">
        <v>83117.58</v>
      </c>
      <c r="CL48" s="53">
        <v>4.2942496829513397</v>
      </c>
      <c r="CM48" s="507">
        <v>19355.553620923874</v>
      </c>
      <c r="CN48" s="380">
        <f t="shared" si="7"/>
        <v>-175.09848510624215</v>
      </c>
      <c r="CO48" s="506">
        <v>83117.58</v>
      </c>
      <c r="CP48" s="53">
        <v>4.2852498841157427</v>
      </c>
      <c r="CQ48" s="507">
        <v>19396.203779876243</v>
      </c>
      <c r="CR48" s="380">
        <f t="shared" si="8"/>
        <v>40.650158952368656</v>
      </c>
      <c r="CS48" s="506">
        <v>83117.58</v>
      </c>
      <c r="CT48" s="53">
        <v>4.2824997373557228</v>
      </c>
      <c r="CU48" s="507">
        <v>19408.65968419694</v>
      </c>
      <c r="CV48" s="380">
        <f t="shared" si="9"/>
        <v>12.4559043206973</v>
      </c>
      <c r="CW48" s="506">
        <v>83117.58</v>
      </c>
      <c r="CX48" s="53">
        <v>4.2965002317027841</v>
      </c>
      <c r="CY48" s="507">
        <v>19345.414993043985</v>
      </c>
      <c r="CZ48" s="380">
        <f t="shared" si="10"/>
        <v>-63.244691152955056</v>
      </c>
      <c r="DA48" s="506">
        <v>83117.58</v>
      </c>
      <c r="DB48" s="53">
        <v>4.2792501930005873</v>
      </c>
      <c r="DC48" s="507">
        <v>19423.39808407379</v>
      </c>
      <c r="DD48" s="380">
        <f t="shared" si="11"/>
        <v>77.9830910298042</v>
      </c>
      <c r="DE48" s="506">
        <v>83117.58</v>
      </c>
      <c r="DF48" s="53">
        <v>4.2747502071638213</v>
      </c>
      <c r="DG48" s="507">
        <v>19443.844896646304</v>
      </c>
      <c r="DH48" s="380">
        <f t="shared" si="12"/>
        <v>20.446812572514318</v>
      </c>
      <c r="DI48" s="506">
        <v>83117.58</v>
      </c>
      <c r="DJ48" s="53">
        <v>4.280000313422077</v>
      </c>
      <c r="DK48" s="507">
        <v>19419.99390498719</v>
      </c>
      <c r="DL48" s="380">
        <f t="shared" si="13"/>
        <v>-23.850991659113788</v>
      </c>
      <c r="DM48" s="506">
        <v>83117.58</v>
      </c>
      <c r="DN48" s="53">
        <v>4.2929999681134907</v>
      </c>
      <c r="DO48" s="507">
        <v>19361.188124239623</v>
      </c>
      <c r="DP48" s="380">
        <f t="shared" si="14"/>
        <v>-58.805780747567042</v>
      </c>
      <c r="DQ48" s="506">
        <v>83117.58</v>
      </c>
      <c r="DR48" s="53">
        <v>4.2757502359513877</v>
      </c>
      <c r="DS48" s="507">
        <v>19439.297295976339</v>
      </c>
      <c r="DT48" s="380">
        <f t="shared" si="15"/>
        <v>78.109171736716235</v>
      </c>
      <c r="DU48" s="506">
        <v>83117.58</v>
      </c>
      <c r="DV48" s="53">
        <v>4.2792501930005873</v>
      </c>
      <c r="DW48" s="507">
        <v>19423.39808407379</v>
      </c>
      <c r="DX48" s="380">
        <f t="shared" si="16"/>
        <v>-15.899211902549723</v>
      </c>
      <c r="DY48" s="506">
        <v>83118</v>
      </c>
      <c r="DZ48" s="53">
        <v>4.274</v>
      </c>
      <c r="EA48" s="507">
        <v>19447.356106691623</v>
      </c>
      <c r="EB48" s="380">
        <f t="shared" si="17"/>
        <v>23.958022617833194</v>
      </c>
      <c r="EC48" s="506">
        <v>83118</v>
      </c>
      <c r="ED48" s="53">
        <v>4.2774999999999999</v>
      </c>
      <c r="EE48" s="507">
        <v>19431.443600233782</v>
      </c>
      <c r="EF48" s="380">
        <f t="shared" si="18"/>
        <v>-15.912506457840209</v>
      </c>
      <c r="EG48" s="506">
        <v>83118</v>
      </c>
      <c r="EH48" s="53">
        <v>4.2752499999999998</v>
      </c>
      <c r="EI48" s="507">
        <v>19441.670077773229</v>
      </c>
      <c r="EJ48" s="380">
        <f t="shared" si="19"/>
        <v>10.226477539446932</v>
      </c>
      <c r="EK48" s="506">
        <v>83118</v>
      </c>
      <c r="EL48" s="53">
        <v>4.2774999999999999</v>
      </c>
      <c r="EM48" s="507">
        <v>19431.443600233782</v>
      </c>
      <c r="EN48" s="380">
        <f t="shared" si="20"/>
        <v>-10.226477539446932</v>
      </c>
      <c r="EO48" s="506">
        <v>83118</v>
      </c>
      <c r="EP48" s="53">
        <v>4.2707499999999996</v>
      </c>
      <c r="EQ48" s="507">
        <v>19462.155359128959</v>
      </c>
      <c r="ER48" s="380">
        <f t="shared" si="21"/>
        <v>30.711758895176899</v>
      </c>
      <c r="ES48" s="506">
        <v>83118</v>
      </c>
      <c r="ET48" s="53">
        <v>4.2389999999999999</v>
      </c>
      <c r="EU48" s="507">
        <v>19607.926397735315</v>
      </c>
      <c r="EV48" s="380">
        <f t="shared" si="22"/>
        <v>145.77103860635543</v>
      </c>
      <c r="EW48" s="506">
        <v>83118</v>
      </c>
      <c r="EX48" s="53">
        <v>4.2407500000000002</v>
      </c>
      <c r="EY48" s="507">
        <v>19599.83493485822</v>
      </c>
      <c r="EZ48" s="380">
        <f t="shared" si="23"/>
        <v>-8.0914628770951822</v>
      </c>
      <c r="FA48" s="506">
        <v>83118</v>
      </c>
      <c r="FB48" s="53">
        <v>4.25</v>
      </c>
      <c r="FC48" s="507">
        <v>19557.176470588234</v>
      </c>
      <c r="FD48" s="380">
        <f t="shared" si="24"/>
        <v>-42.658464269985416</v>
      </c>
      <c r="FE48" s="506">
        <v>83118</v>
      </c>
      <c r="FF48" s="53">
        <v>4.2417499999999997</v>
      </c>
      <c r="FG48" s="507">
        <v>19595.214239405908</v>
      </c>
      <c r="FH48" s="380">
        <f t="shared" si="25"/>
        <v>38.037768817674078</v>
      </c>
      <c r="FI48" s="506">
        <v>83118</v>
      </c>
      <c r="FJ48" s="53">
        <v>4.2530000000000001</v>
      </c>
      <c r="FK48" s="507">
        <v>19543.381142722785</v>
      </c>
      <c r="FL48" s="380">
        <f t="shared" si="26"/>
        <v>-51.833096683123586</v>
      </c>
      <c r="FM48" s="506">
        <v>83118</v>
      </c>
      <c r="FN48" s="53">
        <v>4.2682500000000001</v>
      </c>
      <c r="FO48" s="507">
        <v>19473.554735547354</v>
      </c>
      <c r="FP48" s="380">
        <f t="shared" si="27"/>
        <v>-69.826407175431086</v>
      </c>
      <c r="FQ48" s="506">
        <v>83118</v>
      </c>
      <c r="FR48" s="53">
        <v>4.2474999999999996</v>
      </c>
      <c r="FS48" s="507">
        <v>19568.687463213657</v>
      </c>
      <c r="FT48" s="380">
        <f t="shared" si="28"/>
        <v>95.132727666303253</v>
      </c>
      <c r="FU48" s="506">
        <v>83118</v>
      </c>
      <c r="FV48" s="53">
        <v>4.2437500000000004</v>
      </c>
      <c r="FW48" s="507">
        <v>19585.979381443296</v>
      </c>
      <c r="FX48" s="380">
        <f t="shared" si="29"/>
        <v>17.291918229639123</v>
      </c>
      <c r="FY48" s="506">
        <v>83118</v>
      </c>
      <c r="FZ48" s="53">
        <v>4.2612500000000004</v>
      </c>
      <c r="GA48" s="507">
        <v>19505.544147843939</v>
      </c>
      <c r="GB48" s="380">
        <f t="shared" si="30"/>
        <v>-80.435233599357161</v>
      </c>
      <c r="GC48" s="506">
        <v>83118</v>
      </c>
      <c r="GD48" s="53">
        <v>4.2467499999999996</v>
      </c>
      <c r="GE48" s="507">
        <v>19572.143403779362</v>
      </c>
      <c r="GF48" s="380">
        <f t="shared" si="31"/>
        <v>66.599255935423571</v>
      </c>
      <c r="GG48" s="506">
        <v>83118</v>
      </c>
      <c r="GH48" s="53">
        <v>4.2480000000000002</v>
      </c>
      <c r="GI48" s="507">
        <v>19566.384180790959</v>
      </c>
      <c r="GJ48" s="380">
        <f t="shared" si="32"/>
        <v>-5.759222988403053</v>
      </c>
      <c r="GK48" s="506">
        <v>83118</v>
      </c>
      <c r="GL48" s="53">
        <v>4.2424999999999997</v>
      </c>
      <c r="GM48" s="507">
        <v>19591.750147318799</v>
      </c>
      <c r="GN48" s="380">
        <f t="shared" si="33"/>
        <v>25.365966527839191</v>
      </c>
      <c r="GO48" s="506">
        <v>83118</v>
      </c>
      <c r="GP48" s="53">
        <v>4.2357500000000003</v>
      </c>
      <c r="GQ48" s="507">
        <v>19622.971138523284</v>
      </c>
      <c r="GR48" s="380">
        <f t="shared" si="34"/>
        <v>31.220991204485472</v>
      </c>
      <c r="GS48" s="506">
        <v>1249412</v>
      </c>
      <c r="GT48" s="53">
        <v>4.2482499999999996</v>
      </c>
      <c r="GU48" s="507">
        <v>294100.39427999768</v>
      </c>
      <c r="GV48" s="380">
        <f t="shared" si="35"/>
        <v>274477.42314147437</v>
      </c>
      <c r="GW48" s="506">
        <v>1249412</v>
      </c>
      <c r="GX48" s="53">
        <v>4.2595000000000001</v>
      </c>
      <c r="GY48" s="507">
        <v>293323.62953398284</v>
      </c>
      <c r="GZ48" s="380">
        <f t="shared" si="36"/>
        <v>-776.76474601484369</v>
      </c>
      <c r="HA48" s="506">
        <v>1249412</v>
      </c>
      <c r="HB48" s="53">
        <v>4.2759999999999998</v>
      </c>
      <c r="HC48" s="507">
        <v>292191.76800748362</v>
      </c>
      <c r="HD48" s="380">
        <f t="shared" si="37"/>
        <v>-1131.8615264992113</v>
      </c>
      <c r="HE48" s="506">
        <v>1249412</v>
      </c>
      <c r="HF48" s="53">
        <v>4.2822500000000003</v>
      </c>
      <c r="HG48" s="507">
        <v>291765.31029248639</v>
      </c>
      <c r="HH48" s="380">
        <f t="shared" si="38"/>
        <v>-426.45771499723196</v>
      </c>
      <c r="HI48" s="506">
        <v>1249412</v>
      </c>
      <c r="HJ48" s="53">
        <v>4.2850000000000001</v>
      </c>
      <c r="HK48" s="507">
        <v>291578.06301050173</v>
      </c>
      <c r="HL48" s="380">
        <f t="shared" si="39"/>
        <v>-187.24728198465891</v>
      </c>
      <c r="HM48" s="506">
        <v>1249412</v>
      </c>
      <c r="HN48" s="53">
        <v>4.2880000000000003</v>
      </c>
      <c r="HO48" s="507">
        <v>291374.06716417911</v>
      </c>
      <c r="HP48" s="380">
        <f t="shared" si="40"/>
        <v>-203.99584632262122</v>
      </c>
      <c r="HQ48" s="506">
        <v>1249412</v>
      </c>
      <c r="HR48" s="53">
        <v>4.2532500000000004</v>
      </c>
      <c r="HS48" s="507">
        <v>293754.65820255096</v>
      </c>
      <c r="HT48" s="380">
        <f t="shared" si="41"/>
        <v>2380.5910383718438</v>
      </c>
      <c r="HU48" s="506">
        <v>1249412</v>
      </c>
      <c r="HV48" s="53">
        <v>4.2614999999999998</v>
      </c>
      <c r="HW48" s="507">
        <v>293185.96738237713</v>
      </c>
      <c r="HX48" s="380">
        <f t="shared" si="42"/>
        <v>-568.69082017382607</v>
      </c>
      <c r="HY48" s="506">
        <v>1249412</v>
      </c>
      <c r="HZ48" s="53">
        <v>4.2742500000000003</v>
      </c>
      <c r="IA48" s="507">
        <v>292311.3996607592</v>
      </c>
      <c r="IB48" s="380">
        <f t="shared" si="43"/>
        <v>-874.56772161793197</v>
      </c>
      <c r="IC48" s="506">
        <v>1249412</v>
      </c>
      <c r="ID48" s="53">
        <v>4.2742500000000003</v>
      </c>
      <c r="IE48" s="507">
        <v>292311.3996607592</v>
      </c>
      <c r="IF48" s="380">
        <f t="shared" si="44"/>
        <v>0</v>
      </c>
      <c r="IG48" s="506">
        <v>1249412</v>
      </c>
      <c r="IH48" s="53">
        <v>4.2742500000000003</v>
      </c>
      <c r="II48" s="507">
        <v>292311.3996607592</v>
      </c>
      <c r="IJ48" s="380">
        <f t="shared" si="45"/>
        <v>0</v>
      </c>
      <c r="IK48" s="506">
        <v>1249412</v>
      </c>
      <c r="IL48" s="53">
        <v>4.2742500000000003</v>
      </c>
      <c r="IM48" s="507">
        <v>292311.3996607592</v>
      </c>
      <c r="IN48" s="380">
        <f t="shared" si="46"/>
        <v>0</v>
      </c>
      <c r="IO48" s="506">
        <v>1249412</v>
      </c>
      <c r="IP48" s="53">
        <v>4.2742500000000003</v>
      </c>
      <c r="IQ48" s="507">
        <v>292311.3996607592</v>
      </c>
      <c r="IR48" s="380">
        <f t="shared" si="47"/>
        <v>0</v>
      </c>
      <c r="IS48" s="506">
        <v>1249412</v>
      </c>
      <c r="IT48" s="53">
        <v>4.2742500000000003</v>
      </c>
      <c r="IU48" s="507">
        <v>292311.3996607592</v>
      </c>
      <c r="IV48" s="380">
        <f t="shared" si="48"/>
        <v>0</v>
      </c>
      <c r="IW48" s="506">
        <v>1249412</v>
      </c>
      <c r="IX48" s="53">
        <v>4.2567500000000003</v>
      </c>
      <c r="IY48" s="507">
        <v>293513.12621131144</v>
      </c>
      <c r="IZ48" s="380">
        <f t="shared" si="49"/>
        <v>1201.7265505522373</v>
      </c>
    </row>
    <row r="49" spans="1:260">
      <c r="A49" s="13" t="s">
        <v>595</v>
      </c>
      <c r="B49" s="13" t="s">
        <v>596</v>
      </c>
      <c r="C49" s="13" t="s">
        <v>225</v>
      </c>
      <c r="D49" s="13" t="s">
        <v>336</v>
      </c>
      <c r="E49" s="13" t="s">
        <v>15</v>
      </c>
      <c r="F49" s="13">
        <v>6.8105000861000003E+25</v>
      </c>
      <c r="G49" s="13" t="s">
        <v>231</v>
      </c>
      <c r="H49" s="49" t="s">
        <v>508</v>
      </c>
      <c r="I49" s="14">
        <f>+'IBP export - Colar'!F74</f>
        <v>0</v>
      </c>
      <c r="J49" s="14">
        <f>+VLOOKUP(E49,'Summary - Colar'!$M$39:$N$54,2,FALSE)</f>
        <v>4.2567500000000003</v>
      </c>
      <c r="K49" s="14">
        <f t="shared" si="50"/>
        <v>0</v>
      </c>
      <c r="L49" s="506">
        <v>0</v>
      </c>
      <c r="M49" s="53">
        <v>4.2752498697683077</v>
      </c>
      <c r="N49" s="507">
        <v>0</v>
      </c>
      <c r="O49" s="506">
        <v>0</v>
      </c>
      <c r="P49" s="53">
        <v>3.1965890823886927</v>
      </c>
      <c r="Q49" s="507">
        <v>0</v>
      </c>
      <c r="R49" s="506">
        <v>0</v>
      </c>
      <c r="S49" s="53">
        <v>3.6078577538932697</v>
      </c>
      <c r="T49" s="507">
        <v>0</v>
      </c>
      <c r="U49" s="506">
        <v>0</v>
      </c>
      <c r="V49" s="53">
        <v>4.2592495171907769</v>
      </c>
      <c r="W49" s="507">
        <v>0</v>
      </c>
      <c r="X49" s="506">
        <v>0</v>
      </c>
      <c r="Y49" s="53">
        <v>4.2137481424668044</v>
      </c>
      <c r="Z49" s="507">
        <v>0</v>
      </c>
      <c r="AA49" s="506">
        <v>0</v>
      </c>
      <c r="AB49" s="53">
        <v>4.2142387507704955</v>
      </c>
      <c r="AC49" s="507">
        <v>0</v>
      </c>
      <c r="AD49" s="506">
        <v>0</v>
      </c>
      <c r="AE49" s="53">
        <v>4.1964992990431593</v>
      </c>
      <c r="AF49" s="507">
        <v>0</v>
      </c>
      <c r="AG49" s="506">
        <v>0</v>
      </c>
      <c r="AH49" s="53">
        <v>4.1649990994236301</v>
      </c>
      <c r="AI49" s="507">
        <v>0</v>
      </c>
      <c r="AJ49" s="506">
        <v>0</v>
      </c>
      <c r="AK49" s="53">
        <v>4.1680001306250407</v>
      </c>
      <c r="AL49" s="507">
        <v>0</v>
      </c>
      <c r="AM49" s="506">
        <v>0</v>
      </c>
      <c r="AN49" s="53">
        <v>4.1497498320689647</v>
      </c>
      <c r="AO49" s="507">
        <v>0</v>
      </c>
      <c r="AP49" s="506">
        <v>0</v>
      </c>
      <c r="AQ49" s="53">
        <v>4.1780001160987501</v>
      </c>
      <c r="AR49" s="507">
        <v>0</v>
      </c>
      <c r="AS49" s="506">
        <v>0</v>
      </c>
      <c r="AT49" s="53">
        <v>4.1702500000000002</v>
      </c>
      <c r="AU49" s="507">
        <v>0</v>
      </c>
      <c r="AV49" s="506">
        <v>0</v>
      </c>
      <c r="AW49" s="53">
        <v>4.1987496438879992</v>
      </c>
      <c r="AX49" s="507">
        <v>0</v>
      </c>
      <c r="AY49" s="506">
        <v>0</v>
      </c>
      <c r="AZ49" s="53">
        <v>4.1804998552264561</v>
      </c>
      <c r="BA49" s="507">
        <v>0</v>
      </c>
      <c r="BB49" s="506">
        <v>0</v>
      </c>
      <c r="BC49" s="53">
        <v>4.1837503343525624</v>
      </c>
      <c r="BD49" s="507">
        <v>0</v>
      </c>
      <c r="BE49" s="506">
        <v>0</v>
      </c>
      <c r="BF49" s="53">
        <v>4.1872503790858762</v>
      </c>
      <c r="BG49" s="507">
        <v>0</v>
      </c>
      <c r="BH49" s="380">
        <f t="shared" si="0"/>
        <v>-4.1837503343525624</v>
      </c>
      <c r="BI49" s="506">
        <v>0</v>
      </c>
      <c r="BJ49" s="53">
        <v>4.1772498657576511</v>
      </c>
      <c r="BK49" s="507">
        <v>0</v>
      </c>
      <c r="BL49" s="380">
        <f t="shared" si="1"/>
        <v>0</v>
      </c>
      <c r="BM49" s="506">
        <v>0</v>
      </c>
      <c r="BN49" s="53">
        <v>4.1952499771846563</v>
      </c>
      <c r="BO49" s="507">
        <v>0</v>
      </c>
      <c r="BP49">
        <v>0</v>
      </c>
      <c r="BQ49" s="506">
        <v>0</v>
      </c>
      <c r="BR49" s="53">
        <v>4.2557503737592732</v>
      </c>
      <c r="BS49" s="507">
        <v>0</v>
      </c>
      <c r="BT49" s="380">
        <f t="shared" si="2"/>
        <v>0</v>
      </c>
      <c r="BU49" s="506">
        <v>0</v>
      </c>
      <c r="BV49" s="53">
        <v>4.2934996338144407</v>
      </c>
      <c r="BW49" s="507">
        <v>0</v>
      </c>
      <c r="BX49" s="380">
        <f t="shared" si="3"/>
        <v>0</v>
      </c>
      <c r="BY49" s="506">
        <v>0</v>
      </c>
      <c r="BZ49" s="53">
        <v>4.2717497069272392</v>
      </c>
      <c r="CA49" s="507">
        <v>0</v>
      </c>
      <c r="CB49" s="380">
        <f t="shared" si="4"/>
        <v>0</v>
      </c>
      <c r="CC49" s="506">
        <v>0</v>
      </c>
      <c r="CD49" s="53">
        <v>4.2947502531593544</v>
      </c>
      <c r="CE49" s="507">
        <v>0</v>
      </c>
      <c r="CF49" s="380">
        <f t="shared" si="5"/>
        <v>0</v>
      </c>
      <c r="CG49" s="506">
        <v>0</v>
      </c>
      <c r="CH49" s="53">
        <v>4.2557503737592732</v>
      </c>
      <c r="CI49" s="507">
        <v>0</v>
      </c>
      <c r="CJ49" s="380">
        <f t="shared" si="6"/>
        <v>0</v>
      </c>
      <c r="CK49" s="506">
        <v>0</v>
      </c>
      <c r="CL49" s="53">
        <v>4.2942496829513397</v>
      </c>
      <c r="CM49" s="507">
        <v>0</v>
      </c>
      <c r="CN49" s="380">
        <f t="shared" si="7"/>
        <v>0</v>
      </c>
      <c r="CO49" s="506">
        <v>0</v>
      </c>
      <c r="CP49" s="53">
        <v>4.2852498841157427</v>
      </c>
      <c r="CQ49" s="507">
        <v>0</v>
      </c>
      <c r="CR49" s="380">
        <f t="shared" si="8"/>
        <v>0</v>
      </c>
      <c r="CS49" s="506">
        <v>0</v>
      </c>
      <c r="CT49" s="53">
        <v>4.2824997373557228</v>
      </c>
      <c r="CU49" s="507">
        <v>0</v>
      </c>
      <c r="CV49" s="380">
        <f t="shared" si="9"/>
        <v>0</v>
      </c>
      <c r="CW49" s="506">
        <v>0</v>
      </c>
      <c r="CX49" s="53">
        <v>4.2965002317027841</v>
      </c>
      <c r="CY49" s="507">
        <v>0</v>
      </c>
      <c r="CZ49" s="380">
        <f t="shared" si="10"/>
        <v>0</v>
      </c>
      <c r="DA49" s="506">
        <v>0</v>
      </c>
      <c r="DB49" s="53">
        <v>4.2792501930005873</v>
      </c>
      <c r="DC49" s="507">
        <v>0</v>
      </c>
      <c r="DD49" s="380">
        <f t="shared" si="11"/>
        <v>0</v>
      </c>
      <c r="DE49" s="506">
        <v>0</v>
      </c>
      <c r="DF49" s="53">
        <v>4.2747502071638213</v>
      </c>
      <c r="DG49" s="507">
        <v>0</v>
      </c>
      <c r="DH49" s="380">
        <f t="shared" si="12"/>
        <v>0</v>
      </c>
      <c r="DI49" s="506">
        <v>0</v>
      </c>
      <c r="DJ49" s="53">
        <v>4.280000313422077</v>
      </c>
      <c r="DK49" s="507">
        <v>0</v>
      </c>
      <c r="DL49" s="380">
        <f t="shared" si="13"/>
        <v>0</v>
      </c>
      <c r="DM49" s="506">
        <v>0</v>
      </c>
      <c r="DN49" s="53">
        <v>4.2929999681134907</v>
      </c>
      <c r="DO49" s="507">
        <v>0</v>
      </c>
      <c r="DP49" s="380">
        <f t="shared" si="14"/>
        <v>0</v>
      </c>
      <c r="DQ49" s="506">
        <v>0</v>
      </c>
      <c r="DR49" s="53">
        <v>4.2757502359513877</v>
      </c>
      <c r="DS49" s="507">
        <v>0</v>
      </c>
      <c r="DT49" s="380">
        <f t="shared" si="15"/>
        <v>0</v>
      </c>
      <c r="DU49" s="506">
        <v>0</v>
      </c>
      <c r="DV49" s="53">
        <v>4.2792501930005873</v>
      </c>
      <c r="DW49" s="507">
        <v>0</v>
      </c>
      <c r="DX49" s="380">
        <f t="shared" si="16"/>
        <v>0</v>
      </c>
      <c r="DY49" s="506">
        <v>0</v>
      </c>
      <c r="DZ49" s="53">
        <v>4.274</v>
      </c>
      <c r="EA49" s="507">
        <v>0</v>
      </c>
      <c r="EB49" s="380">
        <f t="shared" si="17"/>
        <v>0</v>
      </c>
      <c r="EC49" s="506">
        <v>0</v>
      </c>
      <c r="ED49" s="53">
        <v>4.2774999999999999</v>
      </c>
      <c r="EE49" s="507">
        <v>0</v>
      </c>
      <c r="EF49" s="380">
        <f t="shared" si="18"/>
        <v>0</v>
      </c>
      <c r="EG49" s="506">
        <v>0</v>
      </c>
      <c r="EH49" s="53">
        <v>4.2752499999999998</v>
      </c>
      <c r="EI49" s="507">
        <v>0</v>
      </c>
      <c r="EJ49" s="380">
        <f t="shared" si="19"/>
        <v>0</v>
      </c>
      <c r="EK49" s="506">
        <v>0</v>
      </c>
      <c r="EL49" s="53">
        <v>4.2774999999999999</v>
      </c>
      <c r="EM49" s="507">
        <v>0</v>
      </c>
      <c r="EN49" s="380">
        <f t="shared" si="20"/>
        <v>0</v>
      </c>
      <c r="EO49" s="506">
        <v>0</v>
      </c>
      <c r="EP49" s="53">
        <v>4.2707499999999996</v>
      </c>
      <c r="EQ49" s="507">
        <v>0</v>
      </c>
      <c r="ER49" s="380">
        <f t="shared" si="21"/>
        <v>0</v>
      </c>
      <c r="ES49" s="506">
        <v>0</v>
      </c>
      <c r="ET49" s="53">
        <v>4.2389999999999999</v>
      </c>
      <c r="EU49" s="507">
        <v>0</v>
      </c>
      <c r="EV49" s="380">
        <f t="shared" si="22"/>
        <v>0</v>
      </c>
      <c r="EW49" s="506">
        <v>0</v>
      </c>
      <c r="EX49" s="53">
        <v>4.2407500000000002</v>
      </c>
      <c r="EY49" s="507">
        <v>0</v>
      </c>
      <c r="EZ49" s="380">
        <f t="shared" si="23"/>
        <v>0</v>
      </c>
      <c r="FA49" s="506">
        <v>0</v>
      </c>
      <c r="FB49" s="53">
        <v>4.25</v>
      </c>
      <c r="FC49" s="507">
        <v>0</v>
      </c>
      <c r="FD49" s="380">
        <f t="shared" si="24"/>
        <v>0</v>
      </c>
      <c r="FE49" s="506">
        <v>0</v>
      </c>
      <c r="FF49" s="53">
        <v>4.2417499999999997</v>
      </c>
      <c r="FG49" s="507">
        <v>0</v>
      </c>
      <c r="FH49" s="380">
        <f t="shared" si="25"/>
        <v>0</v>
      </c>
      <c r="FI49" s="506">
        <v>0</v>
      </c>
      <c r="FJ49" s="53">
        <v>4.2530000000000001</v>
      </c>
      <c r="FK49" s="507">
        <v>0</v>
      </c>
      <c r="FL49" s="380">
        <f t="shared" si="26"/>
        <v>0</v>
      </c>
      <c r="FM49" s="506">
        <v>0</v>
      </c>
      <c r="FN49" s="53">
        <v>4.2682500000000001</v>
      </c>
      <c r="FO49" s="507">
        <v>0</v>
      </c>
      <c r="FP49" s="380">
        <f t="shared" si="27"/>
        <v>0</v>
      </c>
      <c r="FQ49" s="506">
        <v>0</v>
      </c>
      <c r="FR49" s="53">
        <v>4.2474999999999996</v>
      </c>
      <c r="FS49" s="507">
        <v>0</v>
      </c>
      <c r="FT49" s="380">
        <f t="shared" si="28"/>
        <v>0</v>
      </c>
      <c r="FU49" s="506">
        <v>0</v>
      </c>
      <c r="FV49" s="53">
        <v>4.2437500000000004</v>
      </c>
      <c r="FW49" s="507">
        <v>0</v>
      </c>
      <c r="FX49" s="380">
        <f t="shared" si="29"/>
        <v>0</v>
      </c>
      <c r="FY49" s="506">
        <v>0</v>
      </c>
      <c r="FZ49" s="53">
        <v>4.2612500000000004</v>
      </c>
      <c r="GA49" s="507">
        <v>0</v>
      </c>
      <c r="GB49" s="380">
        <f t="shared" si="30"/>
        <v>0</v>
      </c>
      <c r="GC49" s="506">
        <v>0</v>
      </c>
      <c r="GD49" s="53">
        <v>4.2467499999999996</v>
      </c>
      <c r="GE49" s="507">
        <v>0</v>
      </c>
      <c r="GF49" s="380">
        <f t="shared" si="31"/>
        <v>0</v>
      </c>
      <c r="GG49" s="506">
        <v>0</v>
      </c>
      <c r="GH49" s="53">
        <v>4.2480000000000002</v>
      </c>
      <c r="GI49" s="507">
        <v>0</v>
      </c>
      <c r="GJ49" s="380">
        <f t="shared" si="32"/>
        <v>0</v>
      </c>
      <c r="GK49" s="506">
        <v>0</v>
      </c>
      <c r="GL49" s="53">
        <v>4.2424999999999997</v>
      </c>
      <c r="GM49" s="507">
        <v>0</v>
      </c>
      <c r="GN49" s="380">
        <f t="shared" si="33"/>
        <v>0</v>
      </c>
      <c r="GO49" s="506">
        <v>0</v>
      </c>
      <c r="GP49" s="53">
        <v>4.2357500000000003</v>
      </c>
      <c r="GQ49" s="507">
        <v>0</v>
      </c>
      <c r="GR49" s="380">
        <f t="shared" si="34"/>
        <v>0</v>
      </c>
      <c r="GS49" s="506">
        <v>0</v>
      </c>
      <c r="GT49" s="53">
        <v>4.2482499999999996</v>
      </c>
      <c r="GU49" s="507">
        <v>0</v>
      </c>
      <c r="GV49" s="380">
        <f t="shared" si="35"/>
        <v>0</v>
      </c>
      <c r="GW49" s="506">
        <v>0</v>
      </c>
      <c r="GX49" s="53">
        <v>4.2595000000000001</v>
      </c>
      <c r="GY49" s="507">
        <v>0</v>
      </c>
      <c r="GZ49" s="380">
        <f t="shared" si="36"/>
        <v>0</v>
      </c>
      <c r="HA49" s="506">
        <v>0</v>
      </c>
      <c r="HB49" s="53">
        <v>4.2759999999999998</v>
      </c>
      <c r="HC49" s="507">
        <v>0</v>
      </c>
      <c r="HD49" s="380">
        <f t="shared" si="37"/>
        <v>0</v>
      </c>
      <c r="HE49" s="506">
        <v>0</v>
      </c>
      <c r="HF49" s="53">
        <v>4.2822500000000003</v>
      </c>
      <c r="HG49" s="507">
        <v>0</v>
      </c>
      <c r="HH49" s="380">
        <f t="shared" si="38"/>
        <v>0</v>
      </c>
      <c r="HI49" s="506">
        <v>0</v>
      </c>
      <c r="HJ49" s="53">
        <v>4.2850000000000001</v>
      </c>
      <c r="HK49" s="507">
        <v>0</v>
      </c>
      <c r="HL49" s="380">
        <f t="shared" si="39"/>
        <v>0</v>
      </c>
      <c r="HM49" s="506">
        <v>0</v>
      </c>
      <c r="HN49" s="53">
        <v>4.2880000000000003</v>
      </c>
      <c r="HO49" s="507">
        <v>0</v>
      </c>
      <c r="HP49" s="380">
        <f t="shared" si="40"/>
        <v>0</v>
      </c>
      <c r="HQ49" s="506">
        <v>0</v>
      </c>
      <c r="HR49" s="53">
        <v>4.2532500000000004</v>
      </c>
      <c r="HS49" s="507">
        <v>0</v>
      </c>
      <c r="HT49" s="380">
        <f t="shared" si="41"/>
        <v>0</v>
      </c>
      <c r="HU49" s="506">
        <v>0</v>
      </c>
      <c r="HV49" s="53">
        <v>4.2614999999999998</v>
      </c>
      <c r="HW49" s="507">
        <v>0</v>
      </c>
      <c r="HX49" s="380">
        <f t="shared" si="42"/>
        <v>0</v>
      </c>
      <c r="HY49" s="506">
        <v>0</v>
      </c>
      <c r="HZ49" s="53">
        <v>4.2742500000000003</v>
      </c>
      <c r="IA49" s="507">
        <v>0</v>
      </c>
      <c r="IB49" s="380">
        <f t="shared" si="43"/>
        <v>0</v>
      </c>
      <c r="IC49" s="506">
        <v>0</v>
      </c>
      <c r="ID49" s="53">
        <v>4.2742500000000003</v>
      </c>
      <c r="IE49" s="507">
        <v>0</v>
      </c>
      <c r="IF49" s="380">
        <f t="shared" si="44"/>
        <v>0</v>
      </c>
      <c r="IG49" s="506">
        <v>0</v>
      </c>
      <c r="IH49" s="53">
        <v>4.2742500000000003</v>
      </c>
      <c r="II49" s="507">
        <v>0</v>
      </c>
      <c r="IJ49" s="380">
        <f t="shared" si="45"/>
        <v>0</v>
      </c>
      <c r="IK49" s="506">
        <v>0</v>
      </c>
      <c r="IL49" s="53">
        <v>4.2742500000000003</v>
      </c>
      <c r="IM49" s="507">
        <v>0</v>
      </c>
      <c r="IN49" s="380">
        <f t="shared" si="46"/>
        <v>0</v>
      </c>
      <c r="IO49" s="506">
        <v>0</v>
      </c>
      <c r="IP49" s="53">
        <v>4.2742500000000003</v>
      </c>
      <c r="IQ49" s="507">
        <v>0</v>
      </c>
      <c r="IR49" s="380">
        <f t="shared" si="47"/>
        <v>0</v>
      </c>
      <c r="IS49" s="506">
        <v>0</v>
      </c>
      <c r="IT49" s="53">
        <v>4.2742500000000003</v>
      </c>
      <c r="IU49" s="507">
        <v>0</v>
      </c>
      <c r="IV49" s="380">
        <f t="shared" si="48"/>
        <v>0</v>
      </c>
      <c r="IW49" s="506">
        <v>0</v>
      </c>
      <c r="IX49" s="53">
        <v>4.2567500000000003</v>
      </c>
      <c r="IY49" s="507">
        <v>0</v>
      </c>
      <c r="IZ49" s="380">
        <f t="shared" si="49"/>
        <v>0</v>
      </c>
    </row>
    <row r="50" spans="1:260">
      <c r="A50" s="13" t="s">
        <v>595</v>
      </c>
      <c r="B50" s="13" t="s">
        <v>596</v>
      </c>
      <c r="C50" s="13" t="s">
        <v>225</v>
      </c>
      <c r="D50" s="13" t="s">
        <v>336</v>
      </c>
      <c r="E50" s="13" t="s">
        <v>15</v>
      </c>
      <c r="F50" s="13">
        <v>2.5105000860999999E+25</v>
      </c>
      <c r="G50" s="13" t="s">
        <v>228</v>
      </c>
      <c r="H50" s="49" t="s">
        <v>508</v>
      </c>
      <c r="I50" s="14">
        <f>+'Summary - Colar'!L18</f>
        <v>3955384</v>
      </c>
      <c r="J50" s="14">
        <f>+VLOOKUP(E50,'Summary - Colar'!$M$39:$N$54,2,FALSE)</f>
        <v>4.2567500000000003</v>
      </c>
      <c r="K50" s="14">
        <f t="shared" si="50"/>
        <v>929202.7955599929</v>
      </c>
      <c r="L50" s="506">
        <v>13282651.84</v>
      </c>
      <c r="M50" s="53">
        <v>4.2752498697683077</v>
      </c>
      <c r="N50" s="507">
        <v>3106871.4682446942</v>
      </c>
      <c r="O50" s="506">
        <v>14770616.75</v>
      </c>
      <c r="P50" s="53">
        <v>3.1965890823886927</v>
      </c>
      <c r="Q50" s="507">
        <v>4620743.038689998</v>
      </c>
      <c r="R50" s="506">
        <v>11805613.76</v>
      </c>
      <c r="S50" s="53">
        <v>3.6078577538932697</v>
      </c>
      <c r="T50" s="507">
        <v>3272194.9049295145</v>
      </c>
      <c r="U50" s="506">
        <v>14489928.01</v>
      </c>
      <c r="V50" s="53">
        <v>4.2592495171907769</v>
      </c>
      <c r="W50" s="507">
        <v>3401990.8792657331</v>
      </c>
      <c r="X50" s="506">
        <v>17527731.460000001</v>
      </c>
      <c r="Y50" s="53">
        <v>4.2137481424668044</v>
      </c>
      <c r="Z50" s="507">
        <v>4159653.3222649964</v>
      </c>
      <c r="AA50" s="506">
        <v>18871865.309999999</v>
      </c>
      <c r="AB50" s="53">
        <v>4.2142387507704955</v>
      </c>
      <c r="AC50" s="507">
        <v>4478119.638226389</v>
      </c>
      <c r="AD50" s="506">
        <v>17164541.949999999</v>
      </c>
      <c r="AE50" s="53">
        <v>4.1964992990431593</v>
      </c>
      <c r="AF50" s="507">
        <v>4090204.8890878339</v>
      </c>
      <c r="AG50" s="506">
        <v>20441630.91</v>
      </c>
      <c r="AH50" s="53">
        <v>4.1649990994236301</v>
      </c>
      <c r="AI50" s="507">
        <v>4907955.6614619195</v>
      </c>
      <c r="AJ50" s="506">
        <v>20608160.59</v>
      </c>
      <c r="AK50" s="53">
        <v>4.1680001306250407</v>
      </c>
      <c r="AL50" s="507">
        <v>4944376.1862141695</v>
      </c>
      <c r="AM50" s="506">
        <v>20635724.289999999</v>
      </c>
      <c r="AN50" s="53">
        <v>4.1497498320689647</v>
      </c>
      <c r="AO50" s="507">
        <v>4972763.4496249929</v>
      </c>
      <c r="AP50" s="506">
        <v>15773375.529999999</v>
      </c>
      <c r="AQ50" s="53">
        <v>4.1780001160987501</v>
      </c>
      <c r="AR50" s="507">
        <v>3775341.0942287259</v>
      </c>
      <c r="AS50" s="506">
        <v>17637618</v>
      </c>
      <c r="AT50" s="53">
        <v>4.1702500000000002</v>
      </c>
      <c r="AU50" s="507">
        <v>4229391.0437024161</v>
      </c>
      <c r="AV50" s="506">
        <v>13411302.800000001</v>
      </c>
      <c r="AW50" s="53">
        <v>4.1987496438879992</v>
      </c>
      <c r="AX50" s="507">
        <v>3194118.234585016</v>
      </c>
      <c r="AY50" s="506">
        <v>12985809.470000001</v>
      </c>
      <c r="AZ50" s="53">
        <v>4.1804998552264561</v>
      </c>
      <c r="BA50" s="507">
        <v>3106281.5260632425</v>
      </c>
      <c r="BB50" s="506">
        <v>6669549.7800000003</v>
      </c>
      <c r="BC50" s="53">
        <v>4.1837503343525624</v>
      </c>
      <c r="BD50" s="507">
        <v>1594155.7805772168</v>
      </c>
      <c r="BE50" s="506">
        <v>5703937.8899999997</v>
      </c>
      <c r="BF50" s="53">
        <v>4.1872503790858762</v>
      </c>
      <c r="BG50" s="507">
        <v>1362215.6244798605</v>
      </c>
      <c r="BH50" s="380">
        <f t="shared" si="0"/>
        <v>1362211.4407295261</v>
      </c>
      <c r="BI50" s="506">
        <v>6127598.2599999998</v>
      </c>
      <c r="BJ50" s="53">
        <v>4.1772498657576511</v>
      </c>
      <c r="BK50" s="507">
        <v>1466897.7094786747</v>
      </c>
      <c r="BL50" s="380">
        <f t="shared" si="1"/>
        <v>104682.08499881416</v>
      </c>
      <c r="BM50" s="506">
        <v>6684753.8099999996</v>
      </c>
      <c r="BN50" s="53">
        <v>4.1952499771846563</v>
      </c>
      <c r="BO50" s="507">
        <v>1593410.1296357068</v>
      </c>
      <c r="BP50">
        <v>28387.26341082342</v>
      </c>
      <c r="BQ50" s="506">
        <v>7133242.0800000001</v>
      </c>
      <c r="BR50" s="53">
        <v>4.2557503737592732</v>
      </c>
      <c r="BS50" s="507">
        <v>1676142.0321979374</v>
      </c>
      <c r="BT50" s="380">
        <f t="shared" si="2"/>
        <v>82731.902562230593</v>
      </c>
      <c r="BU50" s="506">
        <v>7235699.2999999998</v>
      </c>
      <c r="BV50" s="53">
        <v>4.2934996338144407</v>
      </c>
      <c r="BW50" s="507">
        <v>1685268.4097172366</v>
      </c>
      <c r="BX50" s="380">
        <f t="shared" si="3"/>
        <v>9126.3775192992762</v>
      </c>
      <c r="BY50" s="506">
        <v>7450036.4900000002</v>
      </c>
      <c r="BZ50" s="53">
        <v>4.2717497069272392</v>
      </c>
      <c r="CA50" s="507">
        <v>1744024.5803537422</v>
      </c>
      <c r="CB50" s="380">
        <f t="shared" si="4"/>
        <v>58756.170636505587</v>
      </c>
      <c r="CC50" s="506">
        <v>2287552.66</v>
      </c>
      <c r="CD50" s="53">
        <v>4.2947502531593544</v>
      </c>
      <c r="CE50" s="507">
        <v>532639.27473249554</v>
      </c>
      <c r="CF50" s="380">
        <f t="shared" si="5"/>
        <v>-1211385.3056212468</v>
      </c>
      <c r="CG50" s="506">
        <v>2619570.21</v>
      </c>
      <c r="CH50" s="53">
        <v>4.2557503737592732</v>
      </c>
      <c r="CI50" s="507">
        <v>615536.62220230966</v>
      </c>
      <c r="CJ50" s="380">
        <f t="shared" si="6"/>
        <v>82897.347469814122</v>
      </c>
      <c r="CK50" s="506">
        <v>8698104.3900000006</v>
      </c>
      <c r="CL50" s="53">
        <v>4.2942496829513397</v>
      </c>
      <c r="CM50" s="507">
        <v>2025523.672862448</v>
      </c>
      <c r="CN50" s="380">
        <f t="shared" si="7"/>
        <v>1409987.0506601385</v>
      </c>
      <c r="CO50" s="506">
        <v>9106574.4399999995</v>
      </c>
      <c r="CP50" s="53">
        <v>4.2852498841157427</v>
      </c>
      <c r="CQ50" s="507">
        <v>2125097.6457068692</v>
      </c>
      <c r="CR50" s="380">
        <f t="shared" si="8"/>
        <v>99573.972844421165</v>
      </c>
      <c r="CS50" s="506">
        <v>5634433.3899999997</v>
      </c>
      <c r="CT50" s="53">
        <v>4.2824997373557228</v>
      </c>
      <c r="CU50" s="507">
        <v>1315687.9709417201</v>
      </c>
      <c r="CV50" s="380">
        <f t="shared" si="9"/>
        <v>-809409.67476514913</v>
      </c>
      <c r="CW50" s="506">
        <v>5604703.79</v>
      </c>
      <c r="CX50" s="53">
        <v>4.2965002317027841</v>
      </c>
      <c r="CY50" s="507">
        <v>1304481.2027808854</v>
      </c>
      <c r="CZ50" s="380">
        <f t="shared" si="10"/>
        <v>-11206.768160834676</v>
      </c>
      <c r="DA50" s="506">
        <v>7079317.8600000003</v>
      </c>
      <c r="DB50" s="53">
        <v>4.2792501930005873</v>
      </c>
      <c r="DC50" s="507">
        <v>1654336.049707816</v>
      </c>
      <c r="DD50" s="380">
        <f t="shared" si="11"/>
        <v>349854.84692693059</v>
      </c>
      <c r="DE50" s="506">
        <v>7079317.8600000003</v>
      </c>
      <c r="DF50" s="53">
        <v>4.2747502071638213</v>
      </c>
      <c r="DG50" s="507">
        <v>1656077.5523529204</v>
      </c>
      <c r="DH50" s="380">
        <f t="shared" si="12"/>
        <v>1741.502645104425</v>
      </c>
      <c r="DI50" s="506">
        <v>6161133.9400000004</v>
      </c>
      <c r="DJ50" s="53">
        <v>4.280000313422077</v>
      </c>
      <c r="DK50" s="507">
        <v>1439517.1702858736</v>
      </c>
      <c r="DL50" s="380">
        <f t="shared" si="13"/>
        <v>-216560.38206704683</v>
      </c>
      <c r="DM50" s="506">
        <v>6914671.46</v>
      </c>
      <c r="DN50" s="53">
        <v>4.2929999681134907</v>
      </c>
      <c r="DO50" s="507">
        <v>1610685.1878311504</v>
      </c>
      <c r="DP50" s="380">
        <f t="shared" si="14"/>
        <v>171168.01754527679</v>
      </c>
      <c r="DQ50" s="506">
        <v>4826604.2</v>
      </c>
      <c r="DR50" s="53">
        <v>4.2757502359513877</v>
      </c>
      <c r="DS50" s="507">
        <v>1128832.1191955786</v>
      </c>
      <c r="DT50" s="380">
        <f t="shared" si="15"/>
        <v>-481853.06863557175</v>
      </c>
      <c r="DU50" s="506">
        <v>6880718.5300000003</v>
      </c>
      <c r="DV50" s="53">
        <v>4.2792501930005873</v>
      </c>
      <c r="DW50" s="507">
        <v>1607926.206617818</v>
      </c>
      <c r="DX50" s="380">
        <f t="shared" si="16"/>
        <v>479094.08742223936</v>
      </c>
      <c r="DY50" s="506">
        <v>7367420</v>
      </c>
      <c r="DZ50" s="53">
        <v>4.274</v>
      </c>
      <c r="EA50" s="507">
        <v>1723776.3219466542</v>
      </c>
      <c r="EB50" s="380">
        <f t="shared" si="17"/>
        <v>115850.11532883625</v>
      </c>
      <c r="EC50" s="506">
        <v>6800299</v>
      </c>
      <c r="ED50" s="53">
        <v>4.2774999999999999</v>
      </c>
      <c r="EE50" s="507">
        <v>1589783.5184102864</v>
      </c>
      <c r="EF50" s="380">
        <f t="shared" si="18"/>
        <v>-133992.80353636784</v>
      </c>
      <c r="EG50" s="506">
        <v>7192699</v>
      </c>
      <c r="EH50" s="53">
        <v>4.2752499999999998</v>
      </c>
      <c r="EI50" s="507">
        <v>1682404.3038418808</v>
      </c>
      <c r="EJ50" s="380">
        <f t="shared" si="19"/>
        <v>92620.785431594355</v>
      </c>
      <c r="EK50" s="506">
        <v>7856443</v>
      </c>
      <c r="EL50" s="53">
        <v>4.2774999999999999</v>
      </c>
      <c r="EM50" s="507">
        <v>1836690.3565166569</v>
      </c>
      <c r="EN50" s="380">
        <f t="shared" si="20"/>
        <v>154286.05267477618</v>
      </c>
      <c r="EO50" s="506">
        <v>2624203</v>
      </c>
      <c r="EP50" s="53">
        <v>4.2707499999999996</v>
      </c>
      <c r="EQ50" s="507">
        <v>614459.52116138861</v>
      </c>
      <c r="ER50" s="380">
        <f t="shared" si="21"/>
        <v>-1222230.8353552683</v>
      </c>
      <c r="ES50" s="506">
        <v>3089123</v>
      </c>
      <c r="ET50" s="53">
        <v>4.2389999999999999</v>
      </c>
      <c r="EU50" s="507">
        <v>728738.61759849021</v>
      </c>
      <c r="EV50" s="380">
        <f t="shared" si="22"/>
        <v>114279.0964371016</v>
      </c>
      <c r="EW50" s="506">
        <v>3671656</v>
      </c>
      <c r="EX50" s="53">
        <v>4.2407500000000002</v>
      </c>
      <c r="EY50" s="507">
        <v>865803.45457761001</v>
      </c>
      <c r="EZ50" s="380">
        <f t="shared" si="23"/>
        <v>137064.83697911981</v>
      </c>
      <c r="FA50" s="506">
        <v>4014497</v>
      </c>
      <c r="FB50" s="53">
        <v>4.25</v>
      </c>
      <c r="FC50" s="507">
        <v>944587.5294117647</v>
      </c>
      <c r="FD50" s="380">
        <f t="shared" si="24"/>
        <v>78784.074834154686</v>
      </c>
      <c r="FE50" s="506">
        <v>6261535</v>
      </c>
      <c r="FF50" s="53">
        <v>4.2417499999999997</v>
      </c>
      <c r="FG50" s="507">
        <v>1476167.8552484235</v>
      </c>
      <c r="FH50" s="380">
        <f t="shared" si="25"/>
        <v>531580.32583665883</v>
      </c>
      <c r="FI50" s="506">
        <v>7715509</v>
      </c>
      <c r="FJ50" s="53">
        <v>4.2530000000000001</v>
      </c>
      <c r="FK50" s="507">
        <v>1814133.3176581236</v>
      </c>
      <c r="FL50" s="380">
        <f t="shared" si="26"/>
        <v>337965.46240970003</v>
      </c>
      <c r="FM50" s="506">
        <v>8028667</v>
      </c>
      <c r="FN50" s="53">
        <v>4.2682500000000001</v>
      </c>
      <c r="FO50" s="507">
        <v>1881020.7930650734</v>
      </c>
      <c r="FP50" s="380">
        <f t="shared" si="27"/>
        <v>66887.475406949874</v>
      </c>
      <c r="FQ50" s="506">
        <v>7215907</v>
      </c>
      <c r="FR50" s="53">
        <v>4.2474999999999996</v>
      </c>
      <c r="FS50" s="507">
        <v>1698859.7998822839</v>
      </c>
      <c r="FT50" s="380">
        <f t="shared" si="28"/>
        <v>-182160.99318278953</v>
      </c>
      <c r="FU50" s="506">
        <v>7644849</v>
      </c>
      <c r="FV50" s="53">
        <v>4.2437500000000004</v>
      </c>
      <c r="FW50" s="507">
        <v>1801437.1723122238</v>
      </c>
      <c r="FX50" s="380">
        <f t="shared" si="29"/>
        <v>102577.37242993992</v>
      </c>
      <c r="FY50" s="506">
        <v>8884620</v>
      </c>
      <c r="FZ50" s="53">
        <v>4.2612500000000004</v>
      </c>
      <c r="GA50" s="507">
        <v>2084979.759460252</v>
      </c>
      <c r="GB50" s="380">
        <f t="shared" si="30"/>
        <v>283542.58714802819</v>
      </c>
      <c r="GC50" s="506">
        <v>6267186</v>
      </c>
      <c r="GD50" s="53">
        <v>4.2467499999999996</v>
      </c>
      <c r="GE50" s="507">
        <v>1475760.5227526934</v>
      </c>
      <c r="GF50" s="380">
        <f t="shared" si="31"/>
        <v>-609219.23670755862</v>
      </c>
      <c r="GG50" s="506">
        <v>7056366</v>
      </c>
      <c r="GH50" s="53">
        <v>4.2480000000000002</v>
      </c>
      <c r="GI50" s="507">
        <v>1661103.1073446327</v>
      </c>
      <c r="GJ50" s="380">
        <f t="shared" si="32"/>
        <v>185342.58459193935</v>
      </c>
      <c r="GK50" s="506">
        <v>7448657</v>
      </c>
      <c r="GL50" s="53">
        <v>4.2424999999999997</v>
      </c>
      <c r="GM50" s="507">
        <v>1755723.5120801416</v>
      </c>
      <c r="GN50" s="380">
        <f t="shared" si="33"/>
        <v>94620.404735508841</v>
      </c>
      <c r="GO50" s="506">
        <v>8384992</v>
      </c>
      <c r="GP50" s="53">
        <v>4.2357500000000003</v>
      </c>
      <c r="GQ50" s="507">
        <v>1979576.6983414977</v>
      </c>
      <c r="GR50" s="380">
        <f t="shared" si="34"/>
        <v>223853.18626135611</v>
      </c>
      <c r="GS50" s="506">
        <v>7537039</v>
      </c>
      <c r="GT50" s="53">
        <v>4.2482499999999996</v>
      </c>
      <c r="GU50" s="507">
        <v>1774151.4741364093</v>
      </c>
      <c r="GV50" s="380">
        <f t="shared" si="35"/>
        <v>-205425.22420508834</v>
      </c>
      <c r="GW50" s="506">
        <v>7053928</v>
      </c>
      <c r="GX50" s="53">
        <v>4.2595000000000001</v>
      </c>
      <c r="GY50" s="507">
        <v>1656046.0147904684</v>
      </c>
      <c r="GZ50" s="380">
        <f t="shared" si="36"/>
        <v>-118105.45934594097</v>
      </c>
      <c r="HA50" s="506">
        <v>7220317</v>
      </c>
      <c r="HB50" s="53">
        <v>4.2759999999999998</v>
      </c>
      <c r="HC50" s="507">
        <v>1688568.0542563144</v>
      </c>
      <c r="HD50" s="380">
        <f t="shared" si="37"/>
        <v>32522.039465846028</v>
      </c>
      <c r="HE50" s="506">
        <v>7452312</v>
      </c>
      <c r="HF50" s="53">
        <v>4.2822500000000003</v>
      </c>
      <c r="HG50" s="507">
        <v>1740279.5259501429</v>
      </c>
      <c r="HH50" s="380">
        <f t="shared" si="38"/>
        <v>51711.471693828469</v>
      </c>
      <c r="HI50" s="506">
        <v>8039440</v>
      </c>
      <c r="HJ50" s="53">
        <v>4.2850000000000001</v>
      </c>
      <c r="HK50" s="507">
        <v>1876182.0303383896</v>
      </c>
      <c r="HL50" s="380">
        <f t="shared" si="39"/>
        <v>135902.50438824669</v>
      </c>
      <c r="HM50" s="506">
        <v>8485318</v>
      </c>
      <c r="HN50" s="53">
        <v>4.2880000000000003</v>
      </c>
      <c r="HO50" s="507">
        <v>1978852.1455223879</v>
      </c>
      <c r="HP50" s="380">
        <f t="shared" si="40"/>
        <v>102670.11518399836</v>
      </c>
      <c r="HQ50" s="506">
        <v>3316905</v>
      </c>
      <c r="HR50" s="53">
        <v>4.2532500000000004</v>
      </c>
      <c r="HS50" s="507">
        <v>779851.87797566561</v>
      </c>
      <c r="HT50" s="380">
        <f t="shared" si="41"/>
        <v>-1199000.2675467222</v>
      </c>
      <c r="HU50" s="506">
        <v>3508477</v>
      </c>
      <c r="HV50" s="53">
        <v>4.2614999999999998</v>
      </c>
      <c r="HW50" s="507">
        <v>823296.25718643668</v>
      </c>
      <c r="HX50" s="380">
        <f t="shared" si="42"/>
        <v>43444.379210771061</v>
      </c>
      <c r="HY50" s="506">
        <v>4689530</v>
      </c>
      <c r="HZ50" s="53">
        <v>4.2742500000000003</v>
      </c>
      <c r="IA50" s="507">
        <v>1097158.5658302626</v>
      </c>
      <c r="IB50" s="380">
        <f t="shared" si="43"/>
        <v>273862.30864382593</v>
      </c>
      <c r="IC50" s="506">
        <v>2149083</v>
      </c>
      <c r="ID50" s="53">
        <v>4.2742500000000003</v>
      </c>
      <c r="IE50" s="507">
        <v>502797.68380417611</v>
      </c>
      <c r="IF50" s="380">
        <f t="shared" si="44"/>
        <v>-594360.88202608656</v>
      </c>
      <c r="IG50" s="506">
        <v>2776179</v>
      </c>
      <c r="IH50" s="53">
        <v>4.2742500000000003</v>
      </c>
      <c r="II50" s="507">
        <v>649512.54606071231</v>
      </c>
      <c r="IJ50" s="380">
        <f t="shared" si="45"/>
        <v>146714.8622565362</v>
      </c>
      <c r="IK50" s="506">
        <v>3775749</v>
      </c>
      <c r="IL50" s="53">
        <v>4.2742500000000003</v>
      </c>
      <c r="IM50" s="507">
        <v>883371.11773995426</v>
      </c>
      <c r="IN50" s="380">
        <f t="shared" si="46"/>
        <v>233858.57167924196</v>
      </c>
      <c r="IO50" s="506">
        <v>3629754</v>
      </c>
      <c r="IP50" s="53">
        <v>4.2742500000000003</v>
      </c>
      <c r="IQ50" s="507">
        <v>849214.24811370415</v>
      </c>
      <c r="IR50" s="380">
        <f t="shared" si="47"/>
        <v>-34156.869626250118</v>
      </c>
      <c r="IS50" s="506">
        <v>3603784</v>
      </c>
      <c r="IT50" s="53">
        <v>4.2742500000000003</v>
      </c>
      <c r="IU50" s="507">
        <v>843138.32836170087</v>
      </c>
      <c r="IV50" s="380">
        <f t="shared" si="48"/>
        <v>-6075.9197520032758</v>
      </c>
      <c r="IW50" s="506">
        <v>3955384</v>
      </c>
      <c r="IX50" s="53">
        <v>4.2567500000000003</v>
      </c>
      <c r="IY50" s="507">
        <v>929202.7955599929</v>
      </c>
      <c r="IZ50" s="380">
        <f t="shared" si="49"/>
        <v>86064.467198292026</v>
      </c>
    </row>
    <row r="51" spans="1:260">
      <c r="A51" s="13" t="s">
        <v>595</v>
      </c>
      <c r="B51" s="13" t="s">
        <v>596</v>
      </c>
      <c r="C51" s="13" t="s">
        <v>225</v>
      </c>
      <c r="D51" s="13" t="s">
        <v>336</v>
      </c>
      <c r="E51" s="13" t="s">
        <v>15</v>
      </c>
      <c r="F51" s="13" t="s">
        <v>598</v>
      </c>
      <c r="G51" s="13" t="s">
        <v>241</v>
      </c>
      <c r="H51" s="49" t="s">
        <v>508</v>
      </c>
      <c r="I51" s="14">
        <f>+'IBP export - Colar'!F78</f>
        <v>154263</v>
      </c>
      <c r="J51" s="14">
        <f>+VLOOKUP(E51,'Summary - Colar'!$M$39:$N$54,2,FALSE)</f>
        <v>4.2567500000000003</v>
      </c>
      <c r="K51" s="14">
        <f t="shared" si="50"/>
        <v>36239.619427967344</v>
      </c>
      <c r="L51" s="506">
        <v>154708.54</v>
      </c>
      <c r="M51" s="53">
        <v>4.2752498697683077</v>
      </c>
      <c r="N51" s="507">
        <v>36187.017066299391</v>
      </c>
      <c r="O51" s="506">
        <v>297362.36</v>
      </c>
      <c r="P51" s="53">
        <v>3.1965890823886927</v>
      </c>
      <c r="Q51" s="507">
        <v>93024.893827702152</v>
      </c>
      <c r="R51" s="506">
        <v>696622.65</v>
      </c>
      <c r="S51" s="53">
        <v>3.6078577538932697</v>
      </c>
      <c r="T51" s="507">
        <v>193084.84356077196</v>
      </c>
      <c r="U51" s="506">
        <v>365414.33</v>
      </c>
      <c r="V51" s="53">
        <v>4.2592495171907769</v>
      </c>
      <c r="W51" s="507">
        <v>85793.12588406702</v>
      </c>
      <c r="X51" s="506">
        <v>639566.69999999995</v>
      </c>
      <c r="Y51" s="53">
        <v>4.2137481424668044</v>
      </c>
      <c r="Z51" s="507">
        <v>151780.9509197638</v>
      </c>
      <c r="AA51" s="506">
        <v>490298.2</v>
      </c>
      <c r="AB51" s="53">
        <v>4.2142387507704955</v>
      </c>
      <c r="AC51" s="507">
        <v>116343.24227842053</v>
      </c>
      <c r="AD51" s="506">
        <v>624186.49</v>
      </c>
      <c r="AE51" s="53">
        <v>4.1964992990431593</v>
      </c>
      <c r="AF51" s="507">
        <v>148739.8056142462</v>
      </c>
      <c r="AG51" s="506">
        <v>1055373.05</v>
      </c>
      <c r="AH51" s="53">
        <v>4.1649990994236301</v>
      </c>
      <c r="AI51" s="507">
        <v>253390.94314475288</v>
      </c>
      <c r="AJ51" s="506">
        <v>335608.85</v>
      </c>
      <c r="AK51" s="53">
        <v>4.1680001306250407</v>
      </c>
      <c r="AL51" s="507">
        <v>80520.354962098208</v>
      </c>
      <c r="AM51" s="506">
        <v>190093.72</v>
      </c>
      <c r="AN51" s="53">
        <v>4.1497498320689647</v>
      </c>
      <c r="AO51" s="507">
        <v>45808.477063115846</v>
      </c>
      <c r="AP51" s="506">
        <v>217205.58</v>
      </c>
      <c r="AQ51" s="53">
        <v>4.1780001160987501</v>
      </c>
      <c r="AR51" s="507">
        <v>51987.930580245629</v>
      </c>
      <c r="AS51" s="506">
        <v>573099</v>
      </c>
      <c r="AT51" s="53">
        <v>4.1702500000000002</v>
      </c>
      <c r="AU51" s="507">
        <v>137425.57400635452</v>
      </c>
      <c r="AV51" s="506">
        <v>228216.08</v>
      </c>
      <c r="AW51" s="53">
        <v>4.1987496438879992</v>
      </c>
      <c r="AX51" s="507">
        <v>54353.343103513602</v>
      </c>
      <c r="AY51" s="506">
        <v>132087.76999999999</v>
      </c>
      <c r="AZ51" s="53">
        <v>4.1804998552264561</v>
      </c>
      <c r="BA51" s="507">
        <v>31596.166624635571</v>
      </c>
      <c r="BB51" s="506">
        <v>10392.89</v>
      </c>
      <c r="BC51" s="53">
        <v>4.1837503343525624</v>
      </c>
      <c r="BD51" s="507">
        <v>2484.1085555857635</v>
      </c>
      <c r="BE51" s="506">
        <v>63910.78</v>
      </c>
      <c r="BF51" s="53">
        <v>4.1872503790858762</v>
      </c>
      <c r="BG51" s="507">
        <v>15263.185674115919</v>
      </c>
      <c r="BH51" s="380">
        <f t="shared" si="0"/>
        <v>15259.001923781567</v>
      </c>
      <c r="BI51" s="506">
        <v>125295.73</v>
      </c>
      <c r="BJ51" s="53">
        <v>4.1772498657576511</v>
      </c>
      <c r="BK51" s="507">
        <v>29994.789401297738</v>
      </c>
      <c r="BL51" s="380">
        <f t="shared" si="1"/>
        <v>14731.603727181819</v>
      </c>
      <c r="BM51" s="506">
        <v>169647.01</v>
      </c>
      <c r="BN51" s="53">
        <v>4.1952499771846563</v>
      </c>
      <c r="BO51" s="507">
        <v>40437.878773041921</v>
      </c>
      <c r="BP51">
        <v>-34711.877898982362</v>
      </c>
      <c r="BQ51" s="506">
        <v>252004.24</v>
      </c>
      <c r="BR51" s="53">
        <v>4.2557503737592732</v>
      </c>
      <c r="BS51" s="507">
        <v>59214.995680631204</v>
      </c>
      <c r="BT51" s="380">
        <f t="shared" si="2"/>
        <v>18777.116907589283</v>
      </c>
      <c r="BU51" s="506">
        <v>262540.53999999998</v>
      </c>
      <c r="BV51" s="53">
        <v>4.2934996338144407</v>
      </c>
      <c r="BW51" s="507">
        <v>61148.378337406102</v>
      </c>
      <c r="BX51" s="380">
        <f t="shared" si="3"/>
        <v>1933.3826567748984</v>
      </c>
      <c r="BY51" s="506">
        <v>314125.23</v>
      </c>
      <c r="BZ51" s="53">
        <v>4.2717497069272392</v>
      </c>
      <c r="CA51" s="507">
        <v>73535.495183765568</v>
      </c>
      <c r="CB51" s="380">
        <f t="shared" si="4"/>
        <v>12387.116846359466</v>
      </c>
      <c r="CC51" s="506">
        <v>356576.98</v>
      </c>
      <c r="CD51" s="53">
        <v>4.2947502531593544</v>
      </c>
      <c r="CE51" s="507">
        <v>83026.243432360396</v>
      </c>
      <c r="CF51" s="380">
        <f t="shared" si="5"/>
        <v>9490.7482485948276</v>
      </c>
      <c r="CG51" s="506">
        <v>402478.83</v>
      </c>
      <c r="CH51" s="53">
        <v>4.2557503737592732</v>
      </c>
      <c r="CI51" s="507">
        <v>94572.94123303442</v>
      </c>
      <c r="CJ51" s="380">
        <f t="shared" si="6"/>
        <v>11546.697800674025</v>
      </c>
      <c r="CK51" s="506">
        <v>612379.46</v>
      </c>
      <c r="CL51" s="53">
        <v>4.2942496829513397</v>
      </c>
      <c r="CM51" s="507">
        <v>142604.5305263027</v>
      </c>
      <c r="CN51" s="380">
        <f t="shared" si="7"/>
        <v>48031.589293268276</v>
      </c>
      <c r="CO51" s="506">
        <v>696090.64</v>
      </c>
      <c r="CP51" s="53">
        <v>4.2852498841157427</v>
      </c>
      <c r="CQ51" s="507">
        <v>162438.75125700812</v>
      </c>
      <c r="CR51" s="380">
        <f t="shared" si="8"/>
        <v>19834.22073070542</v>
      </c>
      <c r="CS51" s="506">
        <v>122693.91</v>
      </c>
      <c r="CT51" s="53">
        <v>4.2824997373557228</v>
      </c>
      <c r="CU51" s="507">
        <v>28650.068307011439</v>
      </c>
      <c r="CV51" s="380">
        <f t="shared" si="9"/>
        <v>-133788.68294999667</v>
      </c>
      <c r="CW51" s="506">
        <v>93698.44</v>
      </c>
      <c r="CX51" s="53">
        <v>4.2965002317027841</v>
      </c>
      <c r="CY51" s="507">
        <v>21808.084475039246</v>
      </c>
      <c r="CZ51" s="380">
        <f t="shared" si="10"/>
        <v>-6841.983831972193</v>
      </c>
      <c r="DA51" s="506">
        <v>335363.28000000003</v>
      </c>
      <c r="DB51" s="53">
        <v>4.2792501930005873</v>
      </c>
      <c r="DC51" s="507">
        <v>78369.636005050939</v>
      </c>
      <c r="DD51" s="380">
        <f t="shared" si="11"/>
        <v>56561.551530011697</v>
      </c>
      <c r="DE51" s="506">
        <v>335363.28000000003</v>
      </c>
      <c r="DF51" s="53">
        <v>4.2747502071638213</v>
      </c>
      <c r="DG51" s="507">
        <v>78452.134919599033</v>
      </c>
      <c r="DH51" s="380">
        <f t="shared" si="12"/>
        <v>82.498914548094035</v>
      </c>
      <c r="DI51" s="506">
        <v>95942.46</v>
      </c>
      <c r="DJ51" s="53">
        <v>4.280000313422077</v>
      </c>
      <c r="DK51" s="507">
        <v>22416.460975277161</v>
      </c>
      <c r="DL51" s="380">
        <f t="shared" si="13"/>
        <v>-56035.673944321868</v>
      </c>
      <c r="DM51" s="506">
        <v>156559.32999999999</v>
      </c>
      <c r="DN51" s="53">
        <v>4.2929999681134907</v>
      </c>
      <c r="DO51" s="507">
        <v>36468.514130643744</v>
      </c>
      <c r="DP51" s="380">
        <f t="shared" si="14"/>
        <v>14052.053155366582</v>
      </c>
      <c r="DQ51" s="506">
        <v>23339.62</v>
      </c>
      <c r="DR51" s="53">
        <v>4.2757502359513877</v>
      </c>
      <c r="DS51" s="507">
        <v>5458.6022831164628</v>
      </c>
      <c r="DT51" s="380">
        <f t="shared" si="15"/>
        <v>-31009.911847527281</v>
      </c>
      <c r="DU51" s="506">
        <v>303266.59999999998</v>
      </c>
      <c r="DV51" s="53">
        <v>4.2792501930005873</v>
      </c>
      <c r="DW51" s="507">
        <v>70869.097697545716</v>
      </c>
      <c r="DX51" s="380">
        <f t="shared" si="16"/>
        <v>65410.495414429257</v>
      </c>
      <c r="DY51" s="506">
        <v>338698</v>
      </c>
      <c r="DZ51" s="53">
        <v>4.274</v>
      </c>
      <c r="EA51" s="507">
        <v>79246.139447824055</v>
      </c>
      <c r="EB51" s="380">
        <f t="shared" si="17"/>
        <v>8377.0417502783384</v>
      </c>
      <c r="EC51" s="506">
        <v>186870</v>
      </c>
      <c r="ED51" s="53">
        <v>4.2774999999999999</v>
      </c>
      <c r="EE51" s="507">
        <v>43686.732904734075</v>
      </c>
      <c r="EF51" s="380">
        <f t="shared" si="18"/>
        <v>-35559.406543089979</v>
      </c>
      <c r="EG51" s="506">
        <v>264097</v>
      </c>
      <c r="EH51" s="53">
        <v>4.2752499999999998</v>
      </c>
      <c r="EI51" s="507">
        <v>61773.463540143857</v>
      </c>
      <c r="EJ51" s="380">
        <f t="shared" si="19"/>
        <v>18086.730635409782</v>
      </c>
      <c r="EK51" s="506">
        <v>379672</v>
      </c>
      <c r="EL51" s="53">
        <v>4.2774999999999999</v>
      </c>
      <c r="EM51" s="507">
        <v>88760.257159555811</v>
      </c>
      <c r="EN51" s="380">
        <f t="shared" si="20"/>
        <v>26986.793619411954</v>
      </c>
      <c r="EO51" s="506">
        <v>387575</v>
      </c>
      <c r="EP51" s="53">
        <v>4.2707499999999996</v>
      </c>
      <c r="EQ51" s="507">
        <v>90751.0390446643</v>
      </c>
      <c r="ER51" s="380">
        <f t="shared" si="21"/>
        <v>1990.7818851084885</v>
      </c>
      <c r="ES51" s="506">
        <v>439126</v>
      </c>
      <c r="ET51" s="53">
        <v>4.2389999999999999</v>
      </c>
      <c r="EU51" s="507">
        <v>103591.88487850908</v>
      </c>
      <c r="EV51" s="380">
        <f t="shared" si="22"/>
        <v>12840.845833844782</v>
      </c>
      <c r="EW51" s="506">
        <v>500845</v>
      </c>
      <c r="EX51" s="53">
        <v>4.2407500000000002</v>
      </c>
      <c r="EY51" s="507">
        <v>118102.92990626657</v>
      </c>
      <c r="EZ51" s="380">
        <f t="shared" si="23"/>
        <v>14511.045027757486</v>
      </c>
      <c r="FA51" s="506">
        <v>560506</v>
      </c>
      <c r="FB51" s="53">
        <v>4.25</v>
      </c>
      <c r="FC51" s="507">
        <v>131883.76470588235</v>
      </c>
      <c r="FD51" s="380">
        <f t="shared" si="24"/>
        <v>13780.834799615783</v>
      </c>
      <c r="FE51" s="506">
        <v>1070393</v>
      </c>
      <c r="FF51" s="53">
        <v>4.2417499999999997</v>
      </c>
      <c r="FG51" s="507">
        <v>252347.02658101023</v>
      </c>
      <c r="FH51" s="380">
        <f t="shared" si="25"/>
        <v>120463.26187512788</v>
      </c>
      <c r="FI51" s="506">
        <v>301261</v>
      </c>
      <c r="FJ51" s="53">
        <v>4.2530000000000001</v>
      </c>
      <c r="FK51" s="507">
        <v>70834.940042323069</v>
      </c>
      <c r="FL51" s="380">
        <f t="shared" si="26"/>
        <v>-181512.08653868717</v>
      </c>
      <c r="FM51" s="506">
        <v>328941</v>
      </c>
      <c r="FN51" s="53">
        <v>4.2682500000000001</v>
      </c>
      <c r="FO51" s="507">
        <v>77066.94781233526</v>
      </c>
      <c r="FP51" s="380">
        <f t="shared" si="27"/>
        <v>6232.007770012191</v>
      </c>
      <c r="FQ51" s="506">
        <v>56548</v>
      </c>
      <c r="FR51" s="53">
        <v>4.2474999999999996</v>
      </c>
      <c r="FS51" s="507">
        <v>13313.243084167158</v>
      </c>
      <c r="FT51" s="380">
        <f t="shared" si="28"/>
        <v>-63753.704728168101</v>
      </c>
      <c r="FU51" s="506">
        <v>134666</v>
      </c>
      <c r="FV51" s="53">
        <v>4.2437500000000004</v>
      </c>
      <c r="FW51" s="507">
        <v>31732.783505154635</v>
      </c>
      <c r="FX51" s="380">
        <f t="shared" si="29"/>
        <v>18419.540420987476</v>
      </c>
      <c r="FY51" s="506">
        <v>323294</v>
      </c>
      <c r="FZ51" s="53">
        <v>4.2612500000000004</v>
      </c>
      <c r="GA51" s="507">
        <v>75868.348489293043</v>
      </c>
      <c r="GB51" s="380">
        <f t="shared" si="30"/>
        <v>44135.564984138407</v>
      </c>
      <c r="GC51" s="506">
        <v>460</v>
      </c>
      <c r="GD51" s="53">
        <v>4.2467499999999996</v>
      </c>
      <c r="GE51" s="507">
        <v>108.31812562547832</v>
      </c>
      <c r="GF51" s="380">
        <f t="shared" si="31"/>
        <v>-75760.030363667567</v>
      </c>
      <c r="GG51" s="506">
        <v>23469</v>
      </c>
      <c r="GH51" s="53">
        <v>4.2480000000000002</v>
      </c>
      <c r="GI51" s="507">
        <v>5524.7175141242933</v>
      </c>
      <c r="GJ51" s="380">
        <f t="shared" si="32"/>
        <v>5416.3993884988149</v>
      </c>
      <c r="GK51" s="506">
        <v>86878</v>
      </c>
      <c r="GL51" s="53">
        <v>4.2424999999999997</v>
      </c>
      <c r="GM51" s="507">
        <v>20478.020035356512</v>
      </c>
      <c r="GN51" s="380">
        <f t="shared" si="33"/>
        <v>14953.302521232219</v>
      </c>
      <c r="GO51" s="506">
        <v>157650</v>
      </c>
      <c r="GP51" s="53">
        <v>4.2357500000000003</v>
      </c>
      <c r="GQ51" s="507">
        <v>37218.910464498607</v>
      </c>
      <c r="GR51" s="380">
        <f t="shared" si="34"/>
        <v>16740.890429142095</v>
      </c>
      <c r="GS51" s="506">
        <v>228137</v>
      </c>
      <c r="GT51" s="53">
        <v>4.2482499999999996</v>
      </c>
      <c r="GU51" s="507">
        <v>53701.406461484148</v>
      </c>
      <c r="GV51" s="380">
        <f t="shared" si="35"/>
        <v>16482.495996985541</v>
      </c>
      <c r="GW51" s="506">
        <v>182230</v>
      </c>
      <c r="GX51" s="53">
        <v>4.2595000000000001</v>
      </c>
      <c r="GY51" s="507">
        <v>42782.01666862308</v>
      </c>
      <c r="GZ51" s="380">
        <f t="shared" si="36"/>
        <v>-10919.389792861068</v>
      </c>
      <c r="HA51" s="506">
        <v>193016</v>
      </c>
      <c r="HB51" s="53">
        <v>4.2759999999999998</v>
      </c>
      <c r="HC51" s="507">
        <v>45139.382600561272</v>
      </c>
      <c r="HD51" s="380">
        <f t="shared" si="37"/>
        <v>2357.3659319381914</v>
      </c>
      <c r="HE51" s="506">
        <v>226295</v>
      </c>
      <c r="HF51" s="53">
        <v>4.2822500000000003</v>
      </c>
      <c r="HG51" s="507">
        <v>52844.882947048864</v>
      </c>
      <c r="HH51" s="380">
        <f t="shared" si="38"/>
        <v>7705.5003464875917</v>
      </c>
      <c r="HI51" s="506">
        <v>290215</v>
      </c>
      <c r="HJ51" s="53">
        <v>4.2850000000000001</v>
      </c>
      <c r="HK51" s="507">
        <v>67728.12135355892</v>
      </c>
      <c r="HL51" s="380">
        <f t="shared" si="39"/>
        <v>14883.238406510056</v>
      </c>
      <c r="HM51" s="506">
        <v>374558</v>
      </c>
      <c r="HN51" s="53">
        <v>4.2880000000000003</v>
      </c>
      <c r="HO51" s="507">
        <v>87350.279850746258</v>
      </c>
      <c r="HP51" s="380">
        <f t="shared" si="40"/>
        <v>19622.158497187338</v>
      </c>
      <c r="HQ51" s="506">
        <v>420315</v>
      </c>
      <c r="HR51" s="53">
        <v>4.2532500000000004</v>
      </c>
      <c r="HS51" s="507">
        <v>98822.077235055534</v>
      </c>
      <c r="HT51" s="380">
        <f t="shared" si="41"/>
        <v>11471.797384309277</v>
      </c>
      <c r="HU51" s="506">
        <v>439785</v>
      </c>
      <c r="HV51" s="53">
        <v>4.2614999999999998</v>
      </c>
      <c r="HW51" s="507">
        <v>103199.57761351638</v>
      </c>
      <c r="HX51" s="380">
        <f t="shared" si="42"/>
        <v>4377.5003784608416</v>
      </c>
      <c r="HY51" s="506">
        <v>630308</v>
      </c>
      <c r="HZ51" s="53">
        <v>4.2742500000000003</v>
      </c>
      <c r="IA51" s="507">
        <v>147466.33912382289</v>
      </c>
      <c r="IB51" s="380">
        <f t="shared" si="43"/>
        <v>44266.761510306518</v>
      </c>
      <c r="IC51" s="506">
        <v>24974</v>
      </c>
      <c r="ID51" s="53">
        <v>4.2742500000000003</v>
      </c>
      <c r="IE51" s="507">
        <v>5842.8964145756563</v>
      </c>
      <c r="IF51" s="380">
        <f t="shared" si="44"/>
        <v>-141623.44270924723</v>
      </c>
      <c r="IG51" s="506">
        <v>67991</v>
      </c>
      <c r="IH51" s="53">
        <v>4.2742500000000003</v>
      </c>
      <c r="II51" s="507">
        <v>15907.118207872725</v>
      </c>
      <c r="IJ51" s="380">
        <f t="shared" si="45"/>
        <v>10064.221793297069</v>
      </c>
      <c r="IK51" s="506">
        <v>185382</v>
      </c>
      <c r="IL51" s="53">
        <v>4.2742500000000003</v>
      </c>
      <c r="IM51" s="507">
        <v>43371.819617476744</v>
      </c>
      <c r="IN51" s="380">
        <f t="shared" si="46"/>
        <v>27464.701409604018</v>
      </c>
      <c r="IO51" s="506">
        <v>158858</v>
      </c>
      <c r="IP51" s="53">
        <v>4.2742500000000003</v>
      </c>
      <c r="IQ51" s="507">
        <v>37166.286483008713</v>
      </c>
      <c r="IR51" s="380">
        <f t="shared" si="47"/>
        <v>-6205.5331344680308</v>
      </c>
      <c r="IS51" s="506">
        <v>115031</v>
      </c>
      <c r="IT51" s="53">
        <v>4.2742500000000003</v>
      </c>
      <c r="IU51" s="507">
        <v>26912.557758671112</v>
      </c>
      <c r="IV51" s="380">
        <f t="shared" si="48"/>
        <v>-10253.728724337601</v>
      </c>
      <c r="IW51" s="506">
        <v>154263</v>
      </c>
      <c r="IX51" s="53">
        <v>4.2567500000000003</v>
      </c>
      <c r="IY51" s="507">
        <v>36239.619427967344</v>
      </c>
      <c r="IZ51" s="380">
        <f t="shared" si="49"/>
        <v>9327.0616692962321</v>
      </c>
    </row>
    <row r="52" spans="1:260">
      <c r="A52" s="13" t="s">
        <v>595</v>
      </c>
      <c r="B52" s="13" t="s">
        <v>596</v>
      </c>
      <c r="C52" s="13" t="s">
        <v>225</v>
      </c>
      <c r="D52" s="13" t="s">
        <v>336</v>
      </c>
      <c r="E52" s="13" t="s">
        <v>2</v>
      </c>
      <c r="F52" s="13" t="s">
        <v>224</v>
      </c>
      <c r="G52" s="13" t="s">
        <v>224</v>
      </c>
      <c r="H52" s="49" t="s">
        <v>508</v>
      </c>
      <c r="I52" s="14">
        <f>+'IBP export - Colar'!A72</f>
        <v>29500</v>
      </c>
      <c r="J52" s="14">
        <f>+VLOOKUP(E52,'Summary - Colar'!$M$39:$N$54,2,FALSE)</f>
        <v>1</v>
      </c>
      <c r="K52" s="14">
        <f t="shared" si="50"/>
        <v>29500</v>
      </c>
      <c r="L52" s="506">
        <v>0</v>
      </c>
      <c r="M52" s="53">
        <v>1</v>
      </c>
      <c r="N52" s="507">
        <v>0</v>
      </c>
      <c r="O52" s="506">
        <v>0</v>
      </c>
      <c r="P52" s="53">
        <v>1</v>
      </c>
      <c r="Q52" s="507">
        <v>0</v>
      </c>
      <c r="R52" s="506">
        <v>0</v>
      </c>
      <c r="S52" s="53">
        <v>1</v>
      </c>
      <c r="T52" s="507">
        <v>0</v>
      </c>
      <c r="U52" s="506">
        <v>0</v>
      </c>
      <c r="V52" s="53">
        <v>1</v>
      </c>
      <c r="W52" s="507">
        <v>0</v>
      </c>
      <c r="X52" s="506">
        <v>0</v>
      </c>
      <c r="Y52" s="53">
        <v>1</v>
      </c>
      <c r="Z52" s="507">
        <v>0</v>
      </c>
      <c r="AA52" s="506">
        <v>0</v>
      </c>
      <c r="AB52" s="53">
        <v>1</v>
      </c>
      <c r="AC52" s="507">
        <v>0</v>
      </c>
      <c r="AD52" s="506">
        <v>30718.04</v>
      </c>
      <c r="AE52" s="53">
        <v>1</v>
      </c>
      <c r="AF52" s="507">
        <v>30718.04</v>
      </c>
      <c r="AG52" s="506">
        <v>11724.04</v>
      </c>
      <c r="AH52" s="53">
        <v>1</v>
      </c>
      <c r="AI52" s="507">
        <v>11724.04</v>
      </c>
      <c r="AJ52" s="506">
        <v>0</v>
      </c>
      <c r="AK52" s="53">
        <v>1</v>
      </c>
      <c r="AL52" s="507">
        <v>0</v>
      </c>
      <c r="AM52" s="506">
        <v>0</v>
      </c>
      <c r="AN52" s="53">
        <v>1</v>
      </c>
      <c r="AO52" s="507">
        <v>0</v>
      </c>
      <c r="AP52" s="506">
        <v>5211.46</v>
      </c>
      <c r="AQ52" s="53">
        <v>1</v>
      </c>
      <c r="AR52" s="507">
        <v>5211.46</v>
      </c>
      <c r="AS52" s="506">
        <v>5211</v>
      </c>
      <c r="AT52" s="53">
        <v>1</v>
      </c>
      <c r="AU52" s="507">
        <v>5211</v>
      </c>
      <c r="AV52" s="506">
        <v>5211.46</v>
      </c>
      <c r="AW52" s="53">
        <v>1</v>
      </c>
      <c r="AX52" s="507">
        <v>5211.46</v>
      </c>
      <c r="AY52" s="506">
        <v>0</v>
      </c>
      <c r="AZ52" s="53">
        <v>1</v>
      </c>
      <c r="BA52" s="507">
        <v>0</v>
      </c>
      <c r="BB52" s="506">
        <v>0</v>
      </c>
      <c r="BC52" s="53">
        <v>1</v>
      </c>
      <c r="BD52" s="507">
        <v>0</v>
      </c>
      <c r="BE52" s="506">
        <v>0</v>
      </c>
      <c r="BF52" s="53">
        <v>1</v>
      </c>
      <c r="BG52" s="507">
        <v>0</v>
      </c>
      <c r="BH52" s="380">
        <f t="shared" si="0"/>
        <v>-1</v>
      </c>
      <c r="BI52" s="506">
        <v>0</v>
      </c>
      <c r="BJ52" s="53">
        <v>1</v>
      </c>
      <c r="BK52" s="507">
        <v>0</v>
      </c>
      <c r="BL52" s="380">
        <f t="shared" si="1"/>
        <v>0</v>
      </c>
      <c r="BM52" s="506">
        <v>0</v>
      </c>
      <c r="BN52" s="53">
        <v>1</v>
      </c>
      <c r="BO52" s="507">
        <v>0</v>
      </c>
      <c r="BP52">
        <v>0</v>
      </c>
      <c r="BQ52" s="506">
        <v>0</v>
      </c>
      <c r="BR52" s="53">
        <v>1</v>
      </c>
      <c r="BS52" s="507">
        <v>0</v>
      </c>
      <c r="BT52" s="380">
        <f t="shared" si="2"/>
        <v>0</v>
      </c>
      <c r="BU52" s="506">
        <v>0</v>
      </c>
      <c r="BV52" s="53">
        <v>1</v>
      </c>
      <c r="BW52" s="507">
        <v>0</v>
      </c>
      <c r="BX52" s="380">
        <f t="shared" si="3"/>
        <v>0</v>
      </c>
      <c r="BY52" s="506">
        <v>0</v>
      </c>
      <c r="BZ52" s="53">
        <v>1</v>
      </c>
      <c r="CA52" s="507">
        <v>0</v>
      </c>
      <c r="CB52" s="380">
        <f t="shared" si="4"/>
        <v>0</v>
      </c>
      <c r="CC52" s="506">
        <v>0</v>
      </c>
      <c r="CD52" s="53">
        <v>1</v>
      </c>
      <c r="CE52" s="507">
        <v>0</v>
      </c>
      <c r="CF52" s="380">
        <f t="shared" si="5"/>
        <v>0</v>
      </c>
      <c r="CG52" s="506">
        <v>0</v>
      </c>
      <c r="CH52" s="53">
        <v>1</v>
      </c>
      <c r="CI52" s="507">
        <v>0</v>
      </c>
      <c r="CJ52" s="380">
        <f t="shared" si="6"/>
        <v>0</v>
      </c>
      <c r="CK52" s="506">
        <v>0</v>
      </c>
      <c r="CL52" s="53">
        <v>1</v>
      </c>
      <c r="CM52" s="507">
        <v>0</v>
      </c>
      <c r="CN52" s="380">
        <f t="shared" si="7"/>
        <v>0</v>
      </c>
      <c r="CO52" s="506">
        <v>0</v>
      </c>
      <c r="CP52" s="53">
        <v>1</v>
      </c>
      <c r="CQ52" s="507">
        <v>0</v>
      </c>
      <c r="CR52" s="380">
        <f t="shared" si="8"/>
        <v>0</v>
      </c>
      <c r="CS52" s="506">
        <v>2000040</v>
      </c>
      <c r="CT52" s="53">
        <v>1</v>
      </c>
      <c r="CU52" s="507">
        <v>2000040</v>
      </c>
      <c r="CV52" s="380">
        <f t="shared" si="9"/>
        <v>2000040</v>
      </c>
      <c r="CW52" s="506">
        <v>1966886.41</v>
      </c>
      <c r="CX52" s="53">
        <v>1</v>
      </c>
      <c r="CY52" s="507">
        <v>1966886.41</v>
      </c>
      <c r="CZ52" s="380">
        <f t="shared" si="10"/>
        <v>-33153.590000000084</v>
      </c>
      <c r="DA52" s="506">
        <v>1966886.41</v>
      </c>
      <c r="DB52" s="53">
        <v>1</v>
      </c>
      <c r="DC52" s="507">
        <v>1966886.41</v>
      </c>
      <c r="DD52" s="380">
        <f t="shared" si="11"/>
        <v>0</v>
      </c>
      <c r="DE52" s="506">
        <v>1966886.41</v>
      </c>
      <c r="DF52" s="53">
        <v>1</v>
      </c>
      <c r="DG52" s="507">
        <v>1966886.41</v>
      </c>
      <c r="DH52" s="380">
        <f t="shared" si="12"/>
        <v>0</v>
      </c>
      <c r="DI52" s="506">
        <v>66886.41</v>
      </c>
      <c r="DJ52" s="53">
        <v>1</v>
      </c>
      <c r="DK52" s="507">
        <v>66886.41</v>
      </c>
      <c r="DL52" s="380">
        <f t="shared" si="13"/>
        <v>-1900000</v>
      </c>
      <c r="DM52" s="506">
        <v>66886.41</v>
      </c>
      <c r="DN52" s="53">
        <v>1</v>
      </c>
      <c r="DO52" s="507">
        <v>66886.41</v>
      </c>
      <c r="DP52" s="380">
        <f t="shared" si="14"/>
        <v>0</v>
      </c>
      <c r="DQ52" s="506">
        <v>66886.41</v>
      </c>
      <c r="DR52" s="53">
        <v>1</v>
      </c>
      <c r="DS52" s="507">
        <v>66886.41</v>
      </c>
      <c r="DT52" s="380">
        <f t="shared" si="15"/>
        <v>0</v>
      </c>
      <c r="DU52" s="506">
        <v>42567.4</v>
      </c>
      <c r="DV52" s="53">
        <v>1</v>
      </c>
      <c r="DW52" s="507">
        <v>42567.4</v>
      </c>
      <c r="DX52" s="380">
        <f t="shared" si="16"/>
        <v>-24319.010000000002</v>
      </c>
      <c r="DY52" s="506">
        <v>42567</v>
      </c>
      <c r="DZ52" s="53">
        <v>1</v>
      </c>
      <c r="EA52" s="507">
        <v>42567</v>
      </c>
      <c r="EB52" s="380">
        <f t="shared" si="17"/>
        <v>-0.40000000000145519</v>
      </c>
      <c r="EC52" s="506">
        <v>42567</v>
      </c>
      <c r="ED52" s="53">
        <v>1</v>
      </c>
      <c r="EE52" s="507">
        <v>42567</v>
      </c>
      <c r="EF52" s="380">
        <f t="shared" si="18"/>
        <v>0</v>
      </c>
      <c r="EG52" s="506">
        <v>42567</v>
      </c>
      <c r="EH52" s="53">
        <v>1</v>
      </c>
      <c r="EI52" s="507">
        <v>42567</v>
      </c>
      <c r="EJ52" s="380">
        <f t="shared" si="19"/>
        <v>0</v>
      </c>
      <c r="EK52" s="506">
        <v>42567</v>
      </c>
      <c r="EL52" s="53">
        <v>1</v>
      </c>
      <c r="EM52" s="507">
        <v>42567</v>
      </c>
      <c r="EN52" s="380">
        <f t="shared" si="20"/>
        <v>0</v>
      </c>
      <c r="EO52" s="506">
        <v>42567</v>
      </c>
      <c r="EP52" s="53">
        <v>1</v>
      </c>
      <c r="EQ52" s="507">
        <v>42567</v>
      </c>
      <c r="ER52" s="380">
        <f t="shared" si="21"/>
        <v>0</v>
      </c>
      <c r="ES52" s="506">
        <v>42567</v>
      </c>
      <c r="ET52" s="53">
        <v>1</v>
      </c>
      <c r="EU52" s="507">
        <v>42567</v>
      </c>
      <c r="EV52" s="380">
        <f t="shared" si="22"/>
        <v>0</v>
      </c>
      <c r="EW52" s="506">
        <v>42567</v>
      </c>
      <c r="EX52" s="53">
        <v>1</v>
      </c>
      <c r="EY52" s="507">
        <v>42567</v>
      </c>
      <c r="EZ52" s="380">
        <f t="shared" si="23"/>
        <v>0</v>
      </c>
      <c r="FA52" s="506">
        <v>42567</v>
      </c>
      <c r="FB52" s="53">
        <v>1</v>
      </c>
      <c r="FC52" s="507">
        <v>42567</v>
      </c>
      <c r="FD52" s="380">
        <f t="shared" si="24"/>
        <v>0</v>
      </c>
      <c r="FE52" s="506">
        <v>42567</v>
      </c>
      <c r="FF52" s="53">
        <v>1</v>
      </c>
      <c r="FG52" s="507">
        <v>42567</v>
      </c>
      <c r="FH52" s="380">
        <f t="shared" si="25"/>
        <v>0</v>
      </c>
      <c r="FI52" s="506">
        <v>42567</v>
      </c>
      <c r="FJ52" s="53">
        <v>1</v>
      </c>
      <c r="FK52" s="507">
        <v>42567</v>
      </c>
      <c r="FL52" s="380">
        <f t="shared" si="26"/>
        <v>0</v>
      </c>
      <c r="FM52" s="506">
        <v>42567</v>
      </c>
      <c r="FN52" s="53">
        <v>1</v>
      </c>
      <c r="FO52" s="507">
        <v>42567</v>
      </c>
      <c r="FP52" s="380">
        <f t="shared" si="27"/>
        <v>0</v>
      </c>
      <c r="FQ52" s="506">
        <v>42567</v>
      </c>
      <c r="FR52" s="53">
        <v>1</v>
      </c>
      <c r="FS52" s="507">
        <v>42567</v>
      </c>
      <c r="FT52" s="380">
        <f t="shared" si="28"/>
        <v>0</v>
      </c>
      <c r="FU52" s="506">
        <v>32273</v>
      </c>
      <c r="FV52" s="53">
        <v>1</v>
      </c>
      <c r="FW52" s="507">
        <v>32273</v>
      </c>
      <c r="FX52" s="380">
        <f t="shared" si="29"/>
        <v>-10294</v>
      </c>
      <c r="FY52" s="506">
        <v>32273</v>
      </c>
      <c r="FZ52" s="53">
        <v>1</v>
      </c>
      <c r="GA52" s="507">
        <v>32273</v>
      </c>
      <c r="GB52" s="380">
        <f t="shared" si="30"/>
        <v>0</v>
      </c>
      <c r="GC52" s="506">
        <v>32273</v>
      </c>
      <c r="GD52" s="53">
        <v>1</v>
      </c>
      <c r="GE52" s="507">
        <v>32273</v>
      </c>
      <c r="GF52" s="380">
        <f t="shared" si="31"/>
        <v>0</v>
      </c>
      <c r="GG52" s="506">
        <v>32273</v>
      </c>
      <c r="GH52" s="53">
        <v>1</v>
      </c>
      <c r="GI52" s="507">
        <v>32273</v>
      </c>
      <c r="GJ52" s="380">
        <f t="shared" si="32"/>
        <v>0</v>
      </c>
      <c r="GK52" s="506">
        <v>32273</v>
      </c>
      <c r="GL52" s="53">
        <v>1</v>
      </c>
      <c r="GM52" s="507">
        <v>32273</v>
      </c>
      <c r="GN52" s="380">
        <f t="shared" si="33"/>
        <v>0</v>
      </c>
      <c r="GO52" s="506">
        <v>32273</v>
      </c>
      <c r="GP52" s="53">
        <v>1</v>
      </c>
      <c r="GQ52" s="507">
        <v>32273</v>
      </c>
      <c r="GR52" s="380">
        <f t="shared" si="34"/>
        <v>0</v>
      </c>
      <c r="GS52" s="506">
        <v>0</v>
      </c>
      <c r="GT52" s="53">
        <v>1</v>
      </c>
      <c r="GU52" s="507">
        <v>0</v>
      </c>
      <c r="GV52" s="380">
        <f t="shared" si="35"/>
        <v>-32273</v>
      </c>
      <c r="GW52" s="506">
        <v>0</v>
      </c>
      <c r="GX52" s="53">
        <v>1</v>
      </c>
      <c r="GY52" s="507">
        <v>0</v>
      </c>
      <c r="GZ52" s="380">
        <f t="shared" si="36"/>
        <v>0</v>
      </c>
      <c r="HA52" s="506">
        <v>0</v>
      </c>
      <c r="HB52" s="53">
        <v>1</v>
      </c>
      <c r="HC52" s="507">
        <v>0</v>
      </c>
      <c r="HD52" s="380">
        <f t="shared" si="37"/>
        <v>0</v>
      </c>
      <c r="HE52" s="506">
        <v>0</v>
      </c>
      <c r="HF52" s="53">
        <v>1</v>
      </c>
      <c r="HG52" s="507">
        <v>0</v>
      </c>
      <c r="HH52" s="380">
        <f t="shared" si="38"/>
        <v>0</v>
      </c>
      <c r="HI52" s="506">
        <v>0</v>
      </c>
      <c r="HJ52" s="53">
        <v>1</v>
      </c>
      <c r="HK52" s="507">
        <v>0</v>
      </c>
      <c r="HL52" s="380">
        <f t="shared" si="39"/>
        <v>0</v>
      </c>
      <c r="HM52" s="506">
        <v>0</v>
      </c>
      <c r="HN52" s="53">
        <v>1</v>
      </c>
      <c r="HO52" s="507">
        <v>0</v>
      </c>
      <c r="HP52" s="380">
        <f t="shared" si="40"/>
        <v>0</v>
      </c>
      <c r="HQ52" s="506">
        <v>0</v>
      </c>
      <c r="HR52" s="53">
        <v>1</v>
      </c>
      <c r="HS52" s="507">
        <v>0</v>
      </c>
      <c r="HT52" s="380">
        <f t="shared" si="41"/>
        <v>0</v>
      </c>
      <c r="HU52" s="506">
        <v>0</v>
      </c>
      <c r="HV52" s="53">
        <v>1</v>
      </c>
      <c r="HW52" s="507">
        <v>0</v>
      </c>
      <c r="HX52" s="380">
        <f t="shared" si="42"/>
        <v>0</v>
      </c>
      <c r="HY52" s="506">
        <v>0</v>
      </c>
      <c r="HZ52" s="53">
        <v>1</v>
      </c>
      <c r="IA52" s="507">
        <v>0</v>
      </c>
      <c r="IB52" s="380">
        <f t="shared" si="43"/>
        <v>0</v>
      </c>
      <c r="IC52" s="506">
        <v>40716</v>
      </c>
      <c r="ID52" s="53">
        <v>1</v>
      </c>
      <c r="IE52" s="507">
        <v>40716</v>
      </c>
      <c r="IF52" s="380">
        <f t="shared" si="44"/>
        <v>40716</v>
      </c>
      <c r="IG52" s="506">
        <v>29500</v>
      </c>
      <c r="IH52" s="53">
        <v>1</v>
      </c>
      <c r="II52" s="507">
        <v>29500</v>
      </c>
      <c r="IJ52" s="380">
        <f t="shared" si="45"/>
        <v>-11216</v>
      </c>
      <c r="IK52" s="506">
        <v>29500</v>
      </c>
      <c r="IL52" s="53">
        <v>1</v>
      </c>
      <c r="IM52" s="507">
        <v>29500</v>
      </c>
      <c r="IN52" s="380">
        <f t="shared" si="46"/>
        <v>0</v>
      </c>
      <c r="IO52" s="506">
        <v>29500</v>
      </c>
      <c r="IP52" s="53">
        <v>1</v>
      </c>
      <c r="IQ52" s="507">
        <v>29500</v>
      </c>
      <c r="IR52" s="380">
        <f t="shared" si="47"/>
        <v>0</v>
      </c>
      <c r="IS52" s="506">
        <v>29500</v>
      </c>
      <c r="IT52" s="53">
        <v>1</v>
      </c>
      <c r="IU52" s="507">
        <v>29500</v>
      </c>
      <c r="IV52" s="380">
        <f t="shared" si="48"/>
        <v>0</v>
      </c>
      <c r="IW52" s="506">
        <v>29500</v>
      </c>
      <c r="IX52" s="53">
        <v>1</v>
      </c>
      <c r="IY52" s="507">
        <v>29500</v>
      </c>
      <c r="IZ52" s="380">
        <f t="shared" si="49"/>
        <v>0</v>
      </c>
    </row>
    <row r="53" spans="1:260">
      <c r="A53" s="13" t="s">
        <v>599</v>
      </c>
      <c r="B53" s="13" t="s">
        <v>600</v>
      </c>
      <c r="C53" s="13" t="s">
        <v>579</v>
      </c>
      <c r="D53" s="13" t="s">
        <v>336</v>
      </c>
      <c r="E53" s="13" t="s">
        <v>5</v>
      </c>
      <c r="F53" s="13">
        <v>20387285</v>
      </c>
      <c r="G53" s="13" t="s">
        <v>169</v>
      </c>
      <c r="H53" s="49" t="s">
        <v>508</v>
      </c>
      <c r="I53" s="14">
        <f>+'IBP export - Colar'!C53</f>
        <v>0</v>
      </c>
      <c r="J53" s="14">
        <f>+VLOOKUP(E53,'Summary - Colar'!$M$39:$N$54,2,FALSE)</f>
        <v>1.1608000000000001</v>
      </c>
      <c r="K53" s="14">
        <f t="shared" si="50"/>
        <v>0</v>
      </c>
      <c r="L53" s="506">
        <v>0</v>
      </c>
      <c r="M53" s="53">
        <v>1.0393499809660025</v>
      </c>
      <c r="N53" s="507">
        <v>0</v>
      </c>
      <c r="O53" s="506">
        <v>0</v>
      </c>
      <c r="P53" s="53">
        <v>1.0296499958937868</v>
      </c>
      <c r="Q53" s="507">
        <v>0</v>
      </c>
      <c r="R53" s="506">
        <v>0</v>
      </c>
      <c r="S53" s="53">
        <v>1.0305500350713117</v>
      </c>
      <c r="T53" s="507">
        <v>0</v>
      </c>
      <c r="U53" s="506">
        <v>0</v>
      </c>
      <c r="V53" s="53">
        <v>1.0294499127813821</v>
      </c>
      <c r="W53" s="507">
        <v>0</v>
      </c>
      <c r="X53" s="506">
        <v>0</v>
      </c>
      <c r="Y53" s="53">
        <v>1.0474500171045873</v>
      </c>
      <c r="Z53" s="507">
        <v>0</v>
      </c>
      <c r="AA53" s="506">
        <v>0</v>
      </c>
      <c r="AB53" s="53">
        <v>1.0384500241697678</v>
      </c>
      <c r="AC53" s="507">
        <v>0</v>
      </c>
      <c r="AD53" s="506">
        <v>0</v>
      </c>
      <c r="AE53" s="53">
        <v>1.0375500183032278</v>
      </c>
      <c r="AF53" s="507">
        <v>0</v>
      </c>
      <c r="AG53" s="506">
        <v>0</v>
      </c>
      <c r="AH53" s="53">
        <v>1.047149991583058</v>
      </c>
      <c r="AI53" s="507">
        <v>0</v>
      </c>
      <c r="AJ53" s="506">
        <v>0</v>
      </c>
      <c r="AK53" s="53">
        <v>1.0461499902620313</v>
      </c>
      <c r="AL53" s="507">
        <v>0</v>
      </c>
      <c r="AM53" s="506">
        <v>0</v>
      </c>
      <c r="AN53" s="53">
        <v>1.0407499836552325</v>
      </c>
      <c r="AO53" s="507">
        <v>0</v>
      </c>
      <c r="AP53" s="506">
        <v>0</v>
      </c>
      <c r="AQ53" s="53">
        <v>1.0854500032344994</v>
      </c>
      <c r="AR53" s="507">
        <v>0</v>
      </c>
      <c r="AS53" s="506">
        <v>0</v>
      </c>
      <c r="AT53" s="53">
        <v>1.08935</v>
      </c>
      <c r="AU53" s="507">
        <v>0</v>
      </c>
      <c r="AV53" s="506">
        <v>0</v>
      </c>
      <c r="AW53" s="53">
        <v>1.0830999858771673</v>
      </c>
      <c r="AX53" s="507">
        <v>0</v>
      </c>
      <c r="AY53" s="506">
        <v>0</v>
      </c>
      <c r="AZ53" s="53">
        <v>1.0787497944244075</v>
      </c>
      <c r="BA53" s="507">
        <v>0</v>
      </c>
      <c r="BB53" s="506">
        <v>-35.81</v>
      </c>
      <c r="BC53" s="53">
        <v>1.0820998826422146</v>
      </c>
      <c r="BD53" s="507">
        <v>-33.093063380213138</v>
      </c>
      <c r="BE53" s="506">
        <v>0</v>
      </c>
      <c r="BF53" s="53">
        <v>1.0781999853387405</v>
      </c>
      <c r="BG53" s="507">
        <v>0</v>
      </c>
      <c r="BH53" s="380">
        <f t="shared" si="0"/>
        <v>-1.0820998826422146</v>
      </c>
      <c r="BI53" s="506">
        <v>0</v>
      </c>
      <c r="BJ53" s="53">
        <v>1.0803999989493438</v>
      </c>
      <c r="BK53" s="507">
        <v>0</v>
      </c>
      <c r="BL53" s="380">
        <f t="shared" si="1"/>
        <v>0</v>
      </c>
      <c r="BM53" s="506">
        <v>0</v>
      </c>
      <c r="BN53" s="53">
        <v>1.1088499954694768</v>
      </c>
      <c r="BO53" s="507">
        <v>0</v>
      </c>
      <c r="BP53">
        <v>0</v>
      </c>
      <c r="BQ53" s="506">
        <v>0</v>
      </c>
      <c r="BR53" s="53">
        <v>1.1058499740160905</v>
      </c>
      <c r="BS53" s="507">
        <v>0</v>
      </c>
      <c r="BT53" s="380">
        <f t="shared" si="2"/>
        <v>0</v>
      </c>
      <c r="BU53" s="506">
        <v>0</v>
      </c>
      <c r="BV53" s="53">
        <v>1.0967500172467883</v>
      </c>
      <c r="BW53" s="507">
        <v>0</v>
      </c>
      <c r="BX53" s="380">
        <f t="shared" si="3"/>
        <v>0</v>
      </c>
      <c r="BY53" s="506">
        <v>0</v>
      </c>
      <c r="BZ53" s="53">
        <v>1.0935500267747675</v>
      </c>
      <c r="CA53" s="507">
        <v>0</v>
      </c>
      <c r="CB53" s="380">
        <f t="shared" si="4"/>
        <v>0</v>
      </c>
      <c r="CC53" s="506">
        <v>0</v>
      </c>
      <c r="CD53" s="53">
        <v>1.1035500028504495</v>
      </c>
      <c r="CE53" s="507">
        <v>0</v>
      </c>
      <c r="CF53" s="380">
        <f t="shared" si="5"/>
        <v>0</v>
      </c>
      <c r="CG53" s="506">
        <v>0</v>
      </c>
      <c r="CH53" s="53">
        <v>1.1071500373751093</v>
      </c>
      <c r="CI53" s="507">
        <v>0</v>
      </c>
      <c r="CJ53" s="380">
        <f t="shared" si="6"/>
        <v>0</v>
      </c>
      <c r="CK53" s="506">
        <v>0</v>
      </c>
      <c r="CL53" s="53">
        <v>1.1331000481425468</v>
      </c>
      <c r="CM53" s="507">
        <v>0</v>
      </c>
      <c r="CN53" s="380">
        <f t="shared" si="7"/>
        <v>0</v>
      </c>
      <c r="CO53" s="506">
        <v>0</v>
      </c>
      <c r="CP53" s="53">
        <v>1.1381500166600167</v>
      </c>
      <c r="CQ53" s="507">
        <v>0</v>
      </c>
      <c r="CR53" s="380">
        <f t="shared" si="8"/>
        <v>0</v>
      </c>
      <c r="CS53" s="506">
        <v>0</v>
      </c>
      <c r="CT53" s="53">
        <v>1.1324499897732652</v>
      </c>
      <c r="CU53" s="507">
        <v>0</v>
      </c>
      <c r="CV53" s="380">
        <f t="shared" si="9"/>
        <v>0</v>
      </c>
      <c r="CW53" s="506">
        <v>0</v>
      </c>
      <c r="CX53" s="53">
        <v>1.1362500452178652</v>
      </c>
      <c r="CY53" s="507">
        <v>0</v>
      </c>
      <c r="CZ53" s="380">
        <f t="shared" si="10"/>
        <v>0</v>
      </c>
      <c r="DA53" s="506">
        <v>0</v>
      </c>
      <c r="DB53" s="53">
        <v>1.1363000964193748</v>
      </c>
      <c r="DC53" s="507">
        <v>0</v>
      </c>
      <c r="DD53" s="380">
        <f t="shared" si="11"/>
        <v>0</v>
      </c>
      <c r="DE53" s="506">
        <v>0</v>
      </c>
      <c r="DF53" s="53">
        <v>1.1544499930632772</v>
      </c>
      <c r="DG53" s="507">
        <v>0</v>
      </c>
      <c r="DH53" s="380">
        <f t="shared" si="12"/>
        <v>0</v>
      </c>
      <c r="DI53" s="506">
        <v>0</v>
      </c>
      <c r="DJ53" s="53">
        <v>1.1486000091425401</v>
      </c>
      <c r="DK53" s="507">
        <v>0</v>
      </c>
      <c r="DL53" s="380">
        <f t="shared" si="13"/>
        <v>0</v>
      </c>
      <c r="DM53" s="506">
        <v>0</v>
      </c>
      <c r="DN53" s="53">
        <v>1.1410499781207057</v>
      </c>
      <c r="DO53" s="507">
        <v>0</v>
      </c>
      <c r="DP53" s="380">
        <f t="shared" si="14"/>
        <v>0</v>
      </c>
      <c r="DQ53" s="506">
        <v>0</v>
      </c>
      <c r="DR53" s="53">
        <v>1.135249966573922</v>
      </c>
      <c r="DS53" s="507">
        <v>0</v>
      </c>
      <c r="DT53" s="380">
        <f t="shared" si="15"/>
        <v>0</v>
      </c>
      <c r="DU53" s="506">
        <v>0</v>
      </c>
      <c r="DV53" s="53">
        <v>1.1318500296229566</v>
      </c>
      <c r="DW53" s="507">
        <v>0</v>
      </c>
      <c r="DX53" s="380">
        <f t="shared" si="16"/>
        <v>0</v>
      </c>
      <c r="DY53" s="506">
        <v>0</v>
      </c>
      <c r="DZ53" s="53">
        <v>1.1345499999999999</v>
      </c>
      <c r="EA53" s="507">
        <v>0</v>
      </c>
      <c r="EB53" s="380">
        <f t="shared" si="17"/>
        <v>0</v>
      </c>
      <c r="EC53" s="506">
        <v>0</v>
      </c>
      <c r="ED53" s="53">
        <v>1.13425</v>
      </c>
      <c r="EE53" s="507">
        <v>0</v>
      </c>
      <c r="EF53" s="380">
        <f t="shared" si="18"/>
        <v>0</v>
      </c>
      <c r="EG53" s="506">
        <v>0</v>
      </c>
      <c r="EH53" s="53">
        <v>1.1326499999999999</v>
      </c>
      <c r="EI53" s="507">
        <v>0</v>
      </c>
      <c r="EJ53" s="380">
        <f t="shared" si="19"/>
        <v>0</v>
      </c>
      <c r="EK53" s="506">
        <v>0</v>
      </c>
      <c r="EL53" s="53">
        <v>1.13575</v>
      </c>
      <c r="EM53" s="507">
        <v>0</v>
      </c>
      <c r="EN53" s="380">
        <f t="shared" si="20"/>
        <v>0</v>
      </c>
      <c r="EO53" s="506">
        <v>0</v>
      </c>
      <c r="EP53" s="53">
        <v>1.1295500000000001</v>
      </c>
      <c r="EQ53" s="507">
        <v>0</v>
      </c>
      <c r="ER53" s="380">
        <f t="shared" si="21"/>
        <v>0</v>
      </c>
      <c r="ES53" s="506">
        <v>0</v>
      </c>
      <c r="ET53" s="53">
        <v>1.1253500000000001</v>
      </c>
      <c r="EU53" s="507">
        <v>0</v>
      </c>
      <c r="EV53" s="380">
        <f t="shared" si="22"/>
        <v>0</v>
      </c>
      <c r="EW53" s="506">
        <v>0</v>
      </c>
      <c r="EX53" s="53">
        <v>1.1109500000000001</v>
      </c>
      <c r="EY53" s="507">
        <v>0</v>
      </c>
      <c r="EZ53" s="380">
        <f t="shared" si="23"/>
        <v>0</v>
      </c>
      <c r="FA53" s="506">
        <v>0</v>
      </c>
      <c r="FB53" s="53">
        <v>1.1105499999999999</v>
      </c>
      <c r="FC53" s="507">
        <v>0</v>
      </c>
      <c r="FD53" s="380">
        <f t="shared" si="24"/>
        <v>0</v>
      </c>
      <c r="FE53" s="506">
        <v>0</v>
      </c>
      <c r="FF53" s="53">
        <v>1.12155</v>
      </c>
      <c r="FG53" s="507">
        <v>0</v>
      </c>
      <c r="FH53" s="380">
        <f t="shared" si="25"/>
        <v>0</v>
      </c>
      <c r="FI53" s="506">
        <v>0</v>
      </c>
      <c r="FJ53" s="53">
        <v>1.1194</v>
      </c>
      <c r="FK53" s="507">
        <v>0</v>
      </c>
      <c r="FL53" s="380">
        <f t="shared" si="26"/>
        <v>0</v>
      </c>
      <c r="FM53" s="506">
        <v>0</v>
      </c>
      <c r="FN53" s="53">
        <v>1.1271500000000001</v>
      </c>
      <c r="FO53" s="507">
        <v>0</v>
      </c>
      <c r="FP53" s="380">
        <f t="shared" si="27"/>
        <v>0</v>
      </c>
      <c r="FQ53" s="506">
        <v>0</v>
      </c>
      <c r="FR53" s="53">
        <v>1.1245499999999999</v>
      </c>
      <c r="FS53" s="507">
        <v>0</v>
      </c>
      <c r="FT53" s="380">
        <f t="shared" si="28"/>
        <v>0</v>
      </c>
      <c r="FU53" s="506">
        <v>0</v>
      </c>
      <c r="FV53" s="53">
        <v>1.13215</v>
      </c>
      <c r="FW53" s="507">
        <v>0</v>
      </c>
      <c r="FX53" s="380">
        <f t="shared" si="29"/>
        <v>0</v>
      </c>
      <c r="FY53" s="506">
        <v>0</v>
      </c>
      <c r="FZ53" s="53">
        <v>1.1327499999999999</v>
      </c>
      <c r="GA53" s="507">
        <v>0</v>
      </c>
      <c r="GB53" s="380">
        <f t="shared" si="30"/>
        <v>0</v>
      </c>
      <c r="GC53" s="506">
        <v>0</v>
      </c>
      <c r="GD53" s="53">
        <v>1.13775</v>
      </c>
      <c r="GE53" s="507">
        <v>0</v>
      </c>
      <c r="GF53" s="380">
        <f t="shared" si="31"/>
        <v>0</v>
      </c>
      <c r="GG53" s="506">
        <v>0</v>
      </c>
      <c r="GH53" s="53">
        <v>1.1352500000000001</v>
      </c>
      <c r="GI53" s="507">
        <v>0</v>
      </c>
      <c r="GJ53" s="380">
        <f t="shared" si="32"/>
        <v>0</v>
      </c>
      <c r="GK53" s="506">
        <v>0</v>
      </c>
      <c r="GL53" s="53">
        <v>1.1318999999999999</v>
      </c>
      <c r="GM53" s="507">
        <v>0</v>
      </c>
      <c r="GN53" s="380">
        <f t="shared" si="33"/>
        <v>0</v>
      </c>
      <c r="GO53" s="506">
        <v>0</v>
      </c>
      <c r="GP53" s="53">
        <v>1.1270500000000001</v>
      </c>
      <c r="GQ53" s="507">
        <v>0</v>
      </c>
      <c r="GR53" s="380">
        <f t="shared" si="34"/>
        <v>0</v>
      </c>
      <c r="GS53" s="506">
        <v>0</v>
      </c>
      <c r="GT53" s="53">
        <v>1.13385</v>
      </c>
      <c r="GU53" s="507">
        <v>0</v>
      </c>
      <c r="GV53" s="380">
        <f t="shared" si="35"/>
        <v>0</v>
      </c>
      <c r="GW53" s="506">
        <v>0</v>
      </c>
      <c r="GX53" s="53">
        <v>1.1415500000000001</v>
      </c>
      <c r="GY53" s="507">
        <v>0</v>
      </c>
      <c r="GZ53" s="380">
        <f t="shared" si="36"/>
        <v>0</v>
      </c>
      <c r="HA53" s="506">
        <v>0</v>
      </c>
      <c r="HB53" s="53">
        <v>1.1389499999999999</v>
      </c>
      <c r="HC53" s="507">
        <v>0</v>
      </c>
      <c r="HD53" s="380">
        <f t="shared" si="37"/>
        <v>0</v>
      </c>
      <c r="HE53" s="506">
        <v>0</v>
      </c>
      <c r="HF53" s="53">
        <v>1.1379999999999999</v>
      </c>
      <c r="HG53" s="507">
        <v>0</v>
      </c>
      <c r="HH53" s="380">
        <f t="shared" si="38"/>
        <v>0</v>
      </c>
      <c r="HI53" s="506">
        <v>0</v>
      </c>
      <c r="HJ53" s="53">
        <v>1.1426499999999999</v>
      </c>
      <c r="HK53" s="507">
        <v>0</v>
      </c>
      <c r="HL53" s="380">
        <f t="shared" si="39"/>
        <v>0</v>
      </c>
      <c r="HM53" s="506">
        <v>0</v>
      </c>
      <c r="HN53" s="53">
        <v>1.139869</v>
      </c>
      <c r="HO53" s="507">
        <v>0</v>
      </c>
      <c r="HP53" s="380">
        <f t="shared" si="40"/>
        <v>0</v>
      </c>
      <c r="HQ53" s="506">
        <v>0</v>
      </c>
      <c r="HR53" s="53">
        <v>1.1428499999999999</v>
      </c>
      <c r="HS53" s="507">
        <v>0</v>
      </c>
      <c r="HT53" s="380">
        <f t="shared" si="41"/>
        <v>0</v>
      </c>
      <c r="HU53" s="506">
        <v>0</v>
      </c>
      <c r="HV53" s="53">
        <v>1.1433</v>
      </c>
      <c r="HW53" s="507">
        <v>0</v>
      </c>
      <c r="HX53" s="380">
        <f t="shared" si="42"/>
        <v>0</v>
      </c>
      <c r="HY53" s="506">
        <v>0</v>
      </c>
      <c r="HZ53" s="53">
        <v>1.1509499999999999</v>
      </c>
      <c r="IA53" s="507">
        <v>0</v>
      </c>
      <c r="IB53" s="380">
        <f t="shared" si="43"/>
        <v>0</v>
      </c>
      <c r="IC53" s="506">
        <v>0</v>
      </c>
      <c r="ID53" s="53">
        <v>1.1509499999999999</v>
      </c>
      <c r="IE53" s="507">
        <v>0</v>
      </c>
      <c r="IF53" s="380">
        <f t="shared" si="44"/>
        <v>0</v>
      </c>
      <c r="IG53" s="506">
        <v>0</v>
      </c>
      <c r="IH53" s="53">
        <v>1.1509499999999999</v>
      </c>
      <c r="II53" s="507">
        <v>0</v>
      </c>
      <c r="IJ53" s="380">
        <f t="shared" si="45"/>
        <v>0</v>
      </c>
      <c r="IK53" s="506">
        <v>0</v>
      </c>
      <c r="IL53" s="53">
        <v>1.1509499999999999</v>
      </c>
      <c r="IM53" s="507">
        <v>0</v>
      </c>
      <c r="IN53" s="380">
        <f t="shared" si="46"/>
        <v>0</v>
      </c>
      <c r="IO53" s="506">
        <v>0</v>
      </c>
      <c r="IP53" s="53">
        <v>1.1509499999999999</v>
      </c>
      <c r="IQ53" s="507">
        <v>0</v>
      </c>
      <c r="IR53" s="380">
        <f t="shared" si="47"/>
        <v>0</v>
      </c>
      <c r="IS53" s="506">
        <v>0</v>
      </c>
      <c r="IT53" s="53">
        <v>1.1509499999999999</v>
      </c>
      <c r="IU53" s="507">
        <v>0</v>
      </c>
      <c r="IV53" s="380">
        <f t="shared" si="48"/>
        <v>0</v>
      </c>
      <c r="IW53" s="506">
        <v>0</v>
      </c>
      <c r="IX53" s="53">
        <v>1.1608000000000001</v>
      </c>
      <c r="IY53" s="507">
        <v>0</v>
      </c>
      <c r="IZ53" s="380">
        <f t="shared" si="49"/>
        <v>0</v>
      </c>
    </row>
    <row r="54" spans="1:260">
      <c r="A54" s="13" t="s">
        <v>599</v>
      </c>
      <c r="B54" s="13" t="s">
        <v>600</v>
      </c>
      <c r="C54" s="13" t="s">
        <v>579</v>
      </c>
      <c r="D54" s="13" t="s">
        <v>336</v>
      </c>
      <c r="E54" s="13" t="s">
        <v>4</v>
      </c>
      <c r="F54" s="13">
        <v>20366067</v>
      </c>
      <c r="G54" s="13" t="s">
        <v>601</v>
      </c>
      <c r="H54" s="14" t="s">
        <v>602</v>
      </c>
      <c r="I54" s="14" t="s">
        <v>494</v>
      </c>
      <c r="J54" s="14">
        <f>+VLOOKUP(E54,'Summary - Colar'!$M$39:$N$54,2,FALSE)</f>
        <v>0.8528</v>
      </c>
      <c r="K54" s="14"/>
      <c r="L54" s="506" t="s">
        <v>494</v>
      </c>
      <c r="M54" s="53">
        <v>0.82944999704118039</v>
      </c>
      <c r="N54" s="507"/>
      <c r="O54" s="506" t="s">
        <v>494</v>
      </c>
      <c r="P54" s="53">
        <v>0.82985000194803504</v>
      </c>
      <c r="Q54" s="507"/>
      <c r="R54" s="506" t="s">
        <v>494</v>
      </c>
      <c r="S54" s="53">
        <v>0.83675000142339673</v>
      </c>
      <c r="T54" s="507"/>
      <c r="U54" s="506" t="s">
        <v>494</v>
      </c>
      <c r="V54" s="53">
        <v>0.84450000060846753</v>
      </c>
      <c r="W54" s="507"/>
      <c r="X54" s="506" t="s">
        <v>494</v>
      </c>
      <c r="Y54" s="53">
        <v>0.84404999960386917</v>
      </c>
      <c r="Z54" s="507"/>
      <c r="AA54" s="506" t="s">
        <v>494</v>
      </c>
      <c r="AB54" s="53">
        <v>0.83594999940504033</v>
      </c>
      <c r="AC54" s="507"/>
      <c r="AD54" s="506" t="s">
        <v>494</v>
      </c>
      <c r="AE54" s="53">
        <v>0.83355000042005567</v>
      </c>
      <c r="AF54" s="507"/>
      <c r="AG54" s="506" t="s">
        <v>494</v>
      </c>
      <c r="AH54" s="53">
        <v>0.83210000018059904</v>
      </c>
      <c r="AI54" s="507"/>
      <c r="AJ54" s="506" t="s">
        <v>494</v>
      </c>
      <c r="AK54" s="53">
        <v>0.82765000030319136</v>
      </c>
      <c r="AL54" s="507"/>
      <c r="AM54" s="506" t="s">
        <v>494</v>
      </c>
      <c r="AN54" s="53">
        <v>0.82594999743944864</v>
      </c>
      <c r="AO54" s="507"/>
      <c r="AP54" s="506" t="s">
        <v>494</v>
      </c>
      <c r="AQ54" s="53">
        <v>0.84075000044594062</v>
      </c>
      <c r="AR54" s="507"/>
      <c r="AS54" s="506" t="s">
        <v>494</v>
      </c>
      <c r="AT54" s="53">
        <v>0.84175</v>
      </c>
      <c r="AU54" s="507"/>
      <c r="AV54" s="506" t="s">
        <v>494</v>
      </c>
      <c r="AW54" s="53">
        <v>0.83715000023255848</v>
      </c>
      <c r="AX54" s="507"/>
      <c r="AY54" s="506" t="s">
        <v>494</v>
      </c>
      <c r="AZ54" s="53">
        <v>0.83345000011593484</v>
      </c>
      <c r="BA54" s="507"/>
      <c r="BB54" s="506" t="s">
        <v>494</v>
      </c>
      <c r="BC54" s="53">
        <v>0.8352999999595857</v>
      </c>
      <c r="BD54" s="507"/>
      <c r="BE54" s="506" t="s">
        <v>494</v>
      </c>
      <c r="BF54" s="53">
        <v>0.83619999978584703</v>
      </c>
      <c r="BG54" s="507"/>
      <c r="BH54" s="380">
        <f t="shared" si="0"/>
        <v>-0.8352999999595857</v>
      </c>
      <c r="BI54" s="506" t="s">
        <v>494</v>
      </c>
      <c r="BJ54" s="53">
        <v>0.83434999986719449</v>
      </c>
      <c r="BK54" s="507"/>
      <c r="BL54" s="380">
        <f t="shared" si="1"/>
        <v>0</v>
      </c>
      <c r="BM54" s="506" t="s">
        <v>494</v>
      </c>
      <c r="BN54" s="53">
        <v>0.84160000070083552</v>
      </c>
      <c r="BO54" s="507"/>
      <c r="BP54">
        <v>0</v>
      </c>
      <c r="BQ54" s="506" t="s">
        <v>494</v>
      </c>
      <c r="BR54" s="53">
        <v>0.84934999973825842</v>
      </c>
      <c r="BS54" s="507"/>
      <c r="BT54" s="380">
        <f t="shared" si="2"/>
        <v>0</v>
      </c>
      <c r="BU54" s="506" t="s">
        <v>494</v>
      </c>
      <c r="BV54" s="53">
        <v>0.85520000047240285</v>
      </c>
      <c r="BW54" s="507"/>
      <c r="BX54" s="380">
        <f t="shared" si="3"/>
        <v>0</v>
      </c>
      <c r="BY54" s="506" t="s">
        <v>494</v>
      </c>
      <c r="BZ54" s="53">
        <v>0.85570000024121062</v>
      </c>
      <c r="CA54" s="507"/>
      <c r="CB54" s="380">
        <f t="shared" si="4"/>
        <v>0</v>
      </c>
      <c r="CC54" s="506" t="s">
        <v>494</v>
      </c>
      <c r="CD54" s="53">
        <v>0.86369999964947808</v>
      </c>
      <c r="CE54" s="507"/>
      <c r="CF54" s="380">
        <f t="shared" si="5"/>
        <v>0</v>
      </c>
      <c r="CG54" s="506" t="s">
        <v>494</v>
      </c>
      <c r="CH54" s="53">
        <v>0.85609999997089647</v>
      </c>
      <c r="CI54" s="507"/>
      <c r="CJ54" s="380">
        <f t="shared" si="6"/>
        <v>0</v>
      </c>
      <c r="CK54" s="506" t="s">
        <v>494</v>
      </c>
      <c r="CL54" s="53">
        <v>0.86570000046334739</v>
      </c>
      <c r="CM54" s="507"/>
      <c r="CN54" s="380">
        <f t="shared" si="7"/>
        <v>0</v>
      </c>
      <c r="CO54" s="506" t="s">
        <v>494</v>
      </c>
      <c r="CP54" s="53">
        <v>0.86384999950164088</v>
      </c>
      <c r="CQ54" s="507"/>
      <c r="CR54" s="380">
        <f t="shared" si="8"/>
        <v>0</v>
      </c>
      <c r="CS54" s="506" t="s">
        <v>494</v>
      </c>
      <c r="CT54" s="53">
        <v>0.85580000078257989</v>
      </c>
      <c r="CU54" s="507"/>
      <c r="CV54" s="380">
        <f t="shared" si="9"/>
        <v>0</v>
      </c>
      <c r="CW54" s="506" t="s">
        <v>494</v>
      </c>
      <c r="CX54" s="53">
        <v>0.85619999953234882</v>
      </c>
      <c r="CY54" s="507"/>
      <c r="CZ54" s="380">
        <f t="shared" si="10"/>
        <v>0</v>
      </c>
      <c r="DA54" s="506" t="s">
        <v>494</v>
      </c>
      <c r="DB54" s="53">
        <v>0.85640000044870379</v>
      </c>
      <c r="DC54" s="507"/>
      <c r="DD54" s="380">
        <f t="shared" si="11"/>
        <v>0</v>
      </c>
      <c r="DE54" s="506" t="s">
        <v>494</v>
      </c>
      <c r="DF54" s="53">
        <v>0.86165000042925399</v>
      </c>
      <c r="DG54" s="507"/>
      <c r="DH54" s="380">
        <f t="shared" si="12"/>
        <v>0</v>
      </c>
      <c r="DI54" s="506" t="s">
        <v>494</v>
      </c>
      <c r="DJ54" s="53">
        <v>0.85845000052737486</v>
      </c>
      <c r="DK54" s="507"/>
      <c r="DL54" s="380">
        <f t="shared" si="13"/>
        <v>0</v>
      </c>
      <c r="DM54" s="506" t="s">
        <v>494</v>
      </c>
      <c r="DN54" s="53">
        <v>0.85774999952894071</v>
      </c>
      <c r="DO54" s="507"/>
      <c r="DP54" s="380">
        <f t="shared" si="14"/>
        <v>0</v>
      </c>
      <c r="DQ54" s="506" t="s">
        <v>494</v>
      </c>
      <c r="DR54" s="53">
        <v>0.85095000037133195</v>
      </c>
      <c r="DS54" s="507"/>
      <c r="DT54" s="380">
        <f t="shared" si="15"/>
        <v>0</v>
      </c>
      <c r="DU54" s="506" t="s">
        <v>494</v>
      </c>
      <c r="DV54" s="53">
        <v>0.84944999993097159</v>
      </c>
      <c r="DW54" s="507"/>
      <c r="DX54" s="380">
        <f t="shared" si="16"/>
        <v>0</v>
      </c>
      <c r="DY54" s="506" t="s">
        <v>494</v>
      </c>
      <c r="DZ54" s="53">
        <v>0.85345000000000004</v>
      </c>
      <c r="EA54" s="507"/>
      <c r="EB54" s="380">
        <f t="shared" si="17"/>
        <v>0</v>
      </c>
      <c r="EC54" s="506" t="s">
        <v>494</v>
      </c>
      <c r="ED54" s="53">
        <v>0.85175000000000001</v>
      </c>
      <c r="EE54" s="507"/>
      <c r="EF54" s="380">
        <f t="shared" si="18"/>
        <v>0</v>
      </c>
      <c r="EG54" s="506" t="s">
        <v>494</v>
      </c>
      <c r="EH54" s="53">
        <v>0.84724999999999995</v>
      </c>
      <c r="EI54" s="507"/>
      <c r="EJ54" s="380">
        <f t="shared" si="19"/>
        <v>0</v>
      </c>
      <c r="EK54" s="506" t="s">
        <v>494</v>
      </c>
      <c r="EL54" s="53">
        <v>0.85085</v>
      </c>
      <c r="EM54" s="507"/>
      <c r="EN54" s="380">
        <f t="shared" si="20"/>
        <v>0</v>
      </c>
      <c r="EO54" s="506" t="s">
        <v>494</v>
      </c>
      <c r="EP54" s="53">
        <v>0.84740000000000004</v>
      </c>
      <c r="EQ54" s="507"/>
      <c r="ER54" s="380">
        <f t="shared" si="21"/>
        <v>0</v>
      </c>
      <c r="ES54" s="506" t="s">
        <v>494</v>
      </c>
      <c r="ET54" s="53">
        <v>0.84755000000000003</v>
      </c>
      <c r="EU54" s="507"/>
      <c r="EV54" s="380">
        <f t="shared" si="22"/>
        <v>0</v>
      </c>
      <c r="EW54" s="506" t="s">
        <v>494</v>
      </c>
      <c r="EX54" s="53">
        <v>0.84325000000000006</v>
      </c>
      <c r="EY54" s="507"/>
      <c r="EZ54" s="380">
        <f t="shared" si="23"/>
        <v>0</v>
      </c>
      <c r="FA54" s="506" t="s">
        <v>494</v>
      </c>
      <c r="FB54" s="53">
        <v>0.84045000000000003</v>
      </c>
      <c r="FC54" s="507"/>
      <c r="FD54" s="380">
        <f t="shared" si="24"/>
        <v>0</v>
      </c>
      <c r="FE54" s="506" t="s">
        <v>494</v>
      </c>
      <c r="FF54" s="53">
        <v>0.84119999999999995</v>
      </c>
      <c r="FG54" s="507"/>
      <c r="FH54" s="380">
        <f t="shared" si="25"/>
        <v>0</v>
      </c>
      <c r="FI54" s="506" t="s">
        <v>494</v>
      </c>
      <c r="FJ54" s="53">
        <v>0.84275</v>
      </c>
      <c r="FK54" s="507"/>
      <c r="FL54" s="380">
        <f t="shared" si="26"/>
        <v>0</v>
      </c>
      <c r="FM54" s="506" t="s">
        <v>494</v>
      </c>
      <c r="FN54" s="53">
        <v>0.84235000000000004</v>
      </c>
      <c r="FO54" s="507"/>
      <c r="FP54" s="380">
        <f t="shared" si="27"/>
        <v>0</v>
      </c>
      <c r="FQ54" s="506" t="s">
        <v>494</v>
      </c>
      <c r="FR54" s="53">
        <v>0.84150000000000003</v>
      </c>
      <c r="FS54" s="507"/>
      <c r="FT54" s="380">
        <f t="shared" si="28"/>
        <v>0</v>
      </c>
      <c r="FU54" s="506" t="s">
        <v>494</v>
      </c>
      <c r="FV54" s="53">
        <v>0.84399999999999997</v>
      </c>
      <c r="FW54" s="507"/>
      <c r="FX54" s="380">
        <f t="shared" si="29"/>
        <v>0</v>
      </c>
      <c r="FY54" s="506" t="s">
        <v>494</v>
      </c>
      <c r="FZ54" s="53">
        <v>0.83975</v>
      </c>
      <c r="GA54" s="507"/>
      <c r="GB54" s="380">
        <f t="shared" si="30"/>
        <v>0</v>
      </c>
      <c r="GC54" s="506" t="s">
        <v>494</v>
      </c>
      <c r="GD54" s="53">
        <v>0.83904999999999996</v>
      </c>
      <c r="GE54" s="507"/>
      <c r="GF54" s="380">
        <f t="shared" si="31"/>
        <v>0</v>
      </c>
      <c r="GG54" s="506" t="s">
        <v>494</v>
      </c>
      <c r="GH54" s="53">
        <v>0.83779999999999999</v>
      </c>
      <c r="GI54" s="507"/>
      <c r="GJ54" s="380">
        <f t="shared" si="32"/>
        <v>0</v>
      </c>
      <c r="GK54" s="506" t="s">
        <v>494</v>
      </c>
      <c r="GL54" s="53">
        <v>0.8397</v>
      </c>
      <c r="GM54" s="507"/>
      <c r="GN54" s="380">
        <f t="shared" si="33"/>
        <v>0</v>
      </c>
      <c r="GO54" s="506" t="s">
        <v>494</v>
      </c>
      <c r="GP54" s="53">
        <v>0.83720000000000006</v>
      </c>
      <c r="GQ54" s="507"/>
      <c r="GR54" s="380">
        <f t="shared" si="34"/>
        <v>0</v>
      </c>
      <c r="GS54" s="506" t="s">
        <v>494</v>
      </c>
      <c r="GT54" s="53">
        <v>0.84130000000000005</v>
      </c>
      <c r="GU54" s="507"/>
      <c r="GV54" s="380">
        <f t="shared" si="35"/>
        <v>0</v>
      </c>
      <c r="GW54" s="506" t="s">
        <v>494</v>
      </c>
      <c r="GX54" s="53">
        <v>0.84325000000000006</v>
      </c>
      <c r="GY54" s="507"/>
      <c r="GZ54" s="380">
        <f t="shared" si="36"/>
        <v>0</v>
      </c>
      <c r="HA54" s="506" t="s">
        <v>494</v>
      </c>
      <c r="HB54" s="53">
        <v>0.84345000000000003</v>
      </c>
      <c r="HC54" s="507"/>
      <c r="HD54" s="380">
        <f t="shared" si="37"/>
        <v>0</v>
      </c>
      <c r="HE54" s="506" t="s">
        <v>494</v>
      </c>
      <c r="HF54" s="53">
        <v>0.84189999999999998</v>
      </c>
      <c r="HG54" s="507"/>
      <c r="HH54" s="380">
        <f t="shared" si="38"/>
        <v>0</v>
      </c>
      <c r="HI54" s="506" t="s">
        <v>494</v>
      </c>
      <c r="HJ54" s="53">
        <v>0.84194999999999998</v>
      </c>
      <c r="HK54" s="507"/>
      <c r="HL54" s="380">
        <f t="shared" si="39"/>
        <v>0</v>
      </c>
      <c r="HM54" s="506" t="s">
        <v>494</v>
      </c>
      <c r="HN54" s="53">
        <v>0.84260000000000002</v>
      </c>
      <c r="HO54" s="507"/>
      <c r="HP54" s="380">
        <f t="shared" si="40"/>
        <v>0</v>
      </c>
      <c r="HQ54" s="506" t="s">
        <v>494</v>
      </c>
      <c r="HR54" s="53">
        <v>0.84609999999999996</v>
      </c>
      <c r="HS54" s="507"/>
      <c r="HT54" s="380">
        <f t="shared" si="41"/>
        <v>0</v>
      </c>
      <c r="HU54" s="506" t="s">
        <v>494</v>
      </c>
      <c r="HV54" s="53">
        <v>0.84714999999999996</v>
      </c>
      <c r="HW54" s="507"/>
      <c r="HX54" s="380">
        <f t="shared" si="42"/>
        <v>0</v>
      </c>
      <c r="HY54" s="506" t="s">
        <v>494</v>
      </c>
      <c r="HZ54" s="53">
        <v>0.85004999999999997</v>
      </c>
      <c r="IA54" s="507"/>
      <c r="IB54" s="380">
        <f t="shared" si="43"/>
        <v>0</v>
      </c>
      <c r="IC54" s="506" t="s">
        <v>494</v>
      </c>
      <c r="ID54" s="53">
        <v>0.85004999999999997</v>
      </c>
      <c r="IE54" s="507"/>
      <c r="IF54" s="380">
        <f t="shared" si="44"/>
        <v>0</v>
      </c>
      <c r="IG54" s="506" t="s">
        <v>494</v>
      </c>
      <c r="IH54" s="53">
        <v>0.85004999999999997</v>
      </c>
      <c r="II54" s="507"/>
      <c r="IJ54" s="380">
        <f t="shared" si="45"/>
        <v>0</v>
      </c>
      <c r="IK54" s="506" t="s">
        <v>494</v>
      </c>
      <c r="IL54" s="53">
        <v>0.85004999999999997</v>
      </c>
      <c r="IM54" s="507"/>
      <c r="IN54" s="380">
        <f t="shared" si="46"/>
        <v>0</v>
      </c>
      <c r="IO54" s="506" t="s">
        <v>494</v>
      </c>
      <c r="IP54" s="53">
        <v>0.85004999999999997</v>
      </c>
      <c r="IQ54" s="507"/>
      <c r="IR54" s="380">
        <f t="shared" si="47"/>
        <v>0</v>
      </c>
      <c r="IS54" s="506" t="s">
        <v>494</v>
      </c>
      <c r="IT54" s="53">
        <v>0.85004999999999997</v>
      </c>
      <c r="IU54" s="507"/>
      <c r="IV54" s="380">
        <f t="shared" si="48"/>
        <v>0</v>
      </c>
      <c r="IW54" s="506" t="s">
        <v>494</v>
      </c>
      <c r="IX54" s="53">
        <v>0.8528</v>
      </c>
      <c r="IY54" s="507"/>
      <c r="IZ54" s="380">
        <f t="shared" si="49"/>
        <v>0</v>
      </c>
    </row>
    <row r="55" spans="1:260">
      <c r="A55" s="13" t="s">
        <v>599</v>
      </c>
      <c r="B55" s="13" t="s">
        <v>600</v>
      </c>
      <c r="C55" s="13" t="s">
        <v>579</v>
      </c>
      <c r="D55" s="13" t="s">
        <v>336</v>
      </c>
      <c r="E55" s="13" t="s">
        <v>4</v>
      </c>
      <c r="F55" s="13">
        <v>20222991</v>
      </c>
      <c r="G55" s="13" t="s">
        <v>172</v>
      </c>
      <c r="H55" s="49" t="s">
        <v>508</v>
      </c>
      <c r="I55" s="14">
        <f>+'IBP export - Colar'!B54</f>
        <v>-2400</v>
      </c>
      <c r="J55" s="14">
        <f>+VLOOKUP(E55,'Summary - Colar'!$M$39:$N$54,2,FALSE)</f>
        <v>0.8528</v>
      </c>
      <c r="K55" s="14">
        <f t="shared" si="50"/>
        <v>-2814.2589118198875</v>
      </c>
      <c r="L55" s="506">
        <v>-1432.9</v>
      </c>
      <c r="M55" s="53">
        <v>0.82944999704118039</v>
      </c>
      <c r="N55" s="507">
        <v>-1727.5302973192483</v>
      </c>
      <c r="O55" s="506">
        <v>-6163.86</v>
      </c>
      <c r="P55" s="53">
        <v>0.82985000194803504</v>
      </c>
      <c r="Q55" s="507">
        <v>-7427.6796837146703</v>
      </c>
      <c r="R55" s="506">
        <v>8284.16</v>
      </c>
      <c r="S55" s="53">
        <v>0.83675000142339673</v>
      </c>
      <c r="T55" s="507">
        <v>9900.4003416884407</v>
      </c>
      <c r="U55" s="506">
        <v>0</v>
      </c>
      <c r="V55" s="53">
        <v>0.84450000060846753</v>
      </c>
      <c r="W55" s="507">
        <v>0</v>
      </c>
      <c r="X55" s="506">
        <v>0</v>
      </c>
      <c r="Y55" s="53">
        <v>0.84404999960386917</v>
      </c>
      <c r="Z55" s="507">
        <v>0</v>
      </c>
      <c r="AA55" s="506">
        <v>-152.44999999999999</v>
      </c>
      <c r="AB55" s="53">
        <v>0.83594999940504033</v>
      </c>
      <c r="AC55" s="507">
        <v>-182.36736659908036</v>
      </c>
      <c r="AD55" s="506">
        <v>1554.78</v>
      </c>
      <c r="AE55" s="53">
        <v>0.83355000042005567</v>
      </c>
      <c r="AF55" s="507">
        <v>1865.2510337910032</v>
      </c>
      <c r="AG55" s="506">
        <v>380.24</v>
      </c>
      <c r="AH55" s="53">
        <v>0.83210000018059904</v>
      </c>
      <c r="AI55" s="507">
        <v>456.96430707543885</v>
      </c>
      <c r="AJ55" s="506">
        <v>0</v>
      </c>
      <c r="AK55" s="53">
        <v>0.82765000030319136</v>
      </c>
      <c r="AL55" s="507">
        <v>0</v>
      </c>
      <c r="AM55" s="506">
        <v>-136.30000000000001</v>
      </c>
      <c r="AN55" s="53">
        <v>0.82594999743944864</v>
      </c>
      <c r="AO55" s="507">
        <v>-165.02209628009876</v>
      </c>
      <c r="AP55" s="506">
        <v>-3638.48</v>
      </c>
      <c r="AQ55" s="53">
        <v>0.84075000044594062</v>
      </c>
      <c r="AR55" s="507">
        <v>-4327.6598252395133</v>
      </c>
      <c r="AS55" s="506">
        <v>-278217</v>
      </c>
      <c r="AT55" s="53">
        <v>0.84175</v>
      </c>
      <c r="AU55" s="507">
        <v>-330522.12652212655</v>
      </c>
      <c r="AV55" s="506">
        <v>4313.1400000000003</v>
      </c>
      <c r="AW55" s="53">
        <v>0.83715000023255848</v>
      </c>
      <c r="AX55" s="507">
        <v>5152.1710551296892</v>
      </c>
      <c r="AY55" s="506">
        <v>87658.63</v>
      </c>
      <c r="AZ55" s="53">
        <v>0.83345000011593484</v>
      </c>
      <c r="BA55" s="507">
        <v>105175.63139697221</v>
      </c>
      <c r="BB55" s="506">
        <v>-748810.99</v>
      </c>
      <c r="BC55" s="53">
        <v>0.8352999999595857</v>
      </c>
      <c r="BD55" s="507">
        <v>-896457.54822965362</v>
      </c>
      <c r="BE55" s="506">
        <v>0</v>
      </c>
      <c r="BF55" s="53">
        <v>0.83619999978584703</v>
      </c>
      <c r="BG55" s="507">
        <v>0</v>
      </c>
      <c r="BH55" s="380">
        <f t="shared" si="0"/>
        <v>-0.8352999999595857</v>
      </c>
      <c r="BI55" s="506">
        <v>0</v>
      </c>
      <c r="BJ55" s="53">
        <v>0.83434999986719449</v>
      </c>
      <c r="BK55" s="507">
        <v>0</v>
      </c>
      <c r="BL55" s="380">
        <f t="shared" si="1"/>
        <v>0</v>
      </c>
      <c r="BM55" s="506">
        <v>0</v>
      </c>
      <c r="BN55" s="53">
        <v>0.84160000070083552</v>
      </c>
      <c r="BO55" s="507">
        <v>0</v>
      </c>
      <c r="BP55">
        <v>-165.02209628009876</v>
      </c>
      <c r="BQ55" s="506">
        <v>9023.7800000000007</v>
      </c>
      <c r="BR55" s="53">
        <v>0.84934999973825842</v>
      </c>
      <c r="BS55" s="507">
        <v>10624.336260411881</v>
      </c>
      <c r="BT55" s="380">
        <f t="shared" si="2"/>
        <v>10624.336260411881</v>
      </c>
      <c r="BU55" s="506">
        <v>102605.12</v>
      </c>
      <c r="BV55" s="53">
        <v>0.85520000047240285</v>
      </c>
      <c r="BW55" s="507">
        <v>119977.92322652254</v>
      </c>
      <c r="BX55" s="380">
        <f t="shared" si="3"/>
        <v>109353.58696611066</v>
      </c>
      <c r="BY55" s="506">
        <v>0</v>
      </c>
      <c r="BZ55" s="53">
        <v>0.85570000024121062</v>
      </c>
      <c r="CA55" s="507">
        <v>0</v>
      </c>
      <c r="CB55" s="380">
        <f t="shared" si="4"/>
        <v>-119977.92322652254</v>
      </c>
      <c r="CC55" s="506">
        <v>0</v>
      </c>
      <c r="CD55" s="53">
        <v>0.86369999964947808</v>
      </c>
      <c r="CE55" s="507">
        <v>0</v>
      </c>
      <c r="CF55" s="380">
        <f t="shared" si="5"/>
        <v>0</v>
      </c>
      <c r="CG55" s="506">
        <v>0</v>
      </c>
      <c r="CH55" s="53">
        <v>0.85609999997089647</v>
      </c>
      <c r="CI55" s="507">
        <v>0</v>
      </c>
      <c r="CJ55" s="380">
        <f t="shared" si="6"/>
        <v>0</v>
      </c>
      <c r="CK55" s="506">
        <v>-30523.599999999999</v>
      </c>
      <c r="CL55" s="53">
        <v>0.86570000046334739</v>
      </c>
      <c r="CM55" s="507">
        <v>-35258.865638977586</v>
      </c>
      <c r="CN55" s="380">
        <f t="shared" si="7"/>
        <v>-35258.865638977586</v>
      </c>
      <c r="CO55" s="506">
        <v>0</v>
      </c>
      <c r="CP55" s="53">
        <v>0.86384999950164088</v>
      </c>
      <c r="CQ55" s="507">
        <v>0</v>
      </c>
      <c r="CR55" s="380">
        <f t="shared" si="8"/>
        <v>35258.865638977586</v>
      </c>
      <c r="CS55" s="506">
        <v>0</v>
      </c>
      <c r="CT55" s="53">
        <v>0.85580000078257989</v>
      </c>
      <c r="CU55" s="507">
        <v>0</v>
      </c>
      <c r="CV55" s="380">
        <f t="shared" si="9"/>
        <v>0</v>
      </c>
      <c r="CW55" s="506">
        <v>0</v>
      </c>
      <c r="CX55" s="53">
        <v>0.85619999953234882</v>
      </c>
      <c r="CY55" s="507">
        <v>0</v>
      </c>
      <c r="CZ55" s="380">
        <f t="shared" si="10"/>
        <v>0</v>
      </c>
      <c r="DA55" s="506">
        <v>182217.41</v>
      </c>
      <c r="DB55" s="53">
        <v>0.85640000044870379</v>
      </c>
      <c r="DC55" s="507">
        <v>212771.3800846902</v>
      </c>
      <c r="DD55" s="380">
        <f t="shared" si="11"/>
        <v>212771.3800846902</v>
      </c>
      <c r="DE55" s="506">
        <v>182217.41</v>
      </c>
      <c r="DF55" s="53">
        <v>0.86165000042925399</v>
      </c>
      <c r="DG55" s="507">
        <v>211474.97233125227</v>
      </c>
      <c r="DH55" s="380">
        <f t="shared" si="12"/>
        <v>-1296.4077534379321</v>
      </c>
      <c r="DI55" s="506">
        <v>135992.04</v>
      </c>
      <c r="DJ55" s="53">
        <v>0.85845000052737486</v>
      </c>
      <c r="DK55" s="507">
        <v>158415.7958139152</v>
      </c>
      <c r="DL55" s="380">
        <f t="shared" si="13"/>
        <v>-53059.176517337066</v>
      </c>
      <c r="DM55" s="506">
        <v>0</v>
      </c>
      <c r="DN55" s="53">
        <v>0.85774999952894071</v>
      </c>
      <c r="DO55" s="507">
        <v>0</v>
      </c>
      <c r="DP55" s="380">
        <f t="shared" si="14"/>
        <v>-158415.7958139152</v>
      </c>
      <c r="DQ55" s="506">
        <v>30874.61</v>
      </c>
      <c r="DR55" s="53">
        <v>0.85095000037133195</v>
      </c>
      <c r="DS55" s="507">
        <v>36282.519521155344</v>
      </c>
      <c r="DT55" s="380">
        <f t="shared" si="15"/>
        <v>36282.519521155344</v>
      </c>
      <c r="DU55" s="506">
        <v>3641.11</v>
      </c>
      <c r="DV55" s="53">
        <v>0.84944999993097159</v>
      </c>
      <c r="DW55" s="507">
        <v>4286.4323977819595</v>
      </c>
      <c r="DX55" s="380">
        <f t="shared" si="16"/>
        <v>-31996.087123373385</v>
      </c>
      <c r="DY55" s="506">
        <v>3240</v>
      </c>
      <c r="DZ55" s="53">
        <v>0.85345000000000004</v>
      </c>
      <c r="EA55" s="507">
        <v>3796.3559669576425</v>
      </c>
      <c r="EB55" s="380">
        <f t="shared" si="17"/>
        <v>-490.07643082431696</v>
      </c>
      <c r="EC55" s="506">
        <v>3240</v>
      </c>
      <c r="ED55" s="53">
        <v>0.85175000000000001</v>
      </c>
      <c r="EE55" s="507">
        <v>3803.9330789550922</v>
      </c>
      <c r="EF55" s="380">
        <f t="shared" si="18"/>
        <v>7.5771119974497196</v>
      </c>
      <c r="EG55" s="506">
        <v>-118925</v>
      </c>
      <c r="EH55" s="53">
        <v>0.84724999999999995</v>
      </c>
      <c r="EI55" s="507">
        <v>-140365.88964296255</v>
      </c>
      <c r="EJ55" s="380">
        <f t="shared" si="19"/>
        <v>-144169.82272191765</v>
      </c>
      <c r="EK55" s="506">
        <v>-46142</v>
      </c>
      <c r="EL55" s="53">
        <v>0.85085</v>
      </c>
      <c r="EM55" s="507">
        <v>-54230.475406945996</v>
      </c>
      <c r="EN55" s="380">
        <f t="shared" si="20"/>
        <v>86135.414236016542</v>
      </c>
      <c r="EO55" s="506">
        <v>0</v>
      </c>
      <c r="EP55" s="53">
        <v>0.84740000000000004</v>
      </c>
      <c r="EQ55" s="507">
        <v>0</v>
      </c>
      <c r="ER55" s="380">
        <f t="shared" si="21"/>
        <v>54230.475406945996</v>
      </c>
      <c r="ES55" s="506">
        <v>-6011</v>
      </c>
      <c r="ET55" s="53">
        <v>0.84755000000000003</v>
      </c>
      <c r="EU55" s="507">
        <v>-7092.2069494425104</v>
      </c>
      <c r="EV55" s="380">
        <f t="shared" si="22"/>
        <v>-7092.2069494425104</v>
      </c>
      <c r="EW55" s="506">
        <v>0</v>
      </c>
      <c r="EX55" s="53">
        <v>0.84325000000000006</v>
      </c>
      <c r="EY55" s="507">
        <v>0</v>
      </c>
      <c r="EZ55" s="380">
        <f t="shared" si="23"/>
        <v>7092.2069494425104</v>
      </c>
      <c r="FA55" s="506">
        <v>0</v>
      </c>
      <c r="FB55" s="53">
        <v>0.84045000000000003</v>
      </c>
      <c r="FC55" s="507">
        <v>0</v>
      </c>
      <c r="FD55" s="380">
        <f t="shared" si="24"/>
        <v>0</v>
      </c>
      <c r="FE55" s="506">
        <v>-46800</v>
      </c>
      <c r="FF55" s="53">
        <v>0.84119999999999995</v>
      </c>
      <c r="FG55" s="507">
        <v>-55634.807417974327</v>
      </c>
      <c r="FH55" s="380">
        <f t="shared" si="25"/>
        <v>-55634.807417974327</v>
      </c>
      <c r="FI55" s="506">
        <v>48438</v>
      </c>
      <c r="FJ55" s="53">
        <v>0.84275</v>
      </c>
      <c r="FK55" s="507">
        <v>57476.119845743102</v>
      </c>
      <c r="FL55" s="380">
        <f t="shared" si="26"/>
        <v>113110.92726371743</v>
      </c>
      <c r="FM55" s="506">
        <v>-265057</v>
      </c>
      <c r="FN55" s="53">
        <v>0.84235000000000004</v>
      </c>
      <c r="FO55" s="507">
        <v>-314663.73835104168</v>
      </c>
      <c r="FP55" s="380">
        <f t="shared" si="27"/>
        <v>-372139.8581967848</v>
      </c>
      <c r="FQ55" s="506">
        <v>0</v>
      </c>
      <c r="FR55" s="53">
        <v>0.84150000000000003</v>
      </c>
      <c r="FS55" s="507">
        <v>0</v>
      </c>
      <c r="FT55" s="380">
        <f t="shared" si="28"/>
        <v>314663.73835104168</v>
      </c>
      <c r="FU55" s="506">
        <v>658</v>
      </c>
      <c r="FV55" s="53">
        <v>0.84399999999999997</v>
      </c>
      <c r="FW55" s="507">
        <v>779.62085308056874</v>
      </c>
      <c r="FX55" s="380">
        <f t="shared" si="29"/>
        <v>779.62085308056874</v>
      </c>
      <c r="FY55" s="506">
        <v>-2259</v>
      </c>
      <c r="FZ55" s="53">
        <v>0.83975</v>
      </c>
      <c r="GA55" s="507">
        <v>-2690.0863352188153</v>
      </c>
      <c r="GB55" s="380">
        <f t="shared" si="30"/>
        <v>-3469.7071882993841</v>
      </c>
      <c r="GC55" s="506">
        <v>-2259</v>
      </c>
      <c r="GD55" s="53">
        <v>0.83904999999999996</v>
      </c>
      <c r="GE55" s="507">
        <v>-2692.3306120016687</v>
      </c>
      <c r="GF55" s="380">
        <f t="shared" si="31"/>
        <v>-2.2442767828533761</v>
      </c>
      <c r="GG55" s="506">
        <v>-480</v>
      </c>
      <c r="GH55" s="53">
        <v>0.83779999999999999</v>
      </c>
      <c r="GI55" s="507">
        <v>-572.92910002387202</v>
      </c>
      <c r="GJ55" s="380">
        <f t="shared" si="32"/>
        <v>2119.4015119777969</v>
      </c>
      <c r="GK55" s="506">
        <v>0</v>
      </c>
      <c r="GL55" s="53">
        <v>0.8397</v>
      </c>
      <c r="GM55" s="507">
        <v>0</v>
      </c>
      <c r="GN55" s="380">
        <f t="shared" si="33"/>
        <v>572.92910002387202</v>
      </c>
      <c r="GO55" s="506">
        <v>46774</v>
      </c>
      <c r="GP55" s="53">
        <v>0.83720000000000006</v>
      </c>
      <c r="GQ55" s="507">
        <v>55869.565217391304</v>
      </c>
      <c r="GR55" s="380">
        <f t="shared" si="34"/>
        <v>55869.565217391304</v>
      </c>
      <c r="GS55" s="506">
        <v>414973</v>
      </c>
      <c r="GT55" s="53">
        <v>0.84130000000000005</v>
      </c>
      <c r="GU55" s="507">
        <v>493252.10983002494</v>
      </c>
      <c r="GV55" s="380">
        <f t="shared" si="35"/>
        <v>437382.54461263365</v>
      </c>
      <c r="GW55" s="506">
        <v>-564</v>
      </c>
      <c r="GX55" s="53">
        <v>0.84325000000000006</v>
      </c>
      <c r="GY55" s="507">
        <v>-668.84079454491541</v>
      </c>
      <c r="GZ55" s="380">
        <f t="shared" si="36"/>
        <v>-493920.95062456984</v>
      </c>
      <c r="HA55" s="506">
        <v>-239612</v>
      </c>
      <c r="HB55" s="53">
        <v>0.84345000000000003</v>
      </c>
      <c r="HC55" s="507">
        <v>-284085.60080621258</v>
      </c>
      <c r="HD55" s="380">
        <f t="shared" si="37"/>
        <v>-283416.76001166768</v>
      </c>
      <c r="HE55" s="506">
        <v>-1129</v>
      </c>
      <c r="HF55" s="53">
        <v>0.84189999999999998</v>
      </c>
      <c r="HG55" s="507">
        <v>-1341.0143722532368</v>
      </c>
      <c r="HH55" s="380">
        <f t="shared" si="38"/>
        <v>282744.58643395937</v>
      </c>
      <c r="HI55" s="506">
        <v>31550</v>
      </c>
      <c r="HJ55" s="53">
        <v>0.84194999999999998</v>
      </c>
      <c r="HK55" s="507">
        <v>37472.533998455969</v>
      </c>
      <c r="HL55" s="380">
        <f t="shared" si="39"/>
        <v>38813.548370709206</v>
      </c>
      <c r="HM55" s="506">
        <v>0</v>
      </c>
      <c r="HN55" s="53">
        <v>0.84260000000000002</v>
      </c>
      <c r="HO55" s="507">
        <v>0</v>
      </c>
      <c r="HP55" s="380">
        <f t="shared" si="40"/>
        <v>-37472.533998455969</v>
      </c>
      <c r="HQ55" s="506">
        <v>0</v>
      </c>
      <c r="HR55" s="53">
        <v>0.84609999999999996</v>
      </c>
      <c r="HS55" s="507">
        <v>0</v>
      </c>
      <c r="HT55" s="380">
        <f t="shared" si="41"/>
        <v>0</v>
      </c>
      <c r="HU55" s="506">
        <v>0</v>
      </c>
      <c r="HV55" s="53">
        <v>0.84714999999999996</v>
      </c>
      <c r="HW55" s="507">
        <v>0</v>
      </c>
      <c r="HX55" s="380">
        <f t="shared" si="42"/>
        <v>0</v>
      </c>
      <c r="HY55" s="506">
        <v>1040</v>
      </c>
      <c r="HZ55" s="53">
        <v>0.85004999999999997</v>
      </c>
      <c r="IA55" s="507">
        <v>1223.4574436797836</v>
      </c>
      <c r="IB55" s="380">
        <f t="shared" si="43"/>
        <v>1223.4574436797836</v>
      </c>
      <c r="IC55" s="506">
        <v>-287053</v>
      </c>
      <c r="ID55" s="53">
        <v>0.85004999999999997</v>
      </c>
      <c r="IE55" s="507">
        <v>-337689.54767366627</v>
      </c>
      <c r="IF55" s="380">
        <f t="shared" si="44"/>
        <v>-338913.00511734607</v>
      </c>
      <c r="IG55" s="506">
        <v>0</v>
      </c>
      <c r="IH55" s="53">
        <v>0.85004999999999997</v>
      </c>
      <c r="II55" s="507">
        <v>0</v>
      </c>
      <c r="IJ55" s="380">
        <f t="shared" si="45"/>
        <v>337689.54767366627</v>
      </c>
      <c r="IK55" s="506">
        <v>141529</v>
      </c>
      <c r="IL55" s="53">
        <v>0.85004999999999997</v>
      </c>
      <c r="IM55" s="507">
        <v>166494.91206399625</v>
      </c>
      <c r="IN55" s="380">
        <f t="shared" si="46"/>
        <v>166494.91206399625</v>
      </c>
      <c r="IO55" s="506">
        <v>0</v>
      </c>
      <c r="IP55" s="53">
        <v>0.85004999999999997</v>
      </c>
      <c r="IQ55" s="507">
        <v>0</v>
      </c>
      <c r="IR55" s="380">
        <f t="shared" si="47"/>
        <v>-166494.91206399625</v>
      </c>
      <c r="IS55" s="506">
        <v>-191095</v>
      </c>
      <c r="IT55" s="53">
        <v>0.85004999999999997</v>
      </c>
      <c r="IU55" s="507">
        <v>-224804.42326921946</v>
      </c>
      <c r="IV55" s="380">
        <f t="shared" si="48"/>
        <v>-224804.42326921946</v>
      </c>
      <c r="IW55" s="506">
        <v>-2400</v>
      </c>
      <c r="IX55" s="53">
        <v>0.8528</v>
      </c>
      <c r="IY55" s="507">
        <v>-2814.2589118198875</v>
      </c>
      <c r="IZ55" s="380">
        <f t="shared" si="49"/>
        <v>221990.16435739957</v>
      </c>
    </row>
    <row r="56" spans="1:260">
      <c r="A56" s="13" t="s">
        <v>599</v>
      </c>
      <c r="B56" s="13" t="s">
        <v>600</v>
      </c>
      <c r="C56" s="13" t="s">
        <v>579</v>
      </c>
      <c r="D56" s="13" t="s">
        <v>336</v>
      </c>
      <c r="E56" s="13" t="s">
        <v>2</v>
      </c>
      <c r="F56" s="13">
        <v>20387184</v>
      </c>
      <c r="G56" s="13" t="s">
        <v>165</v>
      </c>
      <c r="H56" s="49" t="s">
        <v>508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50"/>
        <v>0</v>
      </c>
      <c r="L56" s="506">
        <v>0</v>
      </c>
      <c r="M56" s="53">
        <v>1</v>
      </c>
      <c r="N56" s="507">
        <v>0</v>
      </c>
      <c r="O56" s="506">
        <v>0</v>
      </c>
      <c r="P56" s="53">
        <v>1</v>
      </c>
      <c r="Q56" s="507">
        <v>0</v>
      </c>
      <c r="R56" s="506">
        <v>0</v>
      </c>
      <c r="S56" s="53">
        <v>1</v>
      </c>
      <c r="T56" s="507">
        <v>0</v>
      </c>
      <c r="U56" s="506">
        <v>0</v>
      </c>
      <c r="V56" s="53">
        <v>1</v>
      </c>
      <c r="W56" s="507">
        <v>0</v>
      </c>
      <c r="X56" s="506">
        <v>0</v>
      </c>
      <c r="Y56" s="53">
        <v>1</v>
      </c>
      <c r="Z56" s="507">
        <v>0</v>
      </c>
      <c r="AA56" s="506">
        <v>0</v>
      </c>
      <c r="AB56" s="53">
        <v>1</v>
      </c>
      <c r="AC56" s="507">
        <v>0</v>
      </c>
      <c r="AD56" s="506">
        <v>0</v>
      </c>
      <c r="AE56" s="53">
        <v>1</v>
      </c>
      <c r="AF56" s="507">
        <v>0</v>
      </c>
      <c r="AG56" s="506">
        <v>0</v>
      </c>
      <c r="AH56" s="53">
        <v>1</v>
      </c>
      <c r="AI56" s="507">
        <v>0</v>
      </c>
      <c r="AJ56" s="506">
        <v>0</v>
      </c>
      <c r="AK56" s="53">
        <v>1</v>
      </c>
      <c r="AL56" s="507">
        <v>0</v>
      </c>
      <c r="AM56" s="506">
        <v>0</v>
      </c>
      <c r="AN56" s="53">
        <v>1</v>
      </c>
      <c r="AO56" s="507">
        <v>0</v>
      </c>
      <c r="AP56" s="506">
        <v>0</v>
      </c>
      <c r="AQ56" s="53">
        <v>1</v>
      </c>
      <c r="AR56" s="507">
        <v>0</v>
      </c>
      <c r="AS56" s="506">
        <v>0</v>
      </c>
      <c r="AT56" s="53">
        <v>1</v>
      </c>
      <c r="AU56" s="507">
        <v>0</v>
      </c>
      <c r="AV56" s="506">
        <v>0</v>
      </c>
      <c r="AW56" s="53">
        <v>1</v>
      </c>
      <c r="AX56" s="507">
        <v>0</v>
      </c>
      <c r="AY56" s="506">
        <v>0</v>
      </c>
      <c r="AZ56" s="53">
        <v>1</v>
      </c>
      <c r="BA56" s="507">
        <v>0</v>
      </c>
      <c r="BB56" s="506">
        <v>0</v>
      </c>
      <c r="BC56" s="53">
        <v>1</v>
      </c>
      <c r="BD56" s="507">
        <v>0</v>
      </c>
      <c r="BE56" s="506">
        <v>0</v>
      </c>
      <c r="BF56" s="53">
        <v>1</v>
      </c>
      <c r="BG56" s="507">
        <v>0</v>
      </c>
      <c r="BH56" s="380">
        <f t="shared" si="0"/>
        <v>-1</v>
      </c>
      <c r="BI56" s="506">
        <v>0</v>
      </c>
      <c r="BJ56" s="53">
        <v>1</v>
      </c>
      <c r="BK56" s="507">
        <v>0</v>
      </c>
      <c r="BL56" s="380">
        <f t="shared" si="1"/>
        <v>0</v>
      </c>
      <c r="BM56" s="506">
        <v>0</v>
      </c>
      <c r="BN56" s="53">
        <v>1</v>
      </c>
      <c r="BO56" s="507">
        <v>0</v>
      </c>
      <c r="BP56">
        <v>0</v>
      </c>
      <c r="BQ56" s="506">
        <v>0</v>
      </c>
      <c r="BR56" s="53">
        <v>1</v>
      </c>
      <c r="BS56" s="507">
        <v>0</v>
      </c>
      <c r="BT56" s="380">
        <f t="shared" si="2"/>
        <v>0</v>
      </c>
      <c r="BU56" s="506">
        <v>0</v>
      </c>
      <c r="BV56" s="53">
        <v>1</v>
      </c>
      <c r="BW56" s="507">
        <v>0</v>
      </c>
      <c r="BX56" s="380">
        <f t="shared" si="3"/>
        <v>0</v>
      </c>
      <c r="BY56" s="506">
        <v>0</v>
      </c>
      <c r="BZ56" s="53">
        <v>1</v>
      </c>
      <c r="CA56" s="507">
        <v>0</v>
      </c>
      <c r="CB56" s="380">
        <f t="shared" si="4"/>
        <v>0</v>
      </c>
      <c r="CC56" s="506">
        <v>0</v>
      </c>
      <c r="CD56" s="53">
        <v>1</v>
      </c>
      <c r="CE56" s="507">
        <v>0</v>
      </c>
      <c r="CF56" s="380">
        <f t="shared" si="5"/>
        <v>0</v>
      </c>
      <c r="CG56" s="506">
        <v>0</v>
      </c>
      <c r="CH56" s="53">
        <v>1</v>
      </c>
      <c r="CI56" s="507">
        <v>0</v>
      </c>
      <c r="CJ56" s="380">
        <f t="shared" si="6"/>
        <v>0</v>
      </c>
      <c r="CK56" s="506">
        <v>0</v>
      </c>
      <c r="CL56" s="53">
        <v>1</v>
      </c>
      <c r="CM56" s="507">
        <v>0</v>
      </c>
      <c r="CN56" s="380">
        <f t="shared" si="7"/>
        <v>0</v>
      </c>
      <c r="CO56" s="506">
        <v>0</v>
      </c>
      <c r="CP56" s="53">
        <v>1</v>
      </c>
      <c r="CQ56" s="507">
        <v>0</v>
      </c>
      <c r="CR56" s="380">
        <f t="shared" si="8"/>
        <v>0</v>
      </c>
      <c r="CS56" s="506">
        <v>0</v>
      </c>
      <c r="CT56" s="53">
        <v>1</v>
      </c>
      <c r="CU56" s="507">
        <v>0</v>
      </c>
      <c r="CV56" s="380">
        <f t="shared" si="9"/>
        <v>0</v>
      </c>
      <c r="CW56" s="506">
        <v>0</v>
      </c>
      <c r="CX56" s="53">
        <v>1</v>
      </c>
      <c r="CY56" s="507">
        <v>0</v>
      </c>
      <c r="CZ56" s="380">
        <f t="shared" si="10"/>
        <v>0</v>
      </c>
      <c r="DA56" s="506">
        <v>0</v>
      </c>
      <c r="DB56" s="53">
        <v>1</v>
      </c>
      <c r="DC56" s="507">
        <v>0</v>
      </c>
      <c r="DD56" s="380">
        <f t="shared" si="11"/>
        <v>0</v>
      </c>
      <c r="DE56" s="506">
        <v>0</v>
      </c>
      <c r="DF56" s="53">
        <v>1</v>
      </c>
      <c r="DG56" s="507">
        <v>0</v>
      </c>
      <c r="DH56" s="380">
        <f t="shared" si="12"/>
        <v>0</v>
      </c>
      <c r="DI56" s="506">
        <v>0</v>
      </c>
      <c r="DJ56" s="53">
        <v>1</v>
      </c>
      <c r="DK56" s="507">
        <v>0</v>
      </c>
      <c r="DL56" s="380">
        <f t="shared" si="13"/>
        <v>0</v>
      </c>
      <c r="DM56" s="506">
        <v>0</v>
      </c>
      <c r="DN56" s="53">
        <v>1</v>
      </c>
      <c r="DO56" s="507">
        <v>0</v>
      </c>
      <c r="DP56" s="380">
        <f t="shared" si="14"/>
        <v>0</v>
      </c>
      <c r="DQ56" s="506">
        <v>0</v>
      </c>
      <c r="DR56" s="53">
        <v>1</v>
      </c>
      <c r="DS56" s="507">
        <v>0</v>
      </c>
      <c r="DT56" s="380">
        <f t="shared" si="15"/>
        <v>0</v>
      </c>
      <c r="DU56" s="506">
        <v>0</v>
      </c>
      <c r="DV56" s="53">
        <v>1</v>
      </c>
      <c r="DW56" s="507">
        <v>0</v>
      </c>
      <c r="DX56" s="380">
        <f t="shared" si="16"/>
        <v>0</v>
      </c>
      <c r="DY56" s="506">
        <v>0</v>
      </c>
      <c r="DZ56" s="53">
        <v>1</v>
      </c>
      <c r="EA56" s="507">
        <v>0</v>
      </c>
      <c r="EB56" s="380">
        <f t="shared" si="17"/>
        <v>0</v>
      </c>
      <c r="EC56" s="506">
        <v>0</v>
      </c>
      <c r="ED56" s="53">
        <v>1</v>
      </c>
      <c r="EE56" s="507">
        <v>0</v>
      </c>
      <c r="EF56" s="380">
        <f t="shared" si="18"/>
        <v>0</v>
      </c>
      <c r="EG56" s="506">
        <v>0</v>
      </c>
      <c r="EH56" s="53">
        <v>1</v>
      </c>
      <c r="EI56" s="507">
        <v>0</v>
      </c>
      <c r="EJ56" s="380">
        <f t="shared" si="19"/>
        <v>0</v>
      </c>
      <c r="EK56" s="506">
        <v>0</v>
      </c>
      <c r="EL56" s="53">
        <v>1</v>
      </c>
      <c r="EM56" s="507">
        <v>0</v>
      </c>
      <c r="EN56" s="380">
        <f t="shared" si="20"/>
        <v>0</v>
      </c>
      <c r="EO56" s="506">
        <v>0</v>
      </c>
      <c r="EP56" s="53">
        <v>1</v>
      </c>
      <c r="EQ56" s="507">
        <v>0</v>
      </c>
      <c r="ER56" s="380">
        <f t="shared" si="21"/>
        <v>0</v>
      </c>
      <c r="ES56" s="506">
        <v>0</v>
      </c>
      <c r="ET56" s="53">
        <v>1</v>
      </c>
      <c r="EU56" s="507">
        <v>0</v>
      </c>
      <c r="EV56" s="380">
        <f t="shared" si="22"/>
        <v>0</v>
      </c>
      <c r="EW56" s="506">
        <v>0</v>
      </c>
      <c r="EX56" s="53">
        <v>1</v>
      </c>
      <c r="EY56" s="507">
        <v>0</v>
      </c>
      <c r="EZ56" s="380">
        <f t="shared" si="23"/>
        <v>0</v>
      </c>
      <c r="FA56" s="506">
        <v>0</v>
      </c>
      <c r="FB56" s="53">
        <v>1</v>
      </c>
      <c r="FC56" s="507">
        <v>0</v>
      </c>
      <c r="FD56" s="380">
        <f t="shared" si="24"/>
        <v>0</v>
      </c>
      <c r="FE56" s="506">
        <v>0</v>
      </c>
      <c r="FF56" s="53">
        <v>1</v>
      </c>
      <c r="FG56" s="507">
        <v>0</v>
      </c>
      <c r="FH56" s="380">
        <f t="shared" si="25"/>
        <v>0</v>
      </c>
      <c r="FI56" s="506">
        <v>0</v>
      </c>
      <c r="FJ56" s="53">
        <v>1</v>
      </c>
      <c r="FK56" s="507">
        <v>0</v>
      </c>
      <c r="FL56" s="380">
        <f t="shared" si="26"/>
        <v>0</v>
      </c>
      <c r="FM56" s="506">
        <v>0</v>
      </c>
      <c r="FN56" s="53">
        <v>1</v>
      </c>
      <c r="FO56" s="507">
        <v>0</v>
      </c>
      <c r="FP56" s="380">
        <f t="shared" si="27"/>
        <v>0</v>
      </c>
      <c r="FQ56" s="506">
        <v>0</v>
      </c>
      <c r="FR56" s="53">
        <v>1</v>
      </c>
      <c r="FS56" s="507">
        <v>0</v>
      </c>
      <c r="FT56" s="380">
        <f t="shared" si="28"/>
        <v>0</v>
      </c>
      <c r="FU56" s="506">
        <v>0</v>
      </c>
      <c r="FV56" s="53">
        <v>1</v>
      </c>
      <c r="FW56" s="507">
        <v>0</v>
      </c>
      <c r="FX56" s="380">
        <f t="shared" si="29"/>
        <v>0</v>
      </c>
      <c r="FY56" s="506">
        <v>0</v>
      </c>
      <c r="FZ56" s="53">
        <v>1</v>
      </c>
      <c r="GA56" s="507">
        <v>0</v>
      </c>
      <c r="GB56" s="380">
        <f t="shared" si="30"/>
        <v>0</v>
      </c>
      <c r="GC56" s="506">
        <v>0</v>
      </c>
      <c r="GD56" s="53">
        <v>1</v>
      </c>
      <c r="GE56" s="507">
        <v>0</v>
      </c>
      <c r="GF56" s="380">
        <f t="shared" si="31"/>
        <v>0</v>
      </c>
      <c r="GG56" s="506">
        <v>0</v>
      </c>
      <c r="GH56" s="53">
        <v>1</v>
      </c>
      <c r="GI56" s="507">
        <v>0</v>
      </c>
      <c r="GJ56" s="380">
        <f t="shared" si="32"/>
        <v>0</v>
      </c>
      <c r="GK56" s="506">
        <v>0</v>
      </c>
      <c r="GL56" s="53">
        <v>1</v>
      </c>
      <c r="GM56" s="507">
        <v>0</v>
      </c>
      <c r="GN56" s="380">
        <f t="shared" si="33"/>
        <v>0</v>
      </c>
      <c r="GO56" s="506">
        <v>0</v>
      </c>
      <c r="GP56" s="53">
        <v>1</v>
      </c>
      <c r="GQ56" s="507">
        <v>0</v>
      </c>
      <c r="GR56" s="380">
        <f t="shared" si="34"/>
        <v>0</v>
      </c>
      <c r="GS56" s="506">
        <v>0</v>
      </c>
      <c r="GT56" s="53">
        <v>1</v>
      </c>
      <c r="GU56" s="507">
        <v>0</v>
      </c>
      <c r="GV56" s="380">
        <f t="shared" si="35"/>
        <v>0</v>
      </c>
      <c r="GW56" s="506">
        <v>0</v>
      </c>
      <c r="GX56" s="53">
        <v>1</v>
      </c>
      <c r="GY56" s="507">
        <v>0</v>
      </c>
      <c r="GZ56" s="380">
        <f t="shared" si="36"/>
        <v>0</v>
      </c>
      <c r="HA56" s="506">
        <v>0</v>
      </c>
      <c r="HB56" s="53">
        <v>1</v>
      </c>
      <c r="HC56" s="507">
        <v>0</v>
      </c>
      <c r="HD56" s="380">
        <f t="shared" si="37"/>
        <v>0</v>
      </c>
      <c r="HE56" s="506">
        <v>0</v>
      </c>
      <c r="HF56" s="53">
        <v>1</v>
      </c>
      <c r="HG56" s="507">
        <v>0</v>
      </c>
      <c r="HH56" s="380">
        <f t="shared" si="38"/>
        <v>0</v>
      </c>
      <c r="HI56" s="506">
        <v>0</v>
      </c>
      <c r="HJ56" s="53">
        <v>1</v>
      </c>
      <c r="HK56" s="507">
        <v>0</v>
      </c>
      <c r="HL56" s="380">
        <f t="shared" si="39"/>
        <v>0</v>
      </c>
      <c r="HM56" s="506">
        <v>0</v>
      </c>
      <c r="HN56" s="53">
        <v>1</v>
      </c>
      <c r="HO56" s="507">
        <v>0</v>
      </c>
      <c r="HP56" s="380">
        <f t="shared" si="40"/>
        <v>0</v>
      </c>
      <c r="HQ56" s="506">
        <v>0</v>
      </c>
      <c r="HR56" s="53">
        <v>1</v>
      </c>
      <c r="HS56" s="507">
        <v>0</v>
      </c>
      <c r="HT56" s="380">
        <f t="shared" si="41"/>
        <v>0</v>
      </c>
      <c r="HU56" s="506">
        <v>0</v>
      </c>
      <c r="HV56" s="53">
        <v>1</v>
      </c>
      <c r="HW56" s="507">
        <v>0</v>
      </c>
      <c r="HX56" s="380">
        <f t="shared" si="42"/>
        <v>0</v>
      </c>
      <c r="HY56" s="506">
        <v>0</v>
      </c>
      <c r="HZ56" s="53">
        <v>1</v>
      </c>
      <c r="IA56" s="507">
        <v>0</v>
      </c>
      <c r="IB56" s="380">
        <f t="shared" si="43"/>
        <v>0</v>
      </c>
      <c r="IC56" s="506">
        <v>0</v>
      </c>
      <c r="ID56" s="53">
        <v>1</v>
      </c>
      <c r="IE56" s="507">
        <v>0</v>
      </c>
      <c r="IF56" s="380">
        <f t="shared" si="44"/>
        <v>0</v>
      </c>
      <c r="IG56" s="506">
        <v>0</v>
      </c>
      <c r="IH56" s="53">
        <v>1</v>
      </c>
      <c r="II56" s="507">
        <v>0</v>
      </c>
      <c r="IJ56" s="380">
        <f t="shared" si="45"/>
        <v>0</v>
      </c>
      <c r="IK56" s="506">
        <v>0</v>
      </c>
      <c r="IL56" s="53">
        <v>1</v>
      </c>
      <c r="IM56" s="507">
        <v>0</v>
      </c>
      <c r="IN56" s="380">
        <f t="shared" si="46"/>
        <v>0</v>
      </c>
      <c r="IO56" s="506">
        <v>0</v>
      </c>
      <c r="IP56" s="53">
        <v>1</v>
      </c>
      <c r="IQ56" s="507">
        <v>0</v>
      </c>
      <c r="IR56" s="380">
        <f t="shared" si="47"/>
        <v>0</v>
      </c>
      <c r="IS56" s="506">
        <v>0</v>
      </c>
      <c r="IT56" s="53">
        <v>1</v>
      </c>
      <c r="IU56" s="507">
        <v>0</v>
      </c>
      <c r="IV56" s="380">
        <f t="shared" si="48"/>
        <v>0</v>
      </c>
      <c r="IW56" s="506">
        <v>0</v>
      </c>
      <c r="IX56" s="53">
        <v>1</v>
      </c>
      <c r="IY56" s="507">
        <v>0</v>
      </c>
      <c r="IZ56" s="380">
        <f t="shared" si="49"/>
        <v>0</v>
      </c>
    </row>
    <row r="57" spans="1:260">
      <c r="A57" s="13" t="s">
        <v>603</v>
      </c>
      <c r="B57" s="13" t="s">
        <v>604</v>
      </c>
      <c r="C57" s="13" t="s">
        <v>193</v>
      </c>
      <c r="D57" s="13" t="s">
        <v>336</v>
      </c>
      <c r="E57" s="13" t="s">
        <v>2</v>
      </c>
      <c r="F57" s="13" t="s">
        <v>605</v>
      </c>
      <c r="G57" s="13" t="s">
        <v>606</v>
      </c>
      <c r="H57" s="49" t="s">
        <v>607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50"/>
        <v>0</v>
      </c>
      <c r="L57" s="506">
        <v>0</v>
      </c>
      <c r="M57" s="53">
        <v>1</v>
      </c>
      <c r="N57" s="507">
        <v>0</v>
      </c>
      <c r="O57" s="506">
        <v>0</v>
      </c>
      <c r="P57" s="53">
        <v>1</v>
      </c>
      <c r="Q57" s="507">
        <v>0</v>
      </c>
      <c r="R57" s="506">
        <v>0</v>
      </c>
      <c r="S57" s="53">
        <v>1</v>
      </c>
      <c r="T57" s="507">
        <v>0</v>
      </c>
      <c r="U57" s="506">
        <v>0</v>
      </c>
      <c r="V57" s="53">
        <v>1</v>
      </c>
      <c r="W57" s="507">
        <v>0</v>
      </c>
      <c r="X57" s="506">
        <v>0</v>
      </c>
      <c r="Y57" s="53">
        <v>1</v>
      </c>
      <c r="Z57" s="507">
        <v>0</v>
      </c>
      <c r="AA57" s="506">
        <v>0</v>
      </c>
      <c r="AB57" s="53">
        <v>1</v>
      </c>
      <c r="AC57" s="507">
        <v>0</v>
      </c>
      <c r="AD57" s="506">
        <v>0</v>
      </c>
      <c r="AE57" s="53">
        <v>1</v>
      </c>
      <c r="AF57" s="507">
        <v>0</v>
      </c>
      <c r="AG57" s="506">
        <v>0</v>
      </c>
      <c r="AH57" s="53">
        <v>1</v>
      </c>
      <c r="AI57" s="507">
        <v>0</v>
      </c>
      <c r="AJ57" s="506">
        <v>0</v>
      </c>
      <c r="AK57" s="53">
        <v>1</v>
      </c>
      <c r="AL57" s="507">
        <v>0</v>
      </c>
      <c r="AM57" s="506">
        <v>0</v>
      </c>
      <c r="AN57" s="53">
        <v>1</v>
      </c>
      <c r="AO57" s="507">
        <v>0</v>
      </c>
      <c r="AP57" s="506">
        <v>0</v>
      </c>
      <c r="AQ57" s="53">
        <v>1</v>
      </c>
      <c r="AR57" s="507">
        <v>0</v>
      </c>
      <c r="AS57" s="506">
        <v>0</v>
      </c>
      <c r="AT57" s="53">
        <v>1</v>
      </c>
      <c r="AU57" s="507">
        <v>0</v>
      </c>
      <c r="AV57" s="506">
        <v>0</v>
      </c>
      <c r="AW57" s="53">
        <v>1</v>
      </c>
      <c r="AX57" s="507">
        <v>0</v>
      </c>
      <c r="AY57" s="506">
        <v>0</v>
      </c>
      <c r="AZ57" s="53">
        <v>1</v>
      </c>
      <c r="BA57" s="507">
        <v>0</v>
      </c>
      <c r="BB57" s="506">
        <v>0</v>
      </c>
      <c r="BC57" s="53">
        <v>1</v>
      </c>
      <c r="BD57" s="507">
        <v>0</v>
      </c>
      <c r="BE57" s="506">
        <v>0</v>
      </c>
      <c r="BF57" s="53">
        <v>1</v>
      </c>
      <c r="BG57" s="507">
        <v>0</v>
      </c>
      <c r="BH57" s="380">
        <f t="shared" si="0"/>
        <v>-1</v>
      </c>
      <c r="BI57" s="506">
        <v>0</v>
      </c>
      <c r="BJ57" s="53">
        <v>1</v>
      </c>
      <c r="BK57" s="507">
        <v>0</v>
      </c>
      <c r="BL57" s="380">
        <f t="shared" si="1"/>
        <v>0</v>
      </c>
      <c r="BM57" s="506">
        <v>0</v>
      </c>
      <c r="BN57" s="53">
        <v>1</v>
      </c>
      <c r="BO57" s="507">
        <v>0</v>
      </c>
      <c r="BP57">
        <v>0</v>
      </c>
      <c r="BQ57" s="506">
        <v>0</v>
      </c>
      <c r="BR57" s="53">
        <v>1</v>
      </c>
      <c r="BS57" s="507">
        <v>0</v>
      </c>
      <c r="BT57" s="380">
        <f t="shared" si="2"/>
        <v>0</v>
      </c>
      <c r="BU57" s="506">
        <v>0</v>
      </c>
      <c r="BV57" s="53">
        <v>1</v>
      </c>
      <c r="BW57" s="507">
        <v>0</v>
      </c>
      <c r="BX57" s="380">
        <f t="shared" si="3"/>
        <v>0</v>
      </c>
      <c r="BY57" s="506">
        <v>0</v>
      </c>
      <c r="BZ57" s="53">
        <v>1</v>
      </c>
      <c r="CA57" s="507">
        <v>0</v>
      </c>
      <c r="CB57" s="380">
        <f t="shared" si="4"/>
        <v>0</v>
      </c>
      <c r="CC57" s="506">
        <v>0</v>
      </c>
      <c r="CD57" s="53">
        <v>1</v>
      </c>
      <c r="CE57" s="507">
        <v>0</v>
      </c>
      <c r="CF57" s="380">
        <f t="shared" si="5"/>
        <v>0</v>
      </c>
      <c r="CG57" s="506">
        <v>0</v>
      </c>
      <c r="CH57" s="53">
        <v>1</v>
      </c>
      <c r="CI57" s="507">
        <v>0</v>
      </c>
      <c r="CJ57" s="380">
        <f t="shared" si="6"/>
        <v>0</v>
      </c>
      <c r="CK57" s="506">
        <v>0</v>
      </c>
      <c r="CL57" s="53">
        <v>1</v>
      </c>
      <c r="CM57" s="507">
        <v>0</v>
      </c>
      <c r="CN57" s="380">
        <f t="shared" si="7"/>
        <v>0</v>
      </c>
      <c r="CO57" s="506">
        <v>0</v>
      </c>
      <c r="CP57" s="53">
        <v>1</v>
      </c>
      <c r="CQ57" s="507">
        <v>0</v>
      </c>
      <c r="CR57" s="380">
        <f t="shared" si="8"/>
        <v>0</v>
      </c>
      <c r="CS57" s="506">
        <v>0</v>
      </c>
      <c r="CT57" s="53">
        <v>1</v>
      </c>
      <c r="CU57" s="507">
        <v>0</v>
      </c>
      <c r="CV57" s="380">
        <f t="shared" si="9"/>
        <v>0</v>
      </c>
      <c r="CW57" s="506">
        <v>0</v>
      </c>
      <c r="CX57" s="53">
        <v>1</v>
      </c>
      <c r="CY57" s="507">
        <v>0</v>
      </c>
      <c r="CZ57" s="380">
        <f t="shared" si="10"/>
        <v>0</v>
      </c>
      <c r="DA57" s="506">
        <v>0</v>
      </c>
      <c r="DB57" s="53">
        <v>1</v>
      </c>
      <c r="DC57" s="507">
        <v>0</v>
      </c>
      <c r="DD57" s="380">
        <f t="shared" si="11"/>
        <v>0</v>
      </c>
      <c r="DE57" s="506">
        <v>-285048.95</v>
      </c>
      <c r="DF57" s="53">
        <v>1</v>
      </c>
      <c r="DG57" s="507">
        <v>-285048.95</v>
      </c>
      <c r="DH57" s="380">
        <f t="shared" si="12"/>
        <v>-285048.95</v>
      </c>
      <c r="DI57" s="506">
        <v>0</v>
      </c>
      <c r="DJ57" s="53">
        <v>1</v>
      </c>
      <c r="DK57" s="507">
        <v>0</v>
      </c>
      <c r="DL57" s="380">
        <f t="shared" si="13"/>
        <v>285048.95</v>
      </c>
      <c r="DM57" s="506">
        <v>0</v>
      </c>
      <c r="DN57" s="53">
        <v>1</v>
      </c>
      <c r="DO57" s="507">
        <v>0</v>
      </c>
      <c r="DP57" s="380">
        <f t="shared" si="14"/>
        <v>0</v>
      </c>
      <c r="DQ57" s="506">
        <v>0</v>
      </c>
      <c r="DR57" s="53">
        <v>1</v>
      </c>
      <c r="DS57" s="507">
        <v>0</v>
      </c>
      <c r="DT57" s="380">
        <f t="shared" si="15"/>
        <v>0</v>
      </c>
      <c r="DU57" s="506">
        <v>0</v>
      </c>
      <c r="DV57" s="53">
        <v>1</v>
      </c>
      <c r="DW57" s="507">
        <v>0</v>
      </c>
      <c r="DX57" s="380">
        <f t="shared" si="16"/>
        <v>0</v>
      </c>
      <c r="DY57" s="506">
        <v>0</v>
      </c>
      <c r="DZ57" s="53">
        <v>1</v>
      </c>
      <c r="EA57" s="507">
        <v>0</v>
      </c>
      <c r="EB57" s="380">
        <f t="shared" si="17"/>
        <v>0</v>
      </c>
      <c r="EC57" s="506">
        <v>0</v>
      </c>
      <c r="ED57" s="53">
        <v>1</v>
      </c>
      <c r="EE57" s="507">
        <v>0</v>
      </c>
      <c r="EF57" s="380">
        <f t="shared" si="18"/>
        <v>0</v>
      </c>
      <c r="EG57" s="506">
        <v>0</v>
      </c>
      <c r="EH57" s="53">
        <v>1</v>
      </c>
      <c r="EI57" s="507">
        <v>0</v>
      </c>
      <c r="EJ57" s="380">
        <f t="shared" si="19"/>
        <v>0</v>
      </c>
      <c r="EK57" s="506">
        <v>0</v>
      </c>
      <c r="EL57" s="53">
        <v>1</v>
      </c>
      <c r="EM57" s="507">
        <v>0</v>
      </c>
      <c r="EN57" s="380">
        <f t="shared" si="20"/>
        <v>0</v>
      </c>
      <c r="EO57" s="506">
        <v>0</v>
      </c>
      <c r="EP57" s="53">
        <v>1</v>
      </c>
      <c r="EQ57" s="507">
        <v>0</v>
      </c>
      <c r="ER57" s="380">
        <f t="shared" si="21"/>
        <v>0</v>
      </c>
      <c r="ES57" s="506">
        <v>0</v>
      </c>
      <c r="ET57" s="53">
        <v>1</v>
      </c>
      <c r="EU57" s="507">
        <v>0</v>
      </c>
      <c r="EV57" s="380">
        <f t="shared" si="22"/>
        <v>0</v>
      </c>
      <c r="EW57" s="506">
        <v>0</v>
      </c>
      <c r="EX57" s="53">
        <v>1</v>
      </c>
      <c r="EY57" s="507">
        <v>0</v>
      </c>
      <c r="EZ57" s="380">
        <f t="shared" si="23"/>
        <v>0</v>
      </c>
      <c r="FA57" s="506">
        <v>0</v>
      </c>
      <c r="FB57" s="53">
        <v>1</v>
      </c>
      <c r="FC57" s="507">
        <v>0</v>
      </c>
      <c r="FD57" s="380">
        <f t="shared" si="24"/>
        <v>0</v>
      </c>
      <c r="FE57" s="506">
        <v>0</v>
      </c>
      <c r="FF57" s="53">
        <v>1</v>
      </c>
      <c r="FG57" s="507">
        <v>0</v>
      </c>
      <c r="FH57" s="380">
        <f t="shared" si="25"/>
        <v>0</v>
      </c>
      <c r="FI57" s="506">
        <v>0</v>
      </c>
      <c r="FJ57" s="53">
        <v>1</v>
      </c>
      <c r="FK57" s="507">
        <v>0</v>
      </c>
      <c r="FL57" s="380">
        <f t="shared" si="26"/>
        <v>0</v>
      </c>
      <c r="FM57" s="506">
        <v>0</v>
      </c>
      <c r="FN57" s="53">
        <v>1</v>
      </c>
      <c r="FO57" s="507">
        <v>0</v>
      </c>
      <c r="FP57" s="380">
        <f t="shared" si="27"/>
        <v>0</v>
      </c>
      <c r="FQ57" s="506">
        <v>0</v>
      </c>
      <c r="FR57" s="53">
        <v>1</v>
      </c>
      <c r="FS57" s="507">
        <v>0</v>
      </c>
      <c r="FT57" s="380">
        <f t="shared" si="28"/>
        <v>0</v>
      </c>
      <c r="FU57" s="506">
        <v>0</v>
      </c>
      <c r="FV57" s="53">
        <v>1</v>
      </c>
      <c r="FW57" s="507">
        <v>0</v>
      </c>
      <c r="FX57" s="380">
        <f t="shared" si="29"/>
        <v>0</v>
      </c>
      <c r="FY57" s="506">
        <v>0</v>
      </c>
      <c r="FZ57" s="53">
        <v>1</v>
      </c>
      <c r="GA57" s="507">
        <v>0</v>
      </c>
      <c r="GB57" s="380">
        <f t="shared" si="30"/>
        <v>0</v>
      </c>
      <c r="GC57" s="506">
        <v>0</v>
      </c>
      <c r="GD57" s="53">
        <v>1</v>
      </c>
      <c r="GE57" s="507">
        <v>0</v>
      </c>
      <c r="GF57" s="380">
        <f t="shared" si="31"/>
        <v>0</v>
      </c>
      <c r="GG57" s="506">
        <v>0</v>
      </c>
      <c r="GH57" s="53">
        <v>1</v>
      </c>
      <c r="GI57" s="507">
        <v>0</v>
      </c>
      <c r="GJ57" s="380">
        <f t="shared" si="32"/>
        <v>0</v>
      </c>
      <c r="GK57" s="506">
        <v>0</v>
      </c>
      <c r="GL57" s="53">
        <v>1</v>
      </c>
      <c r="GM57" s="507">
        <v>0</v>
      </c>
      <c r="GN57" s="380">
        <f t="shared" si="33"/>
        <v>0</v>
      </c>
      <c r="GO57" s="506">
        <v>0</v>
      </c>
      <c r="GP57" s="53">
        <v>1</v>
      </c>
      <c r="GQ57" s="507">
        <v>0</v>
      </c>
      <c r="GR57" s="380">
        <f t="shared" si="34"/>
        <v>0</v>
      </c>
      <c r="GS57" s="506">
        <v>0</v>
      </c>
      <c r="GT57" s="53">
        <v>1</v>
      </c>
      <c r="GU57" s="507">
        <v>0</v>
      </c>
      <c r="GV57" s="380">
        <f t="shared" si="35"/>
        <v>0</v>
      </c>
      <c r="GW57" s="506">
        <v>0</v>
      </c>
      <c r="GX57" s="53">
        <v>1</v>
      </c>
      <c r="GY57" s="507">
        <v>0</v>
      </c>
      <c r="GZ57" s="380">
        <f t="shared" si="36"/>
        <v>0</v>
      </c>
      <c r="HA57" s="506">
        <v>0</v>
      </c>
      <c r="HB57" s="53">
        <v>1</v>
      </c>
      <c r="HC57" s="507">
        <v>0</v>
      </c>
      <c r="HD57" s="380">
        <f t="shared" si="37"/>
        <v>0</v>
      </c>
      <c r="HE57" s="506">
        <v>0</v>
      </c>
      <c r="HF57" s="53">
        <v>1</v>
      </c>
      <c r="HG57" s="507">
        <v>0</v>
      </c>
      <c r="HH57" s="380">
        <f t="shared" si="38"/>
        <v>0</v>
      </c>
      <c r="HI57" s="506">
        <v>0</v>
      </c>
      <c r="HJ57" s="53">
        <v>1</v>
      </c>
      <c r="HK57" s="507">
        <v>0</v>
      </c>
      <c r="HL57" s="380">
        <f t="shared" si="39"/>
        <v>0</v>
      </c>
      <c r="HM57" s="506">
        <v>0</v>
      </c>
      <c r="HN57" s="53">
        <v>1</v>
      </c>
      <c r="HO57" s="507">
        <v>0</v>
      </c>
      <c r="HP57" s="380">
        <f t="shared" si="40"/>
        <v>0</v>
      </c>
      <c r="HQ57" s="506">
        <v>0</v>
      </c>
      <c r="HR57" s="53">
        <v>1</v>
      </c>
      <c r="HS57" s="507">
        <v>0</v>
      </c>
      <c r="HT57" s="380">
        <f t="shared" si="41"/>
        <v>0</v>
      </c>
      <c r="HU57" s="506">
        <v>0</v>
      </c>
      <c r="HV57" s="53">
        <v>1</v>
      </c>
      <c r="HW57" s="507">
        <v>0</v>
      </c>
      <c r="HX57" s="380">
        <f t="shared" si="42"/>
        <v>0</v>
      </c>
      <c r="HY57" s="506">
        <v>0</v>
      </c>
      <c r="HZ57" s="53">
        <v>1</v>
      </c>
      <c r="IA57" s="507">
        <v>0</v>
      </c>
      <c r="IB57" s="380">
        <f t="shared" si="43"/>
        <v>0</v>
      </c>
      <c r="IC57" s="506">
        <v>0</v>
      </c>
      <c r="ID57" s="53">
        <v>1</v>
      </c>
      <c r="IE57" s="507">
        <v>0</v>
      </c>
      <c r="IF57" s="380">
        <f t="shared" si="44"/>
        <v>0</v>
      </c>
      <c r="IG57" s="506">
        <v>0</v>
      </c>
      <c r="IH57" s="53">
        <v>1</v>
      </c>
      <c r="II57" s="507">
        <v>0</v>
      </c>
      <c r="IJ57" s="380">
        <f t="shared" si="45"/>
        <v>0</v>
      </c>
      <c r="IK57" s="506">
        <v>0</v>
      </c>
      <c r="IL57" s="53">
        <v>1</v>
      </c>
      <c r="IM57" s="507">
        <v>0</v>
      </c>
      <c r="IN57" s="380">
        <f t="shared" si="46"/>
        <v>0</v>
      </c>
      <c r="IO57" s="506">
        <v>0</v>
      </c>
      <c r="IP57" s="53">
        <v>1</v>
      </c>
      <c r="IQ57" s="507">
        <v>0</v>
      </c>
      <c r="IR57" s="380">
        <f t="shared" si="47"/>
        <v>0</v>
      </c>
      <c r="IS57" s="506">
        <v>0</v>
      </c>
      <c r="IT57" s="53">
        <v>1</v>
      </c>
      <c r="IU57" s="507">
        <v>0</v>
      </c>
      <c r="IV57" s="380">
        <f t="shared" si="48"/>
        <v>0</v>
      </c>
      <c r="IW57" s="506">
        <v>0</v>
      </c>
      <c r="IX57" s="53">
        <v>1</v>
      </c>
      <c r="IY57" s="507">
        <v>0</v>
      </c>
      <c r="IZ57" s="380">
        <f t="shared" si="49"/>
        <v>0</v>
      </c>
    </row>
    <row r="58" spans="1:260">
      <c r="A58" s="13" t="s">
        <v>608</v>
      </c>
      <c r="B58" s="13" t="s">
        <v>609</v>
      </c>
      <c r="C58" s="13" t="s">
        <v>579</v>
      </c>
      <c r="D58" s="13" t="s">
        <v>336</v>
      </c>
      <c r="E58" s="13" t="s">
        <v>5</v>
      </c>
      <c r="F58" s="13">
        <v>23885920731940</v>
      </c>
      <c r="G58" s="13" t="s">
        <v>610</v>
      </c>
      <c r="H58" s="13" t="s">
        <v>543</v>
      </c>
      <c r="I58" s="14" t="s">
        <v>494</v>
      </c>
      <c r="J58" s="14">
        <f>+VLOOKUP(E58,'Summary - Colar'!$M$39:$N$54,2,FALSE)</f>
        <v>1.1608000000000001</v>
      </c>
      <c r="K58" s="14"/>
      <c r="L58" s="506" t="s">
        <v>494</v>
      </c>
      <c r="M58" s="53">
        <v>1.0393499809660025</v>
      </c>
      <c r="N58" s="507"/>
      <c r="O58" s="506" t="s">
        <v>494</v>
      </c>
      <c r="P58" s="53">
        <v>1.0296499958937868</v>
      </c>
      <c r="Q58" s="507"/>
      <c r="R58" s="506" t="s">
        <v>494</v>
      </c>
      <c r="S58" s="53">
        <v>1.0305500350713117</v>
      </c>
      <c r="T58" s="507"/>
      <c r="U58" s="506" t="s">
        <v>494</v>
      </c>
      <c r="V58" s="53">
        <v>1.0294499127813821</v>
      </c>
      <c r="W58" s="507"/>
      <c r="X58" s="506" t="s">
        <v>494</v>
      </c>
      <c r="Y58" s="53">
        <v>1.0474500171045873</v>
      </c>
      <c r="Z58" s="507"/>
      <c r="AA58" s="506" t="s">
        <v>494</v>
      </c>
      <c r="AB58" s="53">
        <v>1.0384500241697678</v>
      </c>
      <c r="AC58" s="507"/>
      <c r="AD58" s="506" t="s">
        <v>494</v>
      </c>
      <c r="AE58" s="53">
        <v>1.0375500183032278</v>
      </c>
      <c r="AF58" s="507"/>
      <c r="AG58" s="506" t="s">
        <v>494</v>
      </c>
      <c r="AH58" s="53">
        <v>1.047149991583058</v>
      </c>
      <c r="AI58" s="507"/>
      <c r="AJ58" s="506" t="s">
        <v>494</v>
      </c>
      <c r="AK58" s="53">
        <v>1.0461499902620313</v>
      </c>
      <c r="AL58" s="507"/>
      <c r="AM58" s="506" t="s">
        <v>494</v>
      </c>
      <c r="AN58" s="53">
        <v>1.0407499836552325</v>
      </c>
      <c r="AO58" s="507"/>
      <c r="AP58" s="506" t="s">
        <v>494</v>
      </c>
      <c r="AQ58" s="53">
        <v>1.0854500032344994</v>
      </c>
      <c r="AR58" s="507"/>
      <c r="AS58" s="506" t="s">
        <v>494</v>
      </c>
      <c r="AT58" s="53">
        <v>1.08935</v>
      </c>
      <c r="AU58" s="507"/>
      <c r="AV58" s="506" t="s">
        <v>494</v>
      </c>
      <c r="AW58" s="53">
        <v>1.0830999858771673</v>
      </c>
      <c r="AX58" s="507"/>
      <c r="AY58" s="506" t="s">
        <v>494</v>
      </c>
      <c r="AZ58" s="53">
        <v>1.0787497944244075</v>
      </c>
      <c r="BA58" s="507"/>
      <c r="BB58" s="506" t="s">
        <v>494</v>
      </c>
      <c r="BC58" s="53">
        <v>1.0820998826422146</v>
      </c>
      <c r="BD58" s="507"/>
      <c r="BE58" s="506" t="s">
        <v>494</v>
      </c>
      <c r="BF58" s="53">
        <v>1.0781999853387405</v>
      </c>
      <c r="BG58" s="507"/>
      <c r="BH58" s="380">
        <f t="shared" si="0"/>
        <v>-1.0820998826422146</v>
      </c>
      <c r="BI58" s="506" t="s">
        <v>494</v>
      </c>
      <c r="BJ58" s="53">
        <v>1.0803999989493438</v>
      </c>
      <c r="BK58" s="507"/>
      <c r="BL58" s="380">
        <f t="shared" si="1"/>
        <v>0</v>
      </c>
      <c r="BM58" s="506" t="s">
        <v>494</v>
      </c>
      <c r="BN58" s="53">
        <v>1.1088499954694768</v>
      </c>
      <c r="BO58" s="507"/>
      <c r="BP58">
        <v>0</v>
      </c>
      <c r="BQ58" s="506" t="s">
        <v>494</v>
      </c>
      <c r="BR58" s="53">
        <v>1.1058499740160905</v>
      </c>
      <c r="BS58" s="507"/>
      <c r="BT58" s="380">
        <f t="shared" si="2"/>
        <v>0</v>
      </c>
      <c r="BU58" s="506" t="s">
        <v>494</v>
      </c>
      <c r="BV58" s="53">
        <v>1.0967500172467883</v>
      </c>
      <c r="BW58" s="507"/>
      <c r="BX58" s="380">
        <f t="shared" si="3"/>
        <v>0</v>
      </c>
      <c r="BY58" s="506" t="s">
        <v>494</v>
      </c>
      <c r="BZ58" s="53">
        <v>1.0935500267747675</v>
      </c>
      <c r="CA58" s="507"/>
      <c r="CB58" s="380">
        <f t="shared" si="4"/>
        <v>0</v>
      </c>
      <c r="CC58" s="506" t="s">
        <v>494</v>
      </c>
      <c r="CD58" s="53">
        <v>1.1035500028504495</v>
      </c>
      <c r="CE58" s="507"/>
      <c r="CF58" s="380">
        <f t="shared" si="5"/>
        <v>0</v>
      </c>
      <c r="CG58" s="506" t="s">
        <v>494</v>
      </c>
      <c r="CH58" s="53">
        <v>1.1071500373751093</v>
      </c>
      <c r="CI58" s="507"/>
      <c r="CJ58" s="380">
        <f t="shared" si="6"/>
        <v>0</v>
      </c>
      <c r="CK58" s="506" t="s">
        <v>494</v>
      </c>
      <c r="CL58" s="53">
        <v>1.1331000481425468</v>
      </c>
      <c r="CM58" s="507"/>
      <c r="CN58" s="380">
        <f t="shared" si="7"/>
        <v>0</v>
      </c>
      <c r="CO58" s="506" t="s">
        <v>494</v>
      </c>
      <c r="CP58" s="53">
        <v>1.1381500166600167</v>
      </c>
      <c r="CQ58" s="507"/>
      <c r="CR58" s="380">
        <f t="shared" si="8"/>
        <v>0</v>
      </c>
      <c r="CS58" s="506" t="s">
        <v>494</v>
      </c>
      <c r="CT58" s="53">
        <v>1.1324499897732652</v>
      </c>
      <c r="CU58" s="507"/>
      <c r="CV58" s="380">
        <f t="shared" si="9"/>
        <v>0</v>
      </c>
      <c r="CW58" s="506" t="s">
        <v>494</v>
      </c>
      <c r="CX58" s="53">
        <v>1.1362500452178652</v>
      </c>
      <c r="CY58" s="507"/>
      <c r="CZ58" s="380">
        <f t="shared" si="10"/>
        <v>0</v>
      </c>
      <c r="DA58" s="506" t="s">
        <v>494</v>
      </c>
      <c r="DB58" s="53">
        <v>1.1363000964193748</v>
      </c>
      <c r="DC58" s="507"/>
      <c r="DD58" s="380">
        <f t="shared" si="11"/>
        <v>0</v>
      </c>
      <c r="DE58" s="506" t="s">
        <v>494</v>
      </c>
      <c r="DF58" s="53">
        <v>1.1544499930632772</v>
      </c>
      <c r="DG58" s="507"/>
      <c r="DH58" s="380">
        <f t="shared" si="12"/>
        <v>0</v>
      </c>
      <c r="DI58" s="506" t="s">
        <v>494</v>
      </c>
      <c r="DJ58" s="53">
        <v>1.1486000091425401</v>
      </c>
      <c r="DK58" s="507"/>
      <c r="DL58" s="380">
        <f t="shared" si="13"/>
        <v>0</v>
      </c>
      <c r="DM58" s="506" t="s">
        <v>494</v>
      </c>
      <c r="DN58" s="53">
        <v>1.1410499781207057</v>
      </c>
      <c r="DO58" s="507"/>
      <c r="DP58" s="380">
        <f t="shared" si="14"/>
        <v>0</v>
      </c>
      <c r="DQ58" s="506" t="s">
        <v>494</v>
      </c>
      <c r="DR58" s="53">
        <v>1.135249966573922</v>
      </c>
      <c r="DS58" s="507"/>
      <c r="DT58" s="380">
        <f t="shared" si="15"/>
        <v>0</v>
      </c>
      <c r="DU58" s="506" t="s">
        <v>494</v>
      </c>
      <c r="DV58" s="53">
        <v>1.1318500296229566</v>
      </c>
      <c r="DW58" s="507"/>
      <c r="DX58" s="380">
        <f t="shared" si="16"/>
        <v>0</v>
      </c>
      <c r="DY58" s="506" t="s">
        <v>494</v>
      </c>
      <c r="DZ58" s="53">
        <v>1.1345499999999999</v>
      </c>
      <c r="EA58" s="507"/>
      <c r="EB58" s="380">
        <f t="shared" si="17"/>
        <v>0</v>
      </c>
      <c r="EC58" s="506" t="s">
        <v>494</v>
      </c>
      <c r="ED58" s="53">
        <v>1.13425</v>
      </c>
      <c r="EE58" s="507"/>
      <c r="EF58" s="380">
        <f t="shared" si="18"/>
        <v>0</v>
      </c>
      <c r="EG58" s="506" t="s">
        <v>494</v>
      </c>
      <c r="EH58" s="53">
        <v>1.1326499999999999</v>
      </c>
      <c r="EI58" s="507"/>
      <c r="EJ58" s="380">
        <f t="shared" si="19"/>
        <v>0</v>
      </c>
      <c r="EK58" s="506" t="s">
        <v>494</v>
      </c>
      <c r="EL58" s="53">
        <v>1.13575</v>
      </c>
      <c r="EM58" s="507"/>
      <c r="EN58" s="380">
        <f t="shared" si="20"/>
        <v>0</v>
      </c>
      <c r="EO58" s="506" t="s">
        <v>494</v>
      </c>
      <c r="EP58" s="53">
        <v>1.1295500000000001</v>
      </c>
      <c r="EQ58" s="507"/>
      <c r="ER58" s="380">
        <f t="shared" si="21"/>
        <v>0</v>
      </c>
      <c r="ES58" s="506" t="s">
        <v>494</v>
      </c>
      <c r="ET58" s="53">
        <v>1.1253500000000001</v>
      </c>
      <c r="EU58" s="507"/>
      <c r="EV58" s="380">
        <f t="shared" si="22"/>
        <v>0</v>
      </c>
      <c r="EW58" s="506" t="s">
        <v>494</v>
      </c>
      <c r="EX58" s="53">
        <v>1.1109500000000001</v>
      </c>
      <c r="EY58" s="507"/>
      <c r="EZ58" s="380">
        <f t="shared" si="23"/>
        <v>0</v>
      </c>
      <c r="FA58" s="506" t="s">
        <v>494</v>
      </c>
      <c r="FB58" s="53">
        <v>1.1105499999999999</v>
      </c>
      <c r="FC58" s="507"/>
      <c r="FD58" s="380">
        <f t="shared" si="24"/>
        <v>0</v>
      </c>
      <c r="FE58" s="506" t="s">
        <v>494</v>
      </c>
      <c r="FF58" s="53">
        <v>1.12155</v>
      </c>
      <c r="FG58" s="507"/>
      <c r="FH58" s="380">
        <f t="shared" si="25"/>
        <v>0</v>
      </c>
      <c r="FI58" s="506" t="s">
        <v>494</v>
      </c>
      <c r="FJ58" s="53">
        <v>1.1194</v>
      </c>
      <c r="FK58" s="507"/>
      <c r="FL58" s="380">
        <f t="shared" si="26"/>
        <v>0</v>
      </c>
      <c r="FM58" s="506" t="s">
        <v>494</v>
      </c>
      <c r="FN58" s="53">
        <v>1.1271500000000001</v>
      </c>
      <c r="FO58" s="507"/>
      <c r="FP58" s="380">
        <f t="shared" si="27"/>
        <v>0</v>
      </c>
      <c r="FQ58" s="506" t="s">
        <v>494</v>
      </c>
      <c r="FR58" s="53">
        <v>1.1245499999999999</v>
      </c>
      <c r="FS58" s="507"/>
      <c r="FT58" s="380">
        <f t="shared" si="28"/>
        <v>0</v>
      </c>
      <c r="FU58" s="506" t="s">
        <v>494</v>
      </c>
      <c r="FV58" s="53">
        <v>1.13215</v>
      </c>
      <c r="FW58" s="507"/>
      <c r="FX58" s="380">
        <f t="shared" si="29"/>
        <v>0</v>
      </c>
      <c r="FY58" s="506" t="s">
        <v>494</v>
      </c>
      <c r="FZ58" s="53">
        <v>1.1327499999999999</v>
      </c>
      <c r="GA58" s="507"/>
      <c r="GB58" s="380">
        <f t="shared" si="30"/>
        <v>0</v>
      </c>
      <c r="GC58" s="506" t="s">
        <v>494</v>
      </c>
      <c r="GD58" s="53">
        <v>1.13775</v>
      </c>
      <c r="GE58" s="507"/>
      <c r="GF58" s="380">
        <f t="shared" si="31"/>
        <v>0</v>
      </c>
      <c r="GG58" s="506" t="s">
        <v>494</v>
      </c>
      <c r="GH58" s="53">
        <v>1.1352500000000001</v>
      </c>
      <c r="GI58" s="507"/>
      <c r="GJ58" s="380">
        <f t="shared" si="32"/>
        <v>0</v>
      </c>
      <c r="GK58" s="506" t="s">
        <v>494</v>
      </c>
      <c r="GL58" s="53">
        <v>1.1318999999999999</v>
      </c>
      <c r="GM58" s="507"/>
      <c r="GN58" s="380">
        <f t="shared" si="33"/>
        <v>0</v>
      </c>
      <c r="GO58" s="506" t="s">
        <v>494</v>
      </c>
      <c r="GP58" s="53">
        <v>1.1270500000000001</v>
      </c>
      <c r="GQ58" s="507"/>
      <c r="GR58" s="380">
        <f t="shared" si="34"/>
        <v>0</v>
      </c>
      <c r="GS58" s="506" t="s">
        <v>494</v>
      </c>
      <c r="GT58" s="53">
        <v>1.13385</v>
      </c>
      <c r="GU58" s="507"/>
      <c r="GV58" s="380">
        <f t="shared" si="35"/>
        <v>0</v>
      </c>
      <c r="GW58" s="506" t="s">
        <v>494</v>
      </c>
      <c r="GX58" s="53">
        <v>1.1415500000000001</v>
      </c>
      <c r="GY58" s="507"/>
      <c r="GZ58" s="380">
        <f t="shared" si="36"/>
        <v>0</v>
      </c>
      <c r="HA58" s="506" t="s">
        <v>494</v>
      </c>
      <c r="HB58" s="53">
        <v>1.1389499999999999</v>
      </c>
      <c r="HC58" s="507"/>
      <c r="HD58" s="380">
        <f t="shared" si="37"/>
        <v>0</v>
      </c>
      <c r="HE58" s="506" t="s">
        <v>494</v>
      </c>
      <c r="HF58" s="53">
        <v>1.1379999999999999</v>
      </c>
      <c r="HG58" s="507"/>
      <c r="HH58" s="380">
        <f t="shared" si="38"/>
        <v>0</v>
      </c>
      <c r="HI58" s="506" t="s">
        <v>494</v>
      </c>
      <c r="HJ58" s="53">
        <v>1.1426499999999999</v>
      </c>
      <c r="HK58" s="507"/>
      <c r="HL58" s="380">
        <f t="shared" si="39"/>
        <v>0</v>
      </c>
      <c r="HM58" s="506" t="s">
        <v>494</v>
      </c>
      <c r="HN58" s="53">
        <v>1.139869</v>
      </c>
      <c r="HO58" s="507"/>
      <c r="HP58" s="380">
        <f t="shared" si="40"/>
        <v>0</v>
      </c>
      <c r="HQ58" s="506" t="s">
        <v>494</v>
      </c>
      <c r="HR58" s="53">
        <v>1.1428499999999999</v>
      </c>
      <c r="HS58" s="507"/>
      <c r="HT58" s="380">
        <f t="shared" si="41"/>
        <v>0</v>
      </c>
      <c r="HU58" s="506" t="s">
        <v>494</v>
      </c>
      <c r="HV58" s="53">
        <v>1.1433</v>
      </c>
      <c r="HW58" s="507"/>
      <c r="HX58" s="380">
        <f t="shared" si="42"/>
        <v>0</v>
      </c>
      <c r="HY58" s="506" t="s">
        <v>494</v>
      </c>
      <c r="HZ58" s="53">
        <v>1.1509499999999999</v>
      </c>
      <c r="IA58" s="507"/>
      <c r="IB58" s="380">
        <f t="shared" si="43"/>
        <v>0</v>
      </c>
      <c r="IC58" s="506" t="s">
        <v>494</v>
      </c>
      <c r="ID58" s="53">
        <v>1.1509499999999999</v>
      </c>
      <c r="IE58" s="507"/>
      <c r="IF58" s="380">
        <f t="shared" si="44"/>
        <v>0</v>
      </c>
      <c r="IG58" s="506" t="s">
        <v>494</v>
      </c>
      <c r="IH58" s="53">
        <v>1.1509499999999999</v>
      </c>
      <c r="II58" s="507"/>
      <c r="IJ58" s="380">
        <f t="shared" si="45"/>
        <v>0</v>
      </c>
      <c r="IK58" s="506" t="s">
        <v>494</v>
      </c>
      <c r="IL58" s="53">
        <v>1.1509499999999999</v>
      </c>
      <c r="IM58" s="507"/>
      <c r="IN58" s="380">
        <f t="shared" si="46"/>
        <v>0</v>
      </c>
      <c r="IO58" s="506" t="s">
        <v>494</v>
      </c>
      <c r="IP58" s="53">
        <v>1.1509499999999999</v>
      </c>
      <c r="IQ58" s="507"/>
      <c r="IR58" s="380">
        <f t="shared" si="47"/>
        <v>0</v>
      </c>
      <c r="IS58" s="506" t="s">
        <v>494</v>
      </c>
      <c r="IT58" s="53">
        <v>1.1509499999999999</v>
      </c>
      <c r="IU58" s="507"/>
      <c r="IV58" s="380">
        <f t="shared" si="48"/>
        <v>0</v>
      </c>
      <c r="IW58" s="506" t="s">
        <v>494</v>
      </c>
      <c r="IX58" s="53">
        <v>1.1608000000000001</v>
      </c>
      <c r="IY58" s="507"/>
      <c r="IZ58" s="380">
        <f t="shared" si="49"/>
        <v>0</v>
      </c>
    </row>
    <row r="59" spans="1:260">
      <c r="A59" s="13" t="s">
        <v>608</v>
      </c>
      <c r="B59" s="13" t="s">
        <v>609</v>
      </c>
      <c r="C59" s="13" t="s">
        <v>579</v>
      </c>
      <c r="D59" s="13" t="s">
        <v>336</v>
      </c>
      <c r="E59" s="13" t="s">
        <v>2</v>
      </c>
      <c r="F59" s="13">
        <v>23885920731839</v>
      </c>
      <c r="G59" s="13" t="s">
        <v>611</v>
      </c>
      <c r="H59" s="13" t="s">
        <v>543</v>
      </c>
      <c r="I59" s="14" t="s">
        <v>494</v>
      </c>
      <c r="J59" s="14">
        <f>+VLOOKUP(E59,'Summary - Colar'!$M$39:$N$54,2,FALSE)</f>
        <v>1</v>
      </c>
      <c r="K59" s="14"/>
      <c r="L59" s="506" t="s">
        <v>494</v>
      </c>
      <c r="M59" s="53">
        <v>1</v>
      </c>
      <c r="N59" s="507"/>
      <c r="O59" s="506" t="s">
        <v>494</v>
      </c>
      <c r="P59" s="53">
        <v>1</v>
      </c>
      <c r="Q59" s="507"/>
      <c r="R59" s="506" t="s">
        <v>494</v>
      </c>
      <c r="S59" s="53">
        <v>1</v>
      </c>
      <c r="T59" s="507"/>
      <c r="U59" s="506" t="s">
        <v>494</v>
      </c>
      <c r="V59" s="53">
        <v>1</v>
      </c>
      <c r="W59" s="507"/>
      <c r="X59" s="506" t="s">
        <v>494</v>
      </c>
      <c r="Y59" s="53">
        <v>1</v>
      </c>
      <c r="Z59" s="507"/>
      <c r="AA59" s="506" t="s">
        <v>494</v>
      </c>
      <c r="AB59" s="53">
        <v>1</v>
      </c>
      <c r="AC59" s="507"/>
      <c r="AD59" s="506" t="s">
        <v>494</v>
      </c>
      <c r="AE59" s="53">
        <v>1</v>
      </c>
      <c r="AF59" s="507"/>
      <c r="AG59" s="506" t="s">
        <v>494</v>
      </c>
      <c r="AH59" s="53">
        <v>1</v>
      </c>
      <c r="AI59" s="507"/>
      <c r="AJ59" s="506" t="s">
        <v>494</v>
      </c>
      <c r="AK59" s="53">
        <v>1</v>
      </c>
      <c r="AL59" s="507"/>
      <c r="AM59" s="506" t="s">
        <v>494</v>
      </c>
      <c r="AN59" s="53">
        <v>1</v>
      </c>
      <c r="AO59" s="507"/>
      <c r="AP59" s="506" t="s">
        <v>494</v>
      </c>
      <c r="AQ59" s="53">
        <v>1</v>
      </c>
      <c r="AR59" s="507"/>
      <c r="AS59" s="506" t="s">
        <v>494</v>
      </c>
      <c r="AT59" s="53">
        <v>1</v>
      </c>
      <c r="AU59" s="507"/>
      <c r="AV59" s="506" t="s">
        <v>494</v>
      </c>
      <c r="AW59" s="53">
        <v>1</v>
      </c>
      <c r="AX59" s="507"/>
      <c r="AY59" s="506" t="s">
        <v>494</v>
      </c>
      <c r="AZ59" s="53">
        <v>1</v>
      </c>
      <c r="BA59" s="507"/>
      <c r="BB59" s="506" t="s">
        <v>494</v>
      </c>
      <c r="BC59" s="53">
        <v>1</v>
      </c>
      <c r="BD59" s="507"/>
      <c r="BE59" s="506" t="s">
        <v>494</v>
      </c>
      <c r="BF59" s="53">
        <v>1</v>
      </c>
      <c r="BG59" s="507"/>
      <c r="BH59" s="380">
        <f t="shared" si="0"/>
        <v>-1</v>
      </c>
      <c r="BI59" s="506" t="s">
        <v>494</v>
      </c>
      <c r="BJ59" s="53">
        <v>1</v>
      </c>
      <c r="BK59" s="507"/>
      <c r="BL59" s="380">
        <f t="shared" si="1"/>
        <v>0</v>
      </c>
      <c r="BM59" s="506" t="s">
        <v>494</v>
      </c>
      <c r="BN59" s="53">
        <v>1</v>
      </c>
      <c r="BO59" s="507"/>
      <c r="BP59">
        <v>0</v>
      </c>
      <c r="BQ59" s="506" t="s">
        <v>494</v>
      </c>
      <c r="BR59" s="53">
        <v>1</v>
      </c>
      <c r="BS59" s="507"/>
      <c r="BT59" s="380">
        <f t="shared" si="2"/>
        <v>0</v>
      </c>
      <c r="BU59" s="506" t="s">
        <v>494</v>
      </c>
      <c r="BV59" s="53">
        <v>1</v>
      </c>
      <c r="BW59" s="507"/>
      <c r="BX59" s="380">
        <f t="shared" si="3"/>
        <v>0</v>
      </c>
      <c r="BY59" s="506" t="s">
        <v>494</v>
      </c>
      <c r="BZ59" s="53">
        <v>1</v>
      </c>
      <c r="CA59" s="507"/>
      <c r="CB59" s="380">
        <f t="shared" si="4"/>
        <v>0</v>
      </c>
      <c r="CC59" s="506" t="s">
        <v>494</v>
      </c>
      <c r="CD59" s="53">
        <v>1</v>
      </c>
      <c r="CE59" s="507"/>
      <c r="CF59" s="380">
        <f t="shared" si="5"/>
        <v>0</v>
      </c>
      <c r="CG59" s="506" t="s">
        <v>494</v>
      </c>
      <c r="CH59" s="53">
        <v>1</v>
      </c>
      <c r="CI59" s="507"/>
      <c r="CJ59" s="380">
        <f t="shared" si="6"/>
        <v>0</v>
      </c>
      <c r="CK59" s="506" t="s">
        <v>494</v>
      </c>
      <c r="CL59" s="53">
        <v>1</v>
      </c>
      <c r="CM59" s="507"/>
      <c r="CN59" s="380">
        <f t="shared" si="7"/>
        <v>0</v>
      </c>
      <c r="CO59" s="506" t="s">
        <v>494</v>
      </c>
      <c r="CP59" s="53">
        <v>1</v>
      </c>
      <c r="CQ59" s="507"/>
      <c r="CR59" s="380">
        <f t="shared" si="8"/>
        <v>0</v>
      </c>
      <c r="CS59" s="506" t="s">
        <v>494</v>
      </c>
      <c r="CT59" s="53">
        <v>1</v>
      </c>
      <c r="CU59" s="507"/>
      <c r="CV59" s="380">
        <f t="shared" si="9"/>
        <v>0</v>
      </c>
      <c r="CW59" s="506" t="s">
        <v>494</v>
      </c>
      <c r="CX59" s="53">
        <v>1</v>
      </c>
      <c r="CY59" s="507"/>
      <c r="CZ59" s="380">
        <f t="shared" si="10"/>
        <v>0</v>
      </c>
      <c r="DA59" s="506" t="s">
        <v>494</v>
      </c>
      <c r="DB59" s="53">
        <v>1</v>
      </c>
      <c r="DC59" s="507"/>
      <c r="DD59" s="380">
        <f t="shared" si="11"/>
        <v>0</v>
      </c>
      <c r="DE59" s="506" t="s">
        <v>494</v>
      </c>
      <c r="DF59" s="53">
        <v>1</v>
      </c>
      <c r="DG59" s="507"/>
      <c r="DH59" s="380">
        <f t="shared" si="12"/>
        <v>0</v>
      </c>
      <c r="DI59" s="506" t="s">
        <v>494</v>
      </c>
      <c r="DJ59" s="53">
        <v>1</v>
      </c>
      <c r="DK59" s="507"/>
      <c r="DL59" s="380">
        <f t="shared" si="13"/>
        <v>0</v>
      </c>
      <c r="DM59" s="506" t="s">
        <v>494</v>
      </c>
      <c r="DN59" s="53">
        <v>1</v>
      </c>
      <c r="DO59" s="507"/>
      <c r="DP59" s="380">
        <f t="shared" si="14"/>
        <v>0</v>
      </c>
      <c r="DQ59" s="506" t="s">
        <v>494</v>
      </c>
      <c r="DR59" s="53">
        <v>1</v>
      </c>
      <c r="DS59" s="507"/>
      <c r="DT59" s="380">
        <f t="shared" si="15"/>
        <v>0</v>
      </c>
      <c r="DU59" s="506" t="s">
        <v>494</v>
      </c>
      <c r="DV59" s="53">
        <v>1</v>
      </c>
      <c r="DW59" s="507"/>
      <c r="DX59" s="380">
        <f t="shared" si="16"/>
        <v>0</v>
      </c>
      <c r="DY59" s="506" t="s">
        <v>494</v>
      </c>
      <c r="DZ59" s="53">
        <v>1</v>
      </c>
      <c r="EA59" s="507"/>
      <c r="EB59" s="380">
        <f t="shared" si="17"/>
        <v>0</v>
      </c>
      <c r="EC59" s="506" t="s">
        <v>494</v>
      </c>
      <c r="ED59" s="53">
        <v>1</v>
      </c>
      <c r="EE59" s="507"/>
      <c r="EF59" s="380">
        <f t="shared" si="18"/>
        <v>0</v>
      </c>
      <c r="EG59" s="506" t="s">
        <v>494</v>
      </c>
      <c r="EH59" s="53">
        <v>1</v>
      </c>
      <c r="EI59" s="507"/>
      <c r="EJ59" s="380">
        <f t="shared" si="19"/>
        <v>0</v>
      </c>
      <c r="EK59" s="506" t="s">
        <v>494</v>
      </c>
      <c r="EL59" s="53">
        <v>1</v>
      </c>
      <c r="EM59" s="507"/>
      <c r="EN59" s="380">
        <f t="shared" si="20"/>
        <v>0</v>
      </c>
      <c r="EO59" s="506" t="s">
        <v>494</v>
      </c>
      <c r="EP59" s="53">
        <v>1</v>
      </c>
      <c r="EQ59" s="507"/>
      <c r="ER59" s="380">
        <f t="shared" si="21"/>
        <v>0</v>
      </c>
      <c r="ES59" s="506" t="s">
        <v>494</v>
      </c>
      <c r="ET59" s="53">
        <v>1</v>
      </c>
      <c r="EU59" s="507"/>
      <c r="EV59" s="380">
        <f t="shared" si="22"/>
        <v>0</v>
      </c>
      <c r="EW59" s="506" t="s">
        <v>494</v>
      </c>
      <c r="EX59" s="53">
        <v>1</v>
      </c>
      <c r="EY59" s="507"/>
      <c r="EZ59" s="380">
        <f t="shared" si="23"/>
        <v>0</v>
      </c>
      <c r="FA59" s="506" t="s">
        <v>494</v>
      </c>
      <c r="FB59" s="53">
        <v>1</v>
      </c>
      <c r="FC59" s="507"/>
      <c r="FD59" s="380">
        <f t="shared" si="24"/>
        <v>0</v>
      </c>
      <c r="FE59" s="506" t="s">
        <v>494</v>
      </c>
      <c r="FF59" s="53">
        <v>1</v>
      </c>
      <c r="FG59" s="507"/>
      <c r="FH59" s="380">
        <f t="shared" si="25"/>
        <v>0</v>
      </c>
      <c r="FI59" s="506" t="s">
        <v>494</v>
      </c>
      <c r="FJ59" s="53">
        <v>1</v>
      </c>
      <c r="FK59" s="507"/>
      <c r="FL59" s="380">
        <f t="shared" si="26"/>
        <v>0</v>
      </c>
      <c r="FM59" s="506" t="s">
        <v>494</v>
      </c>
      <c r="FN59" s="53">
        <v>1</v>
      </c>
      <c r="FO59" s="507"/>
      <c r="FP59" s="380">
        <f t="shared" si="27"/>
        <v>0</v>
      </c>
      <c r="FQ59" s="506" t="s">
        <v>494</v>
      </c>
      <c r="FR59" s="53">
        <v>1</v>
      </c>
      <c r="FS59" s="507"/>
      <c r="FT59" s="380">
        <f t="shared" si="28"/>
        <v>0</v>
      </c>
      <c r="FU59" s="506" t="s">
        <v>494</v>
      </c>
      <c r="FV59" s="53">
        <v>1</v>
      </c>
      <c r="FW59" s="507"/>
      <c r="FX59" s="380">
        <f t="shared" si="29"/>
        <v>0</v>
      </c>
      <c r="FY59" s="506" t="s">
        <v>494</v>
      </c>
      <c r="FZ59" s="53">
        <v>1</v>
      </c>
      <c r="GA59" s="507"/>
      <c r="GB59" s="380">
        <f t="shared" si="30"/>
        <v>0</v>
      </c>
      <c r="GC59" s="506" t="s">
        <v>494</v>
      </c>
      <c r="GD59" s="53">
        <v>1</v>
      </c>
      <c r="GE59" s="507"/>
      <c r="GF59" s="380">
        <f t="shared" si="31"/>
        <v>0</v>
      </c>
      <c r="GG59" s="506" t="s">
        <v>494</v>
      </c>
      <c r="GH59" s="53">
        <v>1</v>
      </c>
      <c r="GI59" s="507"/>
      <c r="GJ59" s="380">
        <f t="shared" si="32"/>
        <v>0</v>
      </c>
      <c r="GK59" s="506" t="s">
        <v>494</v>
      </c>
      <c r="GL59" s="53">
        <v>1</v>
      </c>
      <c r="GM59" s="507"/>
      <c r="GN59" s="380">
        <f t="shared" si="33"/>
        <v>0</v>
      </c>
      <c r="GO59" s="506" t="s">
        <v>494</v>
      </c>
      <c r="GP59" s="53">
        <v>1</v>
      </c>
      <c r="GQ59" s="507"/>
      <c r="GR59" s="380">
        <f t="shared" si="34"/>
        <v>0</v>
      </c>
      <c r="GS59" s="506" t="s">
        <v>494</v>
      </c>
      <c r="GT59" s="53">
        <v>1</v>
      </c>
      <c r="GU59" s="507"/>
      <c r="GV59" s="380">
        <f t="shared" si="35"/>
        <v>0</v>
      </c>
      <c r="GW59" s="506" t="s">
        <v>494</v>
      </c>
      <c r="GX59" s="53">
        <v>1</v>
      </c>
      <c r="GY59" s="507"/>
      <c r="GZ59" s="380">
        <f t="shared" si="36"/>
        <v>0</v>
      </c>
      <c r="HA59" s="506" t="s">
        <v>494</v>
      </c>
      <c r="HB59" s="53">
        <v>1</v>
      </c>
      <c r="HC59" s="507"/>
      <c r="HD59" s="380">
        <f t="shared" si="37"/>
        <v>0</v>
      </c>
      <c r="HE59" s="506" t="s">
        <v>494</v>
      </c>
      <c r="HF59" s="53">
        <v>1</v>
      </c>
      <c r="HG59" s="507"/>
      <c r="HH59" s="380">
        <f t="shared" si="38"/>
        <v>0</v>
      </c>
      <c r="HI59" s="506" t="s">
        <v>494</v>
      </c>
      <c r="HJ59" s="53">
        <v>1</v>
      </c>
      <c r="HK59" s="507"/>
      <c r="HL59" s="380">
        <f t="shared" si="39"/>
        <v>0</v>
      </c>
      <c r="HM59" s="506" t="s">
        <v>494</v>
      </c>
      <c r="HN59" s="53">
        <v>1</v>
      </c>
      <c r="HO59" s="507"/>
      <c r="HP59" s="380">
        <f t="shared" si="40"/>
        <v>0</v>
      </c>
      <c r="HQ59" s="506" t="s">
        <v>494</v>
      </c>
      <c r="HR59" s="53">
        <v>1</v>
      </c>
      <c r="HS59" s="507"/>
      <c r="HT59" s="380">
        <f t="shared" si="41"/>
        <v>0</v>
      </c>
      <c r="HU59" s="506" t="s">
        <v>494</v>
      </c>
      <c r="HV59" s="53">
        <v>1</v>
      </c>
      <c r="HW59" s="507"/>
      <c r="HX59" s="380">
        <f t="shared" si="42"/>
        <v>0</v>
      </c>
      <c r="HY59" s="506" t="s">
        <v>494</v>
      </c>
      <c r="HZ59" s="53">
        <v>1</v>
      </c>
      <c r="IA59" s="507"/>
      <c r="IB59" s="380">
        <f t="shared" si="43"/>
        <v>0</v>
      </c>
      <c r="IC59" s="506" t="s">
        <v>494</v>
      </c>
      <c r="ID59" s="53">
        <v>1</v>
      </c>
      <c r="IE59" s="507"/>
      <c r="IF59" s="380">
        <f t="shared" si="44"/>
        <v>0</v>
      </c>
      <c r="IG59" s="506" t="s">
        <v>494</v>
      </c>
      <c r="IH59" s="53">
        <v>1</v>
      </c>
      <c r="II59" s="507"/>
      <c r="IJ59" s="380">
        <f t="shared" si="45"/>
        <v>0</v>
      </c>
      <c r="IK59" s="506" t="s">
        <v>494</v>
      </c>
      <c r="IL59" s="53">
        <v>1</v>
      </c>
      <c r="IM59" s="507"/>
      <c r="IN59" s="380">
        <f t="shared" si="46"/>
        <v>0</v>
      </c>
      <c r="IO59" s="506" t="s">
        <v>494</v>
      </c>
      <c r="IP59" s="53">
        <v>1</v>
      </c>
      <c r="IQ59" s="507"/>
      <c r="IR59" s="380">
        <f t="shared" si="47"/>
        <v>0</v>
      </c>
      <c r="IS59" s="506" t="s">
        <v>494</v>
      </c>
      <c r="IT59" s="53">
        <v>1</v>
      </c>
      <c r="IU59" s="507"/>
      <c r="IV59" s="380">
        <f t="shared" si="48"/>
        <v>0</v>
      </c>
      <c r="IW59" s="506" t="s">
        <v>494</v>
      </c>
      <c r="IX59" s="53">
        <v>1</v>
      </c>
      <c r="IY59" s="507"/>
      <c r="IZ59" s="380">
        <f t="shared" si="49"/>
        <v>0</v>
      </c>
    </row>
    <row r="60" spans="1:260">
      <c r="A60" s="13" t="s">
        <v>608</v>
      </c>
      <c r="B60" s="13" t="s">
        <v>609</v>
      </c>
      <c r="C60" s="13" t="s">
        <v>579</v>
      </c>
      <c r="D60" s="13" t="s">
        <v>336</v>
      </c>
      <c r="E60" s="13" t="s">
        <v>4</v>
      </c>
      <c r="F60" s="13">
        <v>23885920728809</v>
      </c>
      <c r="G60" s="13" t="s">
        <v>612</v>
      </c>
      <c r="H60" s="13" t="s">
        <v>543</v>
      </c>
      <c r="I60" s="14" t="s">
        <v>494</v>
      </c>
      <c r="J60" s="14">
        <f>+VLOOKUP(E60,'Summary - Colar'!$M$39:$N$54,2,FALSE)</f>
        <v>0.8528</v>
      </c>
      <c r="K60" s="14"/>
      <c r="L60" s="506" t="s">
        <v>494</v>
      </c>
      <c r="M60" s="53">
        <v>0.82944999704118039</v>
      </c>
      <c r="N60" s="507"/>
      <c r="O60" s="506" t="s">
        <v>494</v>
      </c>
      <c r="P60" s="53">
        <v>0.82985000194803504</v>
      </c>
      <c r="Q60" s="507"/>
      <c r="R60" s="506" t="s">
        <v>494</v>
      </c>
      <c r="S60" s="53">
        <v>0.83675000142339673</v>
      </c>
      <c r="T60" s="507"/>
      <c r="U60" s="506" t="s">
        <v>494</v>
      </c>
      <c r="V60" s="53">
        <v>0.84450000060846753</v>
      </c>
      <c r="W60" s="507"/>
      <c r="X60" s="506" t="s">
        <v>494</v>
      </c>
      <c r="Y60" s="53">
        <v>0.84404999960386917</v>
      </c>
      <c r="Z60" s="507"/>
      <c r="AA60" s="506" t="s">
        <v>494</v>
      </c>
      <c r="AB60" s="53">
        <v>0.83594999940504033</v>
      </c>
      <c r="AC60" s="507"/>
      <c r="AD60" s="506" t="s">
        <v>494</v>
      </c>
      <c r="AE60" s="53">
        <v>0.83355000042005567</v>
      </c>
      <c r="AF60" s="507"/>
      <c r="AG60" s="506" t="s">
        <v>494</v>
      </c>
      <c r="AH60" s="53">
        <v>0.83210000018059904</v>
      </c>
      <c r="AI60" s="507"/>
      <c r="AJ60" s="506" t="s">
        <v>494</v>
      </c>
      <c r="AK60" s="53">
        <v>0.82765000030319136</v>
      </c>
      <c r="AL60" s="507"/>
      <c r="AM60" s="506" t="s">
        <v>494</v>
      </c>
      <c r="AN60" s="53">
        <v>0.82594999743944864</v>
      </c>
      <c r="AO60" s="507"/>
      <c r="AP60" s="506" t="s">
        <v>494</v>
      </c>
      <c r="AQ60" s="53">
        <v>0.84075000044594062</v>
      </c>
      <c r="AR60" s="507"/>
      <c r="AS60" s="506" t="s">
        <v>494</v>
      </c>
      <c r="AT60" s="53">
        <v>0.84175</v>
      </c>
      <c r="AU60" s="507"/>
      <c r="AV60" s="506" t="s">
        <v>494</v>
      </c>
      <c r="AW60" s="53">
        <v>0.83715000023255848</v>
      </c>
      <c r="AX60" s="507"/>
      <c r="AY60" s="506" t="s">
        <v>494</v>
      </c>
      <c r="AZ60" s="53">
        <v>0.83345000011593484</v>
      </c>
      <c r="BA60" s="507"/>
      <c r="BB60" s="506" t="s">
        <v>494</v>
      </c>
      <c r="BC60" s="53">
        <v>0.8352999999595857</v>
      </c>
      <c r="BD60" s="507"/>
      <c r="BE60" s="506" t="s">
        <v>494</v>
      </c>
      <c r="BF60" s="53">
        <v>0.83619999978584703</v>
      </c>
      <c r="BG60" s="507"/>
      <c r="BH60" s="380">
        <f t="shared" si="0"/>
        <v>-0.8352999999595857</v>
      </c>
      <c r="BI60" s="506" t="s">
        <v>494</v>
      </c>
      <c r="BJ60" s="53">
        <v>0.83434999986719449</v>
      </c>
      <c r="BK60" s="507"/>
      <c r="BL60" s="380">
        <f t="shared" si="1"/>
        <v>0</v>
      </c>
      <c r="BM60" s="506" t="s">
        <v>494</v>
      </c>
      <c r="BN60" s="53">
        <v>0.84160000070083552</v>
      </c>
      <c r="BO60" s="507"/>
      <c r="BP60">
        <v>0</v>
      </c>
      <c r="BQ60" s="506" t="s">
        <v>494</v>
      </c>
      <c r="BR60" s="53">
        <v>0.84934999973825842</v>
      </c>
      <c r="BS60" s="507"/>
      <c r="BT60" s="380">
        <f t="shared" si="2"/>
        <v>0</v>
      </c>
      <c r="BU60" s="506" t="s">
        <v>494</v>
      </c>
      <c r="BV60" s="53">
        <v>0.85520000047240285</v>
      </c>
      <c r="BW60" s="507"/>
      <c r="BX60" s="380">
        <f t="shared" si="3"/>
        <v>0</v>
      </c>
      <c r="BY60" s="506" t="s">
        <v>494</v>
      </c>
      <c r="BZ60" s="53">
        <v>0.85570000024121062</v>
      </c>
      <c r="CA60" s="507"/>
      <c r="CB60" s="380">
        <f t="shared" si="4"/>
        <v>0</v>
      </c>
      <c r="CC60" s="506" t="s">
        <v>494</v>
      </c>
      <c r="CD60" s="53">
        <v>0.86369999964947808</v>
      </c>
      <c r="CE60" s="507"/>
      <c r="CF60" s="380">
        <f t="shared" si="5"/>
        <v>0</v>
      </c>
      <c r="CG60" s="506" t="s">
        <v>494</v>
      </c>
      <c r="CH60" s="53">
        <v>0.85609999997089647</v>
      </c>
      <c r="CI60" s="507"/>
      <c r="CJ60" s="380">
        <f t="shared" si="6"/>
        <v>0</v>
      </c>
      <c r="CK60" s="506" t="s">
        <v>494</v>
      </c>
      <c r="CL60" s="53">
        <v>0.86570000046334739</v>
      </c>
      <c r="CM60" s="507"/>
      <c r="CN60" s="380">
        <f t="shared" si="7"/>
        <v>0</v>
      </c>
      <c r="CO60" s="506" t="s">
        <v>494</v>
      </c>
      <c r="CP60" s="53">
        <v>0.86384999950164088</v>
      </c>
      <c r="CQ60" s="507"/>
      <c r="CR60" s="380">
        <f t="shared" si="8"/>
        <v>0</v>
      </c>
      <c r="CS60" s="506" t="s">
        <v>494</v>
      </c>
      <c r="CT60" s="53">
        <v>0.85580000078257989</v>
      </c>
      <c r="CU60" s="507"/>
      <c r="CV60" s="380">
        <f t="shared" si="9"/>
        <v>0</v>
      </c>
      <c r="CW60" s="506" t="s">
        <v>494</v>
      </c>
      <c r="CX60" s="53">
        <v>0.85619999953234882</v>
      </c>
      <c r="CY60" s="507"/>
      <c r="CZ60" s="380">
        <f t="shared" si="10"/>
        <v>0</v>
      </c>
      <c r="DA60" s="506" t="s">
        <v>494</v>
      </c>
      <c r="DB60" s="53">
        <v>0.85640000044870379</v>
      </c>
      <c r="DC60" s="507"/>
      <c r="DD60" s="380">
        <f t="shared" si="11"/>
        <v>0</v>
      </c>
      <c r="DE60" s="506" t="s">
        <v>494</v>
      </c>
      <c r="DF60" s="53">
        <v>0.86165000042925399</v>
      </c>
      <c r="DG60" s="507"/>
      <c r="DH60" s="380">
        <f t="shared" si="12"/>
        <v>0</v>
      </c>
      <c r="DI60" s="506" t="s">
        <v>494</v>
      </c>
      <c r="DJ60" s="53">
        <v>0.85845000052737486</v>
      </c>
      <c r="DK60" s="507"/>
      <c r="DL60" s="380">
        <f t="shared" si="13"/>
        <v>0</v>
      </c>
      <c r="DM60" s="506" t="s">
        <v>494</v>
      </c>
      <c r="DN60" s="53">
        <v>0.85774999952894071</v>
      </c>
      <c r="DO60" s="507"/>
      <c r="DP60" s="380">
        <f t="shared" si="14"/>
        <v>0</v>
      </c>
      <c r="DQ60" s="506" t="s">
        <v>494</v>
      </c>
      <c r="DR60" s="53">
        <v>0.85095000037133195</v>
      </c>
      <c r="DS60" s="507"/>
      <c r="DT60" s="380">
        <f t="shared" si="15"/>
        <v>0</v>
      </c>
      <c r="DU60" s="506" t="s">
        <v>494</v>
      </c>
      <c r="DV60" s="53">
        <v>0.84944999993097159</v>
      </c>
      <c r="DW60" s="507"/>
      <c r="DX60" s="380">
        <f t="shared" si="16"/>
        <v>0</v>
      </c>
      <c r="DY60" s="506" t="s">
        <v>494</v>
      </c>
      <c r="DZ60" s="53">
        <v>0.85345000000000004</v>
      </c>
      <c r="EA60" s="507"/>
      <c r="EB60" s="380">
        <f t="shared" si="17"/>
        <v>0</v>
      </c>
      <c r="EC60" s="506" t="s">
        <v>494</v>
      </c>
      <c r="ED60" s="53">
        <v>0.85175000000000001</v>
      </c>
      <c r="EE60" s="507"/>
      <c r="EF60" s="380">
        <f t="shared" si="18"/>
        <v>0</v>
      </c>
      <c r="EG60" s="506" t="s">
        <v>494</v>
      </c>
      <c r="EH60" s="53">
        <v>0.84724999999999995</v>
      </c>
      <c r="EI60" s="507"/>
      <c r="EJ60" s="380">
        <f t="shared" si="19"/>
        <v>0</v>
      </c>
      <c r="EK60" s="506" t="s">
        <v>494</v>
      </c>
      <c r="EL60" s="53">
        <v>0.85085</v>
      </c>
      <c r="EM60" s="507"/>
      <c r="EN60" s="380">
        <f t="shared" si="20"/>
        <v>0</v>
      </c>
      <c r="EO60" s="506" t="s">
        <v>494</v>
      </c>
      <c r="EP60" s="53">
        <v>0.84740000000000004</v>
      </c>
      <c r="EQ60" s="507"/>
      <c r="ER60" s="380">
        <f t="shared" si="21"/>
        <v>0</v>
      </c>
      <c r="ES60" s="506" t="s">
        <v>494</v>
      </c>
      <c r="ET60" s="53">
        <v>0.84755000000000003</v>
      </c>
      <c r="EU60" s="507"/>
      <c r="EV60" s="380">
        <f t="shared" si="22"/>
        <v>0</v>
      </c>
      <c r="EW60" s="506" t="s">
        <v>494</v>
      </c>
      <c r="EX60" s="53">
        <v>0.84325000000000006</v>
      </c>
      <c r="EY60" s="507"/>
      <c r="EZ60" s="380">
        <f t="shared" si="23"/>
        <v>0</v>
      </c>
      <c r="FA60" s="506" t="s">
        <v>494</v>
      </c>
      <c r="FB60" s="53">
        <v>0.84045000000000003</v>
      </c>
      <c r="FC60" s="507"/>
      <c r="FD60" s="380">
        <f t="shared" si="24"/>
        <v>0</v>
      </c>
      <c r="FE60" s="506" t="s">
        <v>494</v>
      </c>
      <c r="FF60" s="53">
        <v>0.84119999999999995</v>
      </c>
      <c r="FG60" s="507"/>
      <c r="FH60" s="380">
        <f t="shared" si="25"/>
        <v>0</v>
      </c>
      <c r="FI60" s="506" t="s">
        <v>494</v>
      </c>
      <c r="FJ60" s="53">
        <v>0.84275</v>
      </c>
      <c r="FK60" s="507"/>
      <c r="FL60" s="380">
        <f t="shared" si="26"/>
        <v>0</v>
      </c>
      <c r="FM60" s="506" t="s">
        <v>494</v>
      </c>
      <c r="FN60" s="53">
        <v>0.84235000000000004</v>
      </c>
      <c r="FO60" s="507"/>
      <c r="FP60" s="380">
        <f t="shared" si="27"/>
        <v>0</v>
      </c>
      <c r="FQ60" s="506" t="s">
        <v>494</v>
      </c>
      <c r="FR60" s="53">
        <v>0.84150000000000003</v>
      </c>
      <c r="FS60" s="507"/>
      <c r="FT60" s="380">
        <f t="shared" si="28"/>
        <v>0</v>
      </c>
      <c r="FU60" s="506" t="s">
        <v>494</v>
      </c>
      <c r="FV60" s="53">
        <v>0.84399999999999997</v>
      </c>
      <c r="FW60" s="507"/>
      <c r="FX60" s="380">
        <f t="shared" si="29"/>
        <v>0</v>
      </c>
      <c r="FY60" s="506" t="s">
        <v>494</v>
      </c>
      <c r="FZ60" s="53">
        <v>0.83975</v>
      </c>
      <c r="GA60" s="507"/>
      <c r="GB60" s="380">
        <f t="shared" si="30"/>
        <v>0</v>
      </c>
      <c r="GC60" s="506" t="s">
        <v>494</v>
      </c>
      <c r="GD60" s="53">
        <v>0.83904999999999996</v>
      </c>
      <c r="GE60" s="507"/>
      <c r="GF60" s="380">
        <f t="shared" si="31"/>
        <v>0</v>
      </c>
      <c r="GG60" s="506" t="s">
        <v>494</v>
      </c>
      <c r="GH60" s="53">
        <v>0.83779999999999999</v>
      </c>
      <c r="GI60" s="507"/>
      <c r="GJ60" s="380">
        <f t="shared" si="32"/>
        <v>0</v>
      </c>
      <c r="GK60" s="506" t="s">
        <v>494</v>
      </c>
      <c r="GL60" s="53">
        <v>0.8397</v>
      </c>
      <c r="GM60" s="507"/>
      <c r="GN60" s="380">
        <f t="shared" si="33"/>
        <v>0</v>
      </c>
      <c r="GO60" s="506" t="s">
        <v>494</v>
      </c>
      <c r="GP60" s="53">
        <v>0.83720000000000006</v>
      </c>
      <c r="GQ60" s="507"/>
      <c r="GR60" s="380">
        <f t="shared" si="34"/>
        <v>0</v>
      </c>
      <c r="GS60" s="506" t="s">
        <v>494</v>
      </c>
      <c r="GT60" s="53">
        <v>0.84130000000000005</v>
      </c>
      <c r="GU60" s="507"/>
      <c r="GV60" s="380">
        <f t="shared" si="35"/>
        <v>0</v>
      </c>
      <c r="GW60" s="506" t="s">
        <v>494</v>
      </c>
      <c r="GX60" s="53">
        <v>0.84325000000000006</v>
      </c>
      <c r="GY60" s="507"/>
      <c r="GZ60" s="380">
        <f t="shared" si="36"/>
        <v>0</v>
      </c>
      <c r="HA60" s="506" t="s">
        <v>494</v>
      </c>
      <c r="HB60" s="53">
        <v>0.84345000000000003</v>
      </c>
      <c r="HC60" s="507"/>
      <c r="HD60" s="380">
        <f t="shared" si="37"/>
        <v>0</v>
      </c>
      <c r="HE60" s="506" t="s">
        <v>494</v>
      </c>
      <c r="HF60" s="53">
        <v>0.84189999999999998</v>
      </c>
      <c r="HG60" s="507"/>
      <c r="HH60" s="380">
        <f t="shared" si="38"/>
        <v>0</v>
      </c>
      <c r="HI60" s="506" t="s">
        <v>494</v>
      </c>
      <c r="HJ60" s="53">
        <v>0.84194999999999998</v>
      </c>
      <c r="HK60" s="507"/>
      <c r="HL60" s="380">
        <f t="shared" si="39"/>
        <v>0</v>
      </c>
      <c r="HM60" s="506" t="s">
        <v>494</v>
      </c>
      <c r="HN60" s="53">
        <v>0.84260000000000002</v>
      </c>
      <c r="HO60" s="507"/>
      <c r="HP60" s="380">
        <f t="shared" si="40"/>
        <v>0</v>
      </c>
      <c r="HQ60" s="506" t="s">
        <v>494</v>
      </c>
      <c r="HR60" s="53">
        <v>0.84609999999999996</v>
      </c>
      <c r="HS60" s="507"/>
      <c r="HT60" s="380">
        <f t="shared" si="41"/>
        <v>0</v>
      </c>
      <c r="HU60" s="506" t="s">
        <v>494</v>
      </c>
      <c r="HV60" s="53">
        <v>0.84714999999999996</v>
      </c>
      <c r="HW60" s="507"/>
      <c r="HX60" s="380">
        <f t="shared" si="42"/>
        <v>0</v>
      </c>
      <c r="HY60" s="506" t="s">
        <v>494</v>
      </c>
      <c r="HZ60" s="53">
        <v>0.85004999999999997</v>
      </c>
      <c r="IA60" s="507"/>
      <c r="IB60" s="380">
        <f t="shared" si="43"/>
        <v>0</v>
      </c>
      <c r="IC60" s="506" t="s">
        <v>494</v>
      </c>
      <c r="ID60" s="53">
        <v>0.85004999999999997</v>
      </c>
      <c r="IE60" s="507"/>
      <c r="IF60" s="380">
        <f t="shared" si="44"/>
        <v>0</v>
      </c>
      <c r="IG60" s="506" t="s">
        <v>494</v>
      </c>
      <c r="IH60" s="53">
        <v>0.85004999999999997</v>
      </c>
      <c r="II60" s="507"/>
      <c r="IJ60" s="380">
        <f t="shared" si="45"/>
        <v>0</v>
      </c>
      <c r="IK60" s="506" t="s">
        <v>494</v>
      </c>
      <c r="IL60" s="53">
        <v>0.85004999999999997</v>
      </c>
      <c r="IM60" s="507"/>
      <c r="IN60" s="380">
        <f t="shared" si="46"/>
        <v>0</v>
      </c>
      <c r="IO60" s="506" t="s">
        <v>494</v>
      </c>
      <c r="IP60" s="53">
        <v>0.85004999999999997</v>
      </c>
      <c r="IQ60" s="507"/>
      <c r="IR60" s="380">
        <f t="shared" si="47"/>
        <v>0</v>
      </c>
      <c r="IS60" s="506" t="s">
        <v>494</v>
      </c>
      <c r="IT60" s="53">
        <v>0.85004999999999997</v>
      </c>
      <c r="IU60" s="507"/>
      <c r="IV60" s="380">
        <f t="shared" si="48"/>
        <v>0</v>
      </c>
      <c r="IW60" s="506" t="s">
        <v>494</v>
      </c>
      <c r="IX60" s="53">
        <v>0.8528</v>
      </c>
      <c r="IY60" s="507"/>
      <c r="IZ60" s="380">
        <f t="shared" si="49"/>
        <v>0</v>
      </c>
    </row>
    <row r="61" spans="1:260">
      <c r="A61" s="13" t="s">
        <v>613</v>
      </c>
      <c r="B61" s="13" t="s">
        <v>614</v>
      </c>
      <c r="C61" s="13" t="s">
        <v>181</v>
      </c>
      <c r="D61" s="13" t="s">
        <v>336</v>
      </c>
      <c r="E61" s="13" t="s">
        <v>4</v>
      </c>
      <c r="F61" s="13">
        <v>20448115</v>
      </c>
      <c r="G61" s="13" t="s">
        <v>177</v>
      </c>
      <c r="H61" s="49" t="s">
        <v>508</v>
      </c>
      <c r="I61" s="14">
        <f>+'IBP export - Colar'!B56</f>
        <v>0</v>
      </c>
      <c r="J61" s="14">
        <f>+VLOOKUP(E61,'Summary - Colar'!$M$39:$N$54,2,FALSE)</f>
        <v>0.8528</v>
      </c>
      <c r="K61" s="14">
        <f t="shared" si="50"/>
        <v>0</v>
      </c>
      <c r="L61" s="506">
        <v>-0.35</v>
      </c>
      <c r="M61" s="53">
        <v>0.82944999704118039</v>
      </c>
      <c r="N61" s="507">
        <v>-0.42196636475799909</v>
      </c>
      <c r="O61" s="506">
        <v>0</v>
      </c>
      <c r="P61" s="53">
        <v>0.82985000194803504</v>
      </c>
      <c r="Q61" s="507">
        <v>0</v>
      </c>
      <c r="R61" s="506">
        <v>0</v>
      </c>
      <c r="S61" s="53">
        <v>0.83675000142339673</v>
      </c>
      <c r="T61" s="507">
        <v>0</v>
      </c>
      <c r="U61" s="506">
        <v>0</v>
      </c>
      <c r="V61" s="53">
        <v>0.84450000060846753</v>
      </c>
      <c r="W61" s="507">
        <v>0</v>
      </c>
      <c r="X61" s="506">
        <v>0</v>
      </c>
      <c r="Y61" s="53">
        <v>0.84404999960386917</v>
      </c>
      <c r="Z61" s="507">
        <v>0</v>
      </c>
      <c r="AA61" s="506">
        <v>-0.2</v>
      </c>
      <c r="AB61" s="53">
        <v>0.83594999940504033</v>
      </c>
      <c r="AC61" s="507">
        <v>-0.23924875906734061</v>
      </c>
      <c r="AD61" s="506">
        <v>0</v>
      </c>
      <c r="AE61" s="53">
        <v>0.83355000042005567</v>
      </c>
      <c r="AF61" s="507">
        <v>0</v>
      </c>
      <c r="AG61" s="506">
        <v>0</v>
      </c>
      <c r="AH61" s="53">
        <v>0.83210000018059904</v>
      </c>
      <c r="AI61" s="507">
        <v>0</v>
      </c>
      <c r="AJ61" s="506">
        <v>0</v>
      </c>
      <c r="AK61" s="53">
        <v>0.82765000030319136</v>
      </c>
      <c r="AL61" s="507">
        <v>0</v>
      </c>
      <c r="AM61" s="506">
        <v>-0.3</v>
      </c>
      <c r="AN61" s="53">
        <v>0.82594999743944864</v>
      </c>
      <c r="AO61" s="507">
        <v>-0.36321811360256506</v>
      </c>
      <c r="AP61" s="506">
        <v>0</v>
      </c>
      <c r="AQ61" s="53">
        <v>0.84075000044594062</v>
      </c>
      <c r="AR61" s="507">
        <v>0</v>
      </c>
      <c r="AS61" s="506">
        <v>0</v>
      </c>
      <c r="AT61" s="53">
        <v>0.84175</v>
      </c>
      <c r="AU61" s="507">
        <v>0</v>
      </c>
      <c r="AV61" s="506">
        <v>0</v>
      </c>
      <c r="AW61" s="53">
        <v>0.83715000023255848</v>
      </c>
      <c r="AX61" s="507">
        <v>0</v>
      </c>
      <c r="AY61" s="506">
        <v>0</v>
      </c>
      <c r="AZ61" s="53">
        <v>0.83345000011593484</v>
      </c>
      <c r="BA61" s="507">
        <v>0</v>
      </c>
      <c r="BB61" s="506">
        <v>-1</v>
      </c>
      <c r="BC61" s="53">
        <v>0.8352999999595857</v>
      </c>
      <c r="BD61" s="507">
        <v>-1.1971746678419526</v>
      </c>
      <c r="BE61" s="506">
        <v>0</v>
      </c>
      <c r="BF61" s="53">
        <v>0.83619999978584703</v>
      </c>
      <c r="BG61" s="507">
        <v>0</v>
      </c>
      <c r="BH61" s="380">
        <f t="shared" si="0"/>
        <v>-0.8352999999595857</v>
      </c>
      <c r="BI61" s="506">
        <v>0</v>
      </c>
      <c r="BJ61" s="53">
        <v>0.83434999986719449</v>
      </c>
      <c r="BK61" s="507">
        <v>0</v>
      </c>
      <c r="BL61" s="380">
        <f t="shared" si="1"/>
        <v>0</v>
      </c>
      <c r="BM61" s="506">
        <v>0</v>
      </c>
      <c r="BN61" s="53">
        <v>0.84160000070083552</v>
      </c>
      <c r="BO61" s="507">
        <v>0</v>
      </c>
      <c r="BP61">
        <v>-0.36321811360256506</v>
      </c>
      <c r="BQ61" s="506">
        <v>0</v>
      </c>
      <c r="BR61" s="53">
        <v>0.84934999973825842</v>
      </c>
      <c r="BS61" s="507">
        <v>0</v>
      </c>
      <c r="BT61" s="380">
        <f t="shared" si="2"/>
        <v>0</v>
      </c>
      <c r="BU61" s="506">
        <v>0</v>
      </c>
      <c r="BV61" s="53">
        <v>0.85520000047240285</v>
      </c>
      <c r="BW61" s="507">
        <v>0</v>
      </c>
      <c r="BX61" s="380">
        <f t="shared" si="3"/>
        <v>0</v>
      </c>
      <c r="BY61" s="506">
        <v>0</v>
      </c>
      <c r="BZ61" s="53">
        <v>0.85570000024121062</v>
      </c>
      <c r="CA61" s="507">
        <v>0</v>
      </c>
      <c r="CB61" s="380">
        <f t="shared" si="4"/>
        <v>0</v>
      </c>
      <c r="CC61" s="506">
        <v>0</v>
      </c>
      <c r="CD61" s="53">
        <v>0.86369999964947808</v>
      </c>
      <c r="CE61" s="507">
        <v>0</v>
      </c>
      <c r="CF61" s="380">
        <f t="shared" si="5"/>
        <v>0</v>
      </c>
      <c r="CG61" s="506">
        <v>0</v>
      </c>
      <c r="CH61" s="53">
        <v>0.85609999997089647</v>
      </c>
      <c r="CI61" s="507">
        <v>0</v>
      </c>
      <c r="CJ61" s="380">
        <f t="shared" si="6"/>
        <v>0</v>
      </c>
      <c r="CK61" s="506">
        <v>0</v>
      </c>
      <c r="CL61" s="53">
        <v>0.86570000046334739</v>
      </c>
      <c r="CM61" s="507">
        <v>0</v>
      </c>
      <c r="CN61" s="380">
        <f t="shared" si="7"/>
        <v>0</v>
      </c>
      <c r="CO61" s="506">
        <v>0</v>
      </c>
      <c r="CP61" s="53">
        <v>0.86384999950164088</v>
      </c>
      <c r="CQ61" s="507">
        <v>0</v>
      </c>
      <c r="CR61" s="380">
        <f t="shared" si="8"/>
        <v>0</v>
      </c>
      <c r="CS61" s="506">
        <v>0</v>
      </c>
      <c r="CT61" s="53">
        <v>0.85580000078257989</v>
      </c>
      <c r="CU61" s="507">
        <v>0</v>
      </c>
      <c r="CV61" s="380">
        <f t="shared" si="9"/>
        <v>0</v>
      </c>
      <c r="CW61" s="506">
        <v>0</v>
      </c>
      <c r="CX61" s="53">
        <v>0.85619999953234882</v>
      </c>
      <c r="CY61" s="507">
        <v>0</v>
      </c>
      <c r="CZ61" s="380">
        <f t="shared" si="10"/>
        <v>0</v>
      </c>
      <c r="DA61" s="506">
        <v>0</v>
      </c>
      <c r="DB61" s="53">
        <v>0.85640000044870379</v>
      </c>
      <c r="DC61" s="507">
        <v>0</v>
      </c>
      <c r="DD61" s="380">
        <f t="shared" si="11"/>
        <v>0</v>
      </c>
      <c r="DE61" s="506">
        <v>0</v>
      </c>
      <c r="DF61" s="53">
        <v>0.86165000042925399</v>
      </c>
      <c r="DG61" s="507">
        <v>0</v>
      </c>
      <c r="DH61" s="380">
        <f t="shared" si="12"/>
        <v>0</v>
      </c>
      <c r="DI61" s="506">
        <v>0</v>
      </c>
      <c r="DJ61" s="53">
        <v>0.85845000052737486</v>
      </c>
      <c r="DK61" s="507">
        <v>0</v>
      </c>
      <c r="DL61" s="380">
        <f t="shared" si="13"/>
        <v>0</v>
      </c>
      <c r="DM61" s="506">
        <v>0</v>
      </c>
      <c r="DN61" s="53">
        <v>0.85774999952894071</v>
      </c>
      <c r="DO61" s="507">
        <v>0</v>
      </c>
      <c r="DP61" s="380">
        <f t="shared" si="14"/>
        <v>0</v>
      </c>
      <c r="DQ61" s="506">
        <v>0</v>
      </c>
      <c r="DR61" s="53">
        <v>0.85095000037133195</v>
      </c>
      <c r="DS61" s="507">
        <v>0</v>
      </c>
      <c r="DT61" s="380">
        <f t="shared" si="15"/>
        <v>0</v>
      </c>
      <c r="DU61" s="506">
        <v>0</v>
      </c>
      <c r="DV61" s="53">
        <v>0.84944999993097159</v>
      </c>
      <c r="DW61" s="507">
        <v>0</v>
      </c>
      <c r="DX61" s="380">
        <f t="shared" si="16"/>
        <v>0</v>
      </c>
      <c r="DY61" s="506">
        <v>0</v>
      </c>
      <c r="DZ61" s="53">
        <v>0.85345000000000004</v>
      </c>
      <c r="EA61" s="507">
        <v>0</v>
      </c>
      <c r="EB61" s="380">
        <f t="shared" si="17"/>
        <v>0</v>
      </c>
      <c r="EC61" s="506">
        <v>0</v>
      </c>
      <c r="ED61" s="53">
        <v>0.85175000000000001</v>
      </c>
      <c r="EE61" s="507">
        <v>0</v>
      </c>
      <c r="EF61" s="380">
        <f t="shared" si="18"/>
        <v>0</v>
      </c>
      <c r="EG61" s="506">
        <v>0</v>
      </c>
      <c r="EH61" s="53">
        <v>0.84724999999999995</v>
      </c>
      <c r="EI61" s="507">
        <v>0</v>
      </c>
      <c r="EJ61" s="380">
        <f t="shared" si="19"/>
        <v>0</v>
      </c>
      <c r="EK61" s="506">
        <v>0</v>
      </c>
      <c r="EL61" s="53">
        <v>0.85085</v>
      </c>
      <c r="EM61" s="507">
        <v>0</v>
      </c>
      <c r="EN61" s="380">
        <f t="shared" si="20"/>
        <v>0</v>
      </c>
      <c r="EO61" s="506">
        <v>0</v>
      </c>
      <c r="EP61" s="53">
        <v>0.84740000000000004</v>
      </c>
      <c r="EQ61" s="507">
        <v>0</v>
      </c>
      <c r="ER61" s="380">
        <f t="shared" si="21"/>
        <v>0</v>
      </c>
      <c r="ES61" s="506">
        <v>0</v>
      </c>
      <c r="ET61" s="53">
        <v>0.84755000000000003</v>
      </c>
      <c r="EU61" s="507">
        <v>0</v>
      </c>
      <c r="EV61" s="380">
        <f t="shared" si="22"/>
        <v>0</v>
      </c>
      <c r="EW61" s="506">
        <v>0</v>
      </c>
      <c r="EX61" s="53">
        <v>0.84325000000000006</v>
      </c>
      <c r="EY61" s="507">
        <v>0</v>
      </c>
      <c r="EZ61" s="380">
        <f t="shared" si="23"/>
        <v>0</v>
      </c>
      <c r="FA61" s="506">
        <v>0</v>
      </c>
      <c r="FB61" s="53">
        <v>0.84045000000000003</v>
      </c>
      <c r="FC61" s="507">
        <v>0</v>
      </c>
      <c r="FD61" s="380">
        <f t="shared" si="24"/>
        <v>0</v>
      </c>
      <c r="FE61" s="506">
        <v>0</v>
      </c>
      <c r="FF61" s="53">
        <v>0.84119999999999995</v>
      </c>
      <c r="FG61" s="507">
        <v>0</v>
      </c>
      <c r="FH61" s="380">
        <f t="shared" si="25"/>
        <v>0</v>
      </c>
      <c r="FI61" s="506">
        <v>0</v>
      </c>
      <c r="FJ61" s="53">
        <v>0.84275</v>
      </c>
      <c r="FK61" s="507">
        <v>0</v>
      </c>
      <c r="FL61" s="380">
        <f t="shared" si="26"/>
        <v>0</v>
      </c>
      <c r="FM61" s="506">
        <v>0</v>
      </c>
      <c r="FN61" s="53">
        <v>0.84235000000000004</v>
      </c>
      <c r="FO61" s="507">
        <v>0</v>
      </c>
      <c r="FP61" s="380">
        <f t="shared" si="27"/>
        <v>0</v>
      </c>
      <c r="FQ61" s="506">
        <v>0</v>
      </c>
      <c r="FR61" s="53">
        <v>0.84150000000000003</v>
      </c>
      <c r="FS61" s="507">
        <v>0</v>
      </c>
      <c r="FT61" s="380">
        <f t="shared" si="28"/>
        <v>0</v>
      </c>
      <c r="FU61" s="506">
        <v>0</v>
      </c>
      <c r="FV61" s="53">
        <v>0.84399999999999997</v>
      </c>
      <c r="FW61" s="507">
        <v>0</v>
      </c>
      <c r="FX61" s="380">
        <f t="shared" si="29"/>
        <v>0</v>
      </c>
      <c r="FY61" s="506">
        <v>0</v>
      </c>
      <c r="FZ61" s="53">
        <v>0.83975</v>
      </c>
      <c r="GA61" s="507">
        <v>0</v>
      </c>
      <c r="GB61" s="380">
        <f t="shared" si="30"/>
        <v>0</v>
      </c>
      <c r="GC61" s="506">
        <v>0</v>
      </c>
      <c r="GD61" s="53">
        <v>0.83904999999999996</v>
      </c>
      <c r="GE61" s="507">
        <v>0</v>
      </c>
      <c r="GF61" s="380">
        <f t="shared" si="31"/>
        <v>0</v>
      </c>
      <c r="GG61" s="506">
        <v>1593</v>
      </c>
      <c r="GH61" s="53">
        <v>0.83779999999999999</v>
      </c>
      <c r="GI61" s="507">
        <v>1901.4084507042253</v>
      </c>
      <c r="GJ61" s="380">
        <f t="shared" si="32"/>
        <v>1901.4084507042253</v>
      </c>
      <c r="GK61" s="506">
        <v>0</v>
      </c>
      <c r="GL61" s="53">
        <v>0.8397</v>
      </c>
      <c r="GM61" s="507">
        <v>0</v>
      </c>
      <c r="GN61" s="380">
        <f t="shared" si="33"/>
        <v>-1901.4084507042253</v>
      </c>
      <c r="GO61" s="506">
        <v>0</v>
      </c>
      <c r="GP61" s="53">
        <v>0.83720000000000006</v>
      </c>
      <c r="GQ61" s="507">
        <v>0</v>
      </c>
      <c r="GR61" s="380">
        <f t="shared" si="34"/>
        <v>0</v>
      </c>
      <c r="GS61" s="506">
        <v>0</v>
      </c>
      <c r="GT61" s="53">
        <v>0.84130000000000005</v>
      </c>
      <c r="GU61" s="507">
        <v>0</v>
      </c>
      <c r="GV61" s="380">
        <f t="shared" si="35"/>
        <v>0</v>
      </c>
      <c r="GW61" s="506">
        <v>0</v>
      </c>
      <c r="GX61" s="53">
        <v>0.84325000000000006</v>
      </c>
      <c r="GY61" s="507">
        <v>0</v>
      </c>
      <c r="GZ61" s="380">
        <f t="shared" si="36"/>
        <v>0</v>
      </c>
      <c r="HA61" s="506">
        <v>0</v>
      </c>
      <c r="HB61" s="53">
        <v>0.84345000000000003</v>
      </c>
      <c r="HC61" s="507">
        <v>0</v>
      </c>
      <c r="HD61" s="380">
        <f t="shared" si="37"/>
        <v>0</v>
      </c>
      <c r="HE61" s="506">
        <v>0</v>
      </c>
      <c r="HF61" s="53">
        <v>0.84189999999999998</v>
      </c>
      <c r="HG61" s="507">
        <v>0</v>
      </c>
      <c r="HH61" s="380">
        <f t="shared" si="38"/>
        <v>0</v>
      </c>
      <c r="HI61" s="506">
        <v>0</v>
      </c>
      <c r="HJ61" s="53">
        <v>0.84194999999999998</v>
      </c>
      <c r="HK61" s="507">
        <v>0</v>
      </c>
      <c r="HL61" s="380">
        <f t="shared" si="39"/>
        <v>0</v>
      </c>
      <c r="HM61" s="506">
        <v>0</v>
      </c>
      <c r="HN61" s="53">
        <v>0.84260000000000002</v>
      </c>
      <c r="HO61" s="507">
        <v>0</v>
      </c>
      <c r="HP61" s="380">
        <f t="shared" si="40"/>
        <v>0</v>
      </c>
      <c r="HQ61" s="506">
        <v>0</v>
      </c>
      <c r="HR61" s="53">
        <v>0.84609999999999996</v>
      </c>
      <c r="HS61" s="507">
        <v>0</v>
      </c>
      <c r="HT61" s="380">
        <f t="shared" si="41"/>
        <v>0</v>
      </c>
      <c r="HU61" s="506">
        <v>0</v>
      </c>
      <c r="HV61" s="53">
        <v>0.84714999999999996</v>
      </c>
      <c r="HW61" s="507">
        <v>0</v>
      </c>
      <c r="HX61" s="380">
        <f t="shared" si="42"/>
        <v>0</v>
      </c>
      <c r="HY61" s="506">
        <v>0</v>
      </c>
      <c r="HZ61" s="53">
        <v>0.85004999999999997</v>
      </c>
      <c r="IA61" s="507">
        <v>0</v>
      </c>
      <c r="IB61" s="380">
        <f t="shared" si="43"/>
        <v>0</v>
      </c>
      <c r="IC61" s="506">
        <v>0</v>
      </c>
      <c r="ID61" s="53">
        <v>0.85004999999999997</v>
      </c>
      <c r="IE61" s="507">
        <v>0</v>
      </c>
      <c r="IF61" s="380">
        <f t="shared" si="44"/>
        <v>0</v>
      </c>
      <c r="IG61" s="506">
        <v>0</v>
      </c>
      <c r="IH61" s="53">
        <v>0.85004999999999997</v>
      </c>
      <c r="II61" s="507">
        <v>0</v>
      </c>
      <c r="IJ61" s="380">
        <f t="shared" si="45"/>
        <v>0</v>
      </c>
      <c r="IK61" s="506">
        <v>0</v>
      </c>
      <c r="IL61" s="53">
        <v>0.85004999999999997</v>
      </c>
      <c r="IM61" s="507">
        <v>0</v>
      </c>
      <c r="IN61" s="380">
        <f t="shared" si="46"/>
        <v>0</v>
      </c>
      <c r="IO61" s="506">
        <v>0</v>
      </c>
      <c r="IP61" s="53">
        <v>0.85004999999999997</v>
      </c>
      <c r="IQ61" s="507">
        <v>0</v>
      </c>
      <c r="IR61" s="380">
        <f t="shared" si="47"/>
        <v>0</v>
      </c>
      <c r="IS61" s="506">
        <v>0</v>
      </c>
      <c r="IT61" s="53">
        <v>0.85004999999999997</v>
      </c>
      <c r="IU61" s="507">
        <v>0</v>
      </c>
      <c r="IV61" s="380">
        <f t="shared" si="48"/>
        <v>0</v>
      </c>
      <c r="IW61" s="506">
        <v>0</v>
      </c>
      <c r="IX61" s="53">
        <v>0.8528</v>
      </c>
      <c r="IY61" s="507">
        <v>0</v>
      </c>
      <c r="IZ61" s="380">
        <f t="shared" si="49"/>
        <v>0</v>
      </c>
    </row>
    <row r="62" spans="1:260">
      <c r="A62" s="13" t="s">
        <v>613</v>
      </c>
      <c r="B62" s="13" t="s">
        <v>614</v>
      </c>
      <c r="C62" s="13" t="s">
        <v>181</v>
      </c>
      <c r="D62" s="13" t="s">
        <v>336</v>
      </c>
      <c r="E62" s="13" t="s">
        <v>2</v>
      </c>
      <c r="F62" s="13">
        <v>90029801</v>
      </c>
      <c r="G62" s="13" t="s">
        <v>180</v>
      </c>
      <c r="H62" s="49" t="s">
        <v>508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50"/>
        <v>0</v>
      </c>
      <c r="L62" s="506">
        <v>0</v>
      </c>
      <c r="M62" s="53">
        <v>1</v>
      </c>
      <c r="N62" s="507">
        <v>0</v>
      </c>
      <c r="O62" s="506">
        <v>0</v>
      </c>
      <c r="P62" s="53">
        <v>1</v>
      </c>
      <c r="Q62" s="507">
        <v>0</v>
      </c>
      <c r="R62" s="506">
        <v>0</v>
      </c>
      <c r="S62" s="53">
        <v>1</v>
      </c>
      <c r="T62" s="507">
        <v>0</v>
      </c>
      <c r="U62" s="506">
        <v>0</v>
      </c>
      <c r="V62" s="53">
        <v>1</v>
      </c>
      <c r="W62" s="507">
        <v>0</v>
      </c>
      <c r="X62" s="506">
        <v>0</v>
      </c>
      <c r="Y62" s="53">
        <v>1</v>
      </c>
      <c r="Z62" s="507">
        <v>0</v>
      </c>
      <c r="AA62" s="506">
        <v>0</v>
      </c>
      <c r="AB62" s="53">
        <v>1</v>
      </c>
      <c r="AC62" s="507">
        <v>0</v>
      </c>
      <c r="AD62" s="506">
        <v>0</v>
      </c>
      <c r="AE62" s="53">
        <v>1</v>
      </c>
      <c r="AF62" s="507">
        <v>0</v>
      </c>
      <c r="AG62" s="506">
        <v>0</v>
      </c>
      <c r="AH62" s="53">
        <v>1</v>
      </c>
      <c r="AI62" s="507">
        <v>0</v>
      </c>
      <c r="AJ62" s="506">
        <v>0</v>
      </c>
      <c r="AK62" s="53">
        <v>1</v>
      </c>
      <c r="AL62" s="507">
        <v>0</v>
      </c>
      <c r="AM62" s="506">
        <v>0</v>
      </c>
      <c r="AN62" s="53">
        <v>1</v>
      </c>
      <c r="AO62" s="507">
        <v>0</v>
      </c>
      <c r="AP62" s="506">
        <v>0</v>
      </c>
      <c r="AQ62" s="53">
        <v>1</v>
      </c>
      <c r="AR62" s="507">
        <v>0</v>
      </c>
      <c r="AS62" s="506">
        <v>0</v>
      </c>
      <c r="AT62" s="53">
        <v>1</v>
      </c>
      <c r="AU62" s="507">
        <v>0</v>
      </c>
      <c r="AV62" s="506">
        <v>0</v>
      </c>
      <c r="AW62" s="53">
        <v>1</v>
      </c>
      <c r="AX62" s="507">
        <v>0</v>
      </c>
      <c r="AY62" s="506">
        <v>0</v>
      </c>
      <c r="AZ62" s="53">
        <v>1</v>
      </c>
      <c r="BA62" s="507">
        <v>0</v>
      </c>
      <c r="BB62" s="506">
        <v>0</v>
      </c>
      <c r="BC62" s="53">
        <v>1</v>
      </c>
      <c r="BD62" s="507">
        <v>0</v>
      </c>
      <c r="BE62" s="506">
        <v>0</v>
      </c>
      <c r="BF62" s="53">
        <v>1</v>
      </c>
      <c r="BG62" s="507">
        <v>0</v>
      </c>
      <c r="BH62" s="380">
        <f t="shared" si="0"/>
        <v>-1</v>
      </c>
      <c r="BI62" s="506">
        <v>0</v>
      </c>
      <c r="BJ62" s="53">
        <v>1</v>
      </c>
      <c r="BK62" s="507">
        <v>0</v>
      </c>
      <c r="BL62" s="380">
        <f t="shared" si="1"/>
        <v>0</v>
      </c>
      <c r="BM62" s="506">
        <v>0</v>
      </c>
      <c r="BN62" s="53">
        <v>1</v>
      </c>
      <c r="BO62" s="507">
        <v>0</v>
      </c>
      <c r="BP62">
        <v>0</v>
      </c>
      <c r="BQ62" s="506">
        <v>0</v>
      </c>
      <c r="BR62" s="53">
        <v>1</v>
      </c>
      <c r="BS62" s="507">
        <v>0</v>
      </c>
      <c r="BT62" s="380">
        <f t="shared" si="2"/>
        <v>0</v>
      </c>
      <c r="BU62" s="506">
        <v>0</v>
      </c>
      <c r="BV62" s="53">
        <v>1</v>
      </c>
      <c r="BW62" s="507">
        <v>0</v>
      </c>
      <c r="BX62" s="380">
        <f t="shared" si="3"/>
        <v>0</v>
      </c>
      <c r="BY62" s="506">
        <v>0</v>
      </c>
      <c r="BZ62" s="53">
        <v>1</v>
      </c>
      <c r="CA62" s="507">
        <v>0</v>
      </c>
      <c r="CB62" s="380">
        <f t="shared" si="4"/>
        <v>0</v>
      </c>
      <c r="CC62" s="506">
        <v>0</v>
      </c>
      <c r="CD62" s="53">
        <v>1</v>
      </c>
      <c r="CE62" s="507">
        <v>0</v>
      </c>
      <c r="CF62" s="380">
        <f t="shared" si="5"/>
        <v>0</v>
      </c>
      <c r="CG62" s="506">
        <v>0</v>
      </c>
      <c r="CH62" s="53">
        <v>1</v>
      </c>
      <c r="CI62" s="507">
        <v>0</v>
      </c>
      <c r="CJ62" s="380">
        <f t="shared" si="6"/>
        <v>0</v>
      </c>
      <c r="CK62" s="506">
        <v>0</v>
      </c>
      <c r="CL62" s="53">
        <v>1</v>
      </c>
      <c r="CM62" s="507">
        <v>0</v>
      </c>
      <c r="CN62" s="380">
        <f t="shared" si="7"/>
        <v>0</v>
      </c>
      <c r="CO62" s="506">
        <v>0</v>
      </c>
      <c r="CP62" s="53">
        <v>1</v>
      </c>
      <c r="CQ62" s="507">
        <v>0</v>
      </c>
      <c r="CR62" s="380">
        <f t="shared" si="8"/>
        <v>0</v>
      </c>
      <c r="CS62" s="506">
        <v>0</v>
      </c>
      <c r="CT62" s="53">
        <v>1</v>
      </c>
      <c r="CU62" s="507">
        <v>0</v>
      </c>
      <c r="CV62" s="380">
        <f t="shared" si="9"/>
        <v>0</v>
      </c>
      <c r="CW62" s="506">
        <v>0</v>
      </c>
      <c r="CX62" s="53">
        <v>1</v>
      </c>
      <c r="CY62" s="507">
        <v>0</v>
      </c>
      <c r="CZ62" s="380">
        <f t="shared" si="10"/>
        <v>0</v>
      </c>
      <c r="DA62" s="506">
        <v>0</v>
      </c>
      <c r="DB62" s="53">
        <v>1</v>
      </c>
      <c r="DC62" s="507">
        <v>0</v>
      </c>
      <c r="DD62" s="380">
        <f t="shared" si="11"/>
        <v>0</v>
      </c>
      <c r="DE62" s="506">
        <v>0</v>
      </c>
      <c r="DF62" s="53">
        <v>1</v>
      </c>
      <c r="DG62" s="507">
        <v>0</v>
      </c>
      <c r="DH62" s="380">
        <f t="shared" si="12"/>
        <v>0</v>
      </c>
      <c r="DI62" s="506">
        <v>0</v>
      </c>
      <c r="DJ62" s="53">
        <v>1</v>
      </c>
      <c r="DK62" s="507">
        <v>0</v>
      </c>
      <c r="DL62" s="380">
        <f t="shared" si="13"/>
        <v>0</v>
      </c>
      <c r="DM62" s="506">
        <v>0</v>
      </c>
      <c r="DN62" s="53">
        <v>1</v>
      </c>
      <c r="DO62" s="507">
        <v>0</v>
      </c>
      <c r="DP62" s="380">
        <f t="shared" si="14"/>
        <v>0</v>
      </c>
      <c r="DQ62" s="506">
        <v>0</v>
      </c>
      <c r="DR62" s="53">
        <v>1</v>
      </c>
      <c r="DS62" s="507">
        <v>0</v>
      </c>
      <c r="DT62" s="380">
        <f t="shared" si="15"/>
        <v>0</v>
      </c>
      <c r="DU62" s="506">
        <v>0</v>
      </c>
      <c r="DV62" s="53">
        <v>1</v>
      </c>
      <c r="DW62" s="507">
        <v>0</v>
      </c>
      <c r="DX62" s="380">
        <f t="shared" si="16"/>
        <v>0</v>
      </c>
      <c r="DY62" s="506">
        <v>0</v>
      </c>
      <c r="DZ62" s="53">
        <v>1</v>
      </c>
      <c r="EA62" s="507">
        <v>0</v>
      </c>
      <c r="EB62" s="380">
        <f t="shared" si="17"/>
        <v>0</v>
      </c>
      <c r="EC62" s="506">
        <v>0</v>
      </c>
      <c r="ED62" s="53">
        <v>1</v>
      </c>
      <c r="EE62" s="507">
        <v>0</v>
      </c>
      <c r="EF62" s="380">
        <f t="shared" si="18"/>
        <v>0</v>
      </c>
      <c r="EG62" s="506">
        <v>0</v>
      </c>
      <c r="EH62" s="53">
        <v>1</v>
      </c>
      <c r="EI62" s="507">
        <v>0</v>
      </c>
      <c r="EJ62" s="380">
        <f t="shared" si="19"/>
        <v>0</v>
      </c>
      <c r="EK62" s="506">
        <v>0</v>
      </c>
      <c r="EL62" s="53">
        <v>1</v>
      </c>
      <c r="EM62" s="507">
        <v>0</v>
      </c>
      <c r="EN62" s="380">
        <f t="shared" si="20"/>
        <v>0</v>
      </c>
      <c r="EO62" s="506">
        <v>0</v>
      </c>
      <c r="EP62" s="53">
        <v>1</v>
      </c>
      <c r="EQ62" s="507">
        <v>0</v>
      </c>
      <c r="ER62" s="380">
        <f t="shared" si="21"/>
        <v>0</v>
      </c>
      <c r="ES62" s="506">
        <v>0</v>
      </c>
      <c r="ET62" s="53">
        <v>1</v>
      </c>
      <c r="EU62" s="507">
        <v>0</v>
      </c>
      <c r="EV62" s="380">
        <f t="shared" si="22"/>
        <v>0</v>
      </c>
      <c r="EW62" s="506">
        <v>0</v>
      </c>
      <c r="EX62" s="53">
        <v>1</v>
      </c>
      <c r="EY62" s="507">
        <v>0</v>
      </c>
      <c r="EZ62" s="380">
        <f t="shared" si="23"/>
        <v>0</v>
      </c>
      <c r="FA62" s="506">
        <v>0</v>
      </c>
      <c r="FB62" s="53">
        <v>1</v>
      </c>
      <c r="FC62" s="507">
        <v>0</v>
      </c>
      <c r="FD62" s="380">
        <f t="shared" si="24"/>
        <v>0</v>
      </c>
      <c r="FE62" s="506">
        <v>0</v>
      </c>
      <c r="FF62" s="53">
        <v>1</v>
      </c>
      <c r="FG62" s="507">
        <v>0</v>
      </c>
      <c r="FH62" s="380">
        <f t="shared" si="25"/>
        <v>0</v>
      </c>
      <c r="FI62" s="506">
        <v>0</v>
      </c>
      <c r="FJ62" s="53">
        <v>1</v>
      </c>
      <c r="FK62" s="507">
        <v>0</v>
      </c>
      <c r="FL62" s="380">
        <f t="shared" si="26"/>
        <v>0</v>
      </c>
      <c r="FM62" s="506">
        <v>0</v>
      </c>
      <c r="FN62" s="53">
        <v>1</v>
      </c>
      <c r="FO62" s="507">
        <v>0</v>
      </c>
      <c r="FP62" s="380">
        <f t="shared" si="27"/>
        <v>0</v>
      </c>
      <c r="FQ62" s="506">
        <v>0</v>
      </c>
      <c r="FR62" s="53">
        <v>1</v>
      </c>
      <c r="FS62" s="507">
        <v>0</v>
      </c>
      <c r="FT62" s="380">
        <f t="shared" si="28"/>
        <v>0</v>
      </c>
      <c r="FU62" s="506">
        <v>0</v>
      </c>
      <c r="FV62" s="53">
        <v>1</v>
      </c>
      <c r="FW62" s="507">
        <v>0</v>
      </c>
      <c r="FX62" s="380">
        <f t="shared" si="29"/>
        <v>0</v>
      </c>
      <c r="FY62" s="506">
        <v>0</v>
      </c>
      <c r="FZ62" s="53">
        <v>1</v>
      </c>
      <c r="GA62" s="507">
        <v>0</v>
      </c>
      <c r="GB62" s="380">
        <f t="shared" si="30"/>
        <v>0</v>
      </c>
      <c r="GC62" s="506">
        <v>0</v>
      </c>
      <c r="GD62" s="53">
        <v>1</v>
      </c>
      <c r="GE62" s="507">
        <v>0</v>
      </c>
      <c r="GF62" s="380">
        <f t="shared" si="31"/>
        <v>0</v>
      </c>
      <c r="GG62" s="506">
        <v>0</v>
      </c>
      <c r="GH62" s="53">
        <v>1</v>
      </c>
      <c r="GI62" s="507">
        <v>0</v>
      </c>
      <c r="GJ62" s="380">
        <f t="shared" si="32"/>
        <v>0</v>
      </c>
      <c r="GK62" s="506">
        <v>0</v>
      </c>
      <c r="GL62" s="53">
        <v>1</v>
      </c>
      <c r="GM62" s="507">
        <v>0</v>
      </c>
      <c r="GN62" s="380">
        <f t="shared" si="33"/>
        <v>0</v>
      </c>
      <c r="GO62" s="506">
        <v>0</v>
      </c>
      <c r="GP62" s="53">
        <v>1</v>
      </c>
      <c r="GQ62" s="507">
        <v>0</v>
      </c>
      <c r="GR62" s="380">
        <f t="shared" si="34"/>
        <v>0</v>
      </c>
      <c r="GS62" s="506">
        <v>0</v>
      </c>
      <c r="GT62" s="53">
        <v>1</v>
      </c>
      <c r="GU62" s="507">
        <v>0</v>
      </c>
      <c r="GV62" s="380">
        <f t="shared" si="35"/>
        <v>0</v>
      </c>
      <c r="GW62" s="506">
        <v>0</v>
      </c>
      <c r="GX62" s="53">
        <v>1</v>
      </c>
      <c r="GY62" s="507">
        <v>0</v>
      </c>
      <c r="GZ62" s="380">
        <f t="shared" si="36"/>
        <v>0</v>
      </c>
      <c r="HA62" s="506">
        <v>0</v>
      </c>
      <c r="HB62" s="53">
        <v>1</v>
      </c>
      <c r="HC62" s="507">
        <v>0</v>
      </c>
      <c r="HD62" s="380">
        <f t="shared" si="37"/>
        <v>0</v>
      </c>
      <c r="HE62" s="506">
        <v>0</v>
      </c>
      <c r="HF62" s="53">
        <v>1</v>
      </c>
      <c r="HG62" s="507">
        <v>0</v>
      </c>
      <c r="HH62" s="380">
        <f t="shared" si="38"/>
        <v>0</v>
      </c>
      <c r="HI62" s="506">
        <v>0</v>
      </c>
      <c r="HJ62" s="53">
        <v>1</v>
      </c>
      <c r="HK62" s="507">
        <v>0</v>
      </c>
      <c r="HL62" s="380">
        <f t="shared" si="39"/>
        <v>0</v>
      </c>
      <c r="HM62" s="506">
        <v>0</v>
      </c>
      <c r="HN62" s="53">
        <v>1</v>
      </c>
      <c r="HO62" s="507">
        <v>0</v>
      </c>
      <c r="HP62" s="380">
        <f t="shared" si="40"/>
        <v>0</v>
      </c>
      <c r="HQ62" s="506">
        <v>0</v>
      </c>
      <c r="HR62" s="53">
        <v>1</v>
      </c>
      <c r="HS62" s="507">
        <v>0</v>
      </c>
      <c r="HT62" s="380">
        <f t="shared" si="41"/>
        <v>0</v>
      </c>
      <c r="HU62" s="506">
        <v>0</v>
      </c>
      <c r="HV62" s="53">
        <v>1</v>
      </c>
      <c r="HW62" s="507">
        <v>0</v>
      </c>
      <c r="HX62" s="380">
        <f t="shared" si="42"/>
        <v>0</v>
      </c>
      <c r="HY62" s="506">
        <v>0</v>
      </c>
      <c r="HZ62" s="53">
        <v>1</v>
      </c>
      <c r="IA62" s="507">
        <v>0</v>
      </c>
      <c r="IB62" s="380">
        <f t="shared" si="43"/>
        <v>0</v>
      </c>
      <c r="IC62" s="506">
        <v>0</v>
      </c>
      <c r="ID62" s="53">
        <v>1</v>
      </c>
      <c r="IE62" s="507">
        <v>0</v>
      </c>
      <c r="IF62" s="380">
        <f t="shared" si="44"/>
        <v>0</v>
      </c>
      <c r="IG62" s="506">
        <v>0</v>
      </c>
      <c r="IH62" s="53">
        <v>1</v>
      </c>
      <c r="II62" s="507">
        <v>0</v>
      </c>
      <c r="IJ62" s="380">
        <f t="shared" si="45"/>
        <v>0</v>
      </c>
      <c r="IK62" s="506">
        <v>0</v>
      </c>
      <c r="IL62" s="53">
        <v>1</v>
      </c>
      <c r="IM62" s="507">
        <v>0</v>
      </c>
      <c r="IN62" s="380">
        <f t="shared" si="46"/>
        <v>0</v>
      </c>
      <c r="IO62" s="506">
        <v>0</v>
      </c>
      <c r="IP62" s="53">
        <v>1</v>
      </c>
      <c r="IQ62" s="507">
        <v>0</v>
      </c>
      <c r="IR62" s="380">
        <f t="shared" si="47"/>
        <v>0</v>
      </c>
      <c r="IS62" s="506">
        <v>0</v>
      </c>
      <c r="IT62" s="53">
        <v>1</v>
      </c>
      <c r="IU62" s="507">
        <v>0</v>
      </c>
      <c r="IV62" s="380">
        <f t="shared" si="48"/>
        <v>0</v>
      </c>
      <c r="IW62" s="506">
        <v>0</v>
      </c>
      <c r="IX62" s="53">
        <v>1</v>
      </c>
      <c r="IY62" s="507">
        <v>0</v>
      </c>
      <c r="IZ62" s="380">
        <f t="shared" si="49"/>
        <v>0</v>
      </c>
    </row>
    <row r="63" spans="1:260">
      <c r="A63" s="50" t="s">
        <v>615</v>
      </c>
      <c r="B63" s="13" t="s">
        <v>616</v>
      </c>
      <c r="C63" s="13" t="s">
        <v>225</v>
      </c>
      <c r="D63" s="13" t="s">
        <v>336</v>
      </c>
      <c r="E63" s="13" t="s">
        <v>15</v>
      </c>
      <c r="F63" s="13" t="s">
        <v>617</v>
      </c>
      <c r="G63" s="13" t="s">
        <v>244</v>
      </c>
      <c r="H63" s="49" t="s">
        <v>508</v>
      </c>
      <c r="I63" s="14">
        <f>+'IBP export - Colar'!F79</f>
        <v>0</v>
      </c>
      <c r="J63" s="14">
        <f>+VLOOKUP(E63,'Summary - Colar'!$M$39:$N$54,2,FALSE)</f>
        <v>4.2567500000000003</v>
      </c>
      <c r="K63" s="14">
        <f t="shared" si="50"/>
        <v>0</v>
      </c>
      <c r="L63" s="506">
        <v>0</v>
      </c>
      <c r="M63" s="53">
        <v>4.2752498697683077</v>
      </c>
      <c r="N63" s="507">
        <v>0</v>
      </c>
      <c r="O63" s="506">
        <v>0</v>
      </c>
      <c r="P63" s="53">
        <v>3.1965890823886927</v>
      </c>
      <c r="Q63" s="507">
        <v>0</v>
      </c>
      <c r="R63" s="506">
        <v>0</v>
      </c>
      <c r="S63" s="53">
        <v>3.6078577538932697</v>
      </c>
      <c r="T63" s="507">
        <v>0</v>
      </c>
      <c r="U63" s="506">
        <v>0</v>
      </c>
      <c r="V63" s="53">
        <v>4.2592495171907769</v>
      </c>
      <c r="W63" s="507">
        <v>0</v>
      </c>
      <c r="X63" s="506">
        <v>0</v>
      </c>
      <c r="Y63" s="53">
        <v>4.2137481424668044</v>
      </c>
      <c r="Z63" s="507">
        <v>0</v>
      </c>
      <c r="AA63" s="506">
        <v>0</v>
      </c>
      <c r="AB63" s="53">
        <v>4.2142387507704955</v>
      </c>
      <c r="AC63" s="507">
        <v>0</v>
      </c>
      <c r="AD63" s="506">
        <v>0</v>
      </c>
      <c r="AE63" s="53">
        <v>4.1964992990431593</v>
      </c>
      <c r="AF63" s="507">
        <v>0</v>
      </c>
      <c r="AG63" s="506">
        <v>0</v>
      </c>
      <c r="AH63" s="53">
        <v>4.1649990994236301</v>
      </c>
      <c r="AI63" s="507">
        <v>0</v>
      </c>
      <c r="AJ63" s="506">
        <v>0</v>
      </c>
      <c r="AK63" s="53">
        <v>4.1680001306250407</v>
      </c>
      <c r="AL63" s="507">
        <v>0</v>
      </c>
      <c r="AM63" s="506">
        <v>0</v>
      </c>
      <c r="AN63" s="53">
        <v>4.1497498320689647</v>
      </c>
      <c r="AO63" s="507">
        <v>0</v>
      </c>
      <c r="AP63" s="506">
        <v>0</v>
      </c>
      <c r="AQ63" s="53">
        <v>4.1780001160987501</v>
      </c>
      <c r="AR63" s="507">
        <v>0</v>
      </c>
      <c r="AS63" s="506">
        <v>0</v>
      </c>
      <c r="AT63" s="53">
        <v>4.1702500000000002</v>
      </c>
      <c r="AU63" s="507">
        <v>0</v>
      </c>
      <c r="AV63" s="506">
        <v>0</v>
      </c>
      <c r="AW63" s="53">
        <v>4.1987496438879992</v>
      </c>
      <c r="AX63" s="507">
        <v>0</v>
      </c>
      <c r="AY63" s="506">
        <v>0</v>
      </c>
      <c r="AZ63" s="53">
        <v>4.1804998552264561</v>
      </c>
      <c r="BA63" s="507">
        <v>0</v>
      </c>
      <c r="BB63" s="506">
        <v>0</v>
      </c>
      <c r="BC63" s="53">
        <v>4.1837503343525624</v>
      </c>
      <c r="BD63" s="507">
        <v>0</v>
      </c>
      <c r="BE63" s="506">
        <v>0</v>
      </c>
      <c r="BF63" s="53">
        <v>4.1872503790858762</v>
      </c>
      <c r="BG63" s="507">
        <v>0</v>
      </c>
      <c r="BH63" s="380">
        <f t="shared" si="0"/>
        <v>-4.1837503343525624</v>
      </c>
      <c r="BI63" s="506">
        <v>0</v>
      </c>
      <c r="BJ63" s="53">
        <v>4.1772498657576511</v>
      </c>
      <c r="BK63" s="507">
        <v>0</v>
      </c>
      <c r="BL63" s="380">
        <f t="shared" si="1"/>
        <v>0</v>
      </c>
      <c r="BM63" s="506">
        <v>0</v>
      </c>
      <c r="BN63" s="53">
        <v>4.1952499771846563</v>
      </c>
      <c r="BO63" s="507">
        <v>0</v>
      </c>
      <c r="BP63">
        <v>0</v>
      </c>
      <c r="BQ63" s="506">
        <v>0</v>
      </c>
      <c r="BR63" s="53">
        <v>4.2557503737592732</v>
      </c>
      <c r="BS63" s="507">
        <v>0</v>
      </c>
      <c r="BT63" s="380">
        <f t="shared" si="2"/>
        <v>0</v>
      </c>
      <c r="BU63" s="506">
        <v>0</v>
      </c>
      <c r="BV63" s="53">
        <v>4.2934996338144407</v>
      </c>
      <c r="BW63" s="507">
        <v>0</v>
      </c>
      <c r="BX63" s="380">
        <f t="shared" si="3"/>
        <v>0</v>
      </c>
      <c r="BY63" s="506">
        <v>0</v>
      </c>
      <c r="BZ63" s="53">
        <v>4.2717497069272392</v>
      </c>
      <c r="CA63" s="507">
        <v>0</v>
      </c>
      <c r="CB63" s="380">
        <f t="shared" si="4"/>
        <v>0</v>
      </c>
      <c r="CC63" s="506">
        <v>0</v>
      </c>
      <c r="CD63" s="53">
        <v>4.2947502531593544</v>
      </c>
      <c r="CE63" s="507">
        <v>0</v>
      </c>
      <c r="CF63" s="380">
        <f t="shared" si="5"/>
        <v>0</v>
      </c>
      <c r="CG63" s="506">
        <v>0</v>
      </c>
      <c r="CH63" s="53">
        <v>4.2557503737592732</v>
      </c>
      <c r="CI63" s="507">
        <v>0</v>
      </c>
      <c r="CJ63" s="380">
        <f t="shared" si="6"/>
        <v>0</v>
      </c>
      <c r="CK63" s="506">
        <v>0</v>
      </c>
      <c r="CL63" s="53">
        <v>4.2942496829513397</v>
      </c>
      <c r="CM63" s="507">
        <v>0</v>
      </c>
      <c r="CN63" s="380">
        <f t="shared" si="7"/>
        <v>0</v>
      </c>
      <c r="CO63" s="506">
        <v>0</v>
      </c>
      <c r="CP63" s="53">
        <v>4.2852498841157427</v>
      </c>
      <c r="CQ63" s="507">
        <v>0</v>
      </c>
      <c r="CR63" s="380">
        <f t="shared" si="8"/>
        <v>0</v>
      </c>
      <c r="CS63" s="506">
        <v>0</v>
      </c>
      <c r="CT63" s="53">
        <v>4.2824997373557228</v>
      </c>
      <c r="CU63" s="507">
        <v>0</v>
      </c>
      <c r="CV63" s="380">
        <f t="shared" si="9"/>
        <v>0</v>
      </c>
      <c r="CW63" s="506">
        <v>0</v>
      </c>
      <c r="CX63" s="53">
        <v>4.2965002317027841</v>
      </c>
      <c r="CY63" s="507">
        <v>0</v>
      </c>
      <c r="CZ63" s="380">
        <f t="shared" si="10"/>
        <v>0</v>
      </c>
      <c r="DA63" s="506">
        <v>0</v>
      </c>
      <c r="DB63" s="53">
        <v>4.2792501930005873</v>
      </c>
      <c r="DC63" s="507">
        <v>0</v>
      </c>
      <c r="DD63" s="380">
        <f t="shared" si="11"/>
        <v>0</v>
      </c>
      <c r="DE63" s="506">
        <v>0</v>
      </c>
      <c r="DF63" s="53">
        <v>4.2747502071638213</v>
      </c>
      <c r="DG63" s="507">
        <v>0</v>
      </c>
      <c r="DH63" s="380">
        <f t="shared" si="12"/>
        <v>0</v>
      </c>
      <c r="DI63" s="506">
        <v>0</v>
      </c>
      <c r="DJ63" s="53">
        <v>4.280000313422077</v>
      </c>
      <c r="DK63" s="507">
        <v>0</v>
      </c>
      <c r="DL63" s="380">
        <f t="shared" si="13"/>
        <v>0</v>
      </c>
      <c r="DM63" s="506">
        <v>0</v>
      </c>
      <c r="DN63" s="53">
        <v>4.2929999681134907</v>
      </c>
      <c r="DO63" s="507">
        <v>0</v>
      </c>
      <c r="DP63" s="380">
        <f t="shared" si="14"/>
        <v>0</v>
      </c>
      <c r="DQ63" s="506">
        <v>0</v>
      </c>
      <c r="DR63" s="53">
        <v>4.2757502359513877</v>
      </c>
      <c r="DS63" s="507">
        <v>0</v>
      </c>
      <c r="DT63" s="380">
        <f t="shared" si="15"/>
        <v>0</v>
      </c>
      <c r="DU63" s="506">
        <v>0</v>
      </c>
      <c r="DV63" s="53">
        <v>4.2792501930005873</v>
      </c>
      <c r="DW63" s="507">
        <v>0</v>
      </c>
      <c r="DX63" s="380">
        <f t="shared" si="16"/>
        <v>0</v>
      </c>
      <c r="DY63" s="506">
        <v>0</v>
      </c>
      <c r="DZ63" s="53">
        <v>4.274</v>
      </c>
      <c r="EA63" s="507">
        <v>0</v>
      </c>
      <c r="EB63" s="380">
        <f t="shared" si="17"/>
        <v>0</v>
      </c>
      <c r="EC63" s="506">
        <v>0</v>
      </c>
      <c r="ED63" s="53">
        <v>4.2774999999999999</v>
      </c>
      <c r="EE63" s="507">
        <v>0</v>
      </c>
      <c r="EF63" s="380">
        <f t="shared" si="18"/>
        <v>0</v>
      </c>
      <c r="EG63" s="506">
        <v>0</v>
      </c>
      <c r="EH63" s="53">
        <v>4.2752499999999998</v>
      </c>
      <c r="EI63" s="507">
        <v>0</v>
      </c>
      <c r="EJ63" s="380">
        <f t="shared" si="19"/>
        <v>0</v>
      </c>
      <c r="EK63" s="506">
        <v>0</v>
      </c>
      <c r="EL63" s="53">
        <v>4.2774999999999999</v>
      </c>
      <c r="EM63" s="507">
        <v>0</v>
      </c>
      <c r="EN63" s="380">
        <f t="shared" si="20"/>
        <v>0</v>
      </c>
      <c r="EO63" s="506">
        <v>0</v>
      </c>
      <c r="EP63" s="53">
        <v>4.2707499999999996</v>
      </c>
      <c r="EQ63" s="507">
        <v>0</v>
      </c>
      <c r="ER63" s="380">
        <f t="shared" si="21"/>
        <v>0</v>
      </c>
      <c r="ES63" s="506">
        <v>0</v>
      </c>
      <c r="ET63" s="53">
        <v>4.2389999999999999</v>
      </c>
      <c r="EU63" s="507">
        <v>0</v>
      </c>
      <c r="EV63" s="380">
        <f t="shared" si="22"/>
        <v>0</v>
      </c>
      <c r="EW63" s="506">
        <v>0</v>
      </c>
      <c r="EX63" s="53">
        <v>4.2407500000000002</v>
      </c>
      <c r="EY63" s="507">
        <v>0</v>
      </c>
      <c r="EZ63" s="380">
        <f t="shared" si="23"/>
        <v>0</v>
      </c>
      <c r="FA63" s="506">
        <v>0</v>
      </c>
      <c r="FB63" s="53">
        <v>4.25</v>
      </c>
      <c r="FC63" s="507">
        <v>0</v>
      </c>
      <c r="FD63" s="380">
        <f t="shared" si="24"/>
        <v>0</v>
      </c>
      <c r="FE63" s="506">
        <v>0</v>
      </c>
      <c r="FF63" s="53">
        <v>4.2417499999999997</v>
      </c>
      <c r="FG63" s="507">
        <v>0</v>
      </c>
      <c r="FH63" s="380">
        <f t="shared" si="25"/>
        <v>0</v>
      </c>
      <c r="FI63" s="506">
        <v>0</v>
      </c>
      <c r="FJ63" s="53">
        <v>4.2530000000000001</v>
      </c>
      <c r="FK63" s="507">
        <v>0</v>
      </c>
      <c r="FL63" s="380">
        <f t="shared" si="26"/>
        <v>0</v>
      </c>
      <c r="FM63" s="506">
        <v>0</v>
      </c>
      <c r="FN63" s="53">
        <v>4.2682500000000001</v>
      </c>
      <c r="FO63" s="507">
        <v>0</v>
      </c>
      <c r="FP63" s="380">
        <f t="shared" si="27"/>
        <v>0</v>
      </c>
      <c r="FQ63" s="506">
        <v>0</v>
      </c>
      <c r="FR63" s="53">
        <v>4.2474999999999996</v>
      </c>
      <c r="FS63" s="507">
        <v>0</v>
      </c>
      <c r="FT63" s="380">
        <f t="shared" si="28"/>
        <v>0</v>
      </c>
      <c r="FU63" s="506">
        <v>0</v>
      </c>
      <c r="FV63" s="53">
        <v>4.2437500000000004</v>
      </c>
      <c r="FW63" s="507">
        <v>0</v>
      </c>
      <c r="FX63" s="380">
        <f t="shared" si="29"/>
        <v>0</v>
      </c>
      <c r="FY63" s="506">
        <v>0</v>
      </c>
      <c r="FZ63" s="53">
        <v>4.2612500000000004</v>
      </c>
      <c r="GA63" s="507">
        <v>0</v>
      </c>
      <c r="GB63" s="380">
        <f t="shared" si="30"/>
        <v>0</v>
      </c>
      <c r="GC63" s="506">
        <v>0</v>
      </c>
      <c r="GD63" s="53">
        <v>4.2467499999999996</v>
      </c>
      <c r="GE63" s="507">
        <v>0</v>
      </c>
      <c r="GF63" s="380">
        <f t="shared" si="31"/>
        <v>0</v>
      </c>
      <c r="GG63" s="506">
        <v>0</v>
      </c>
      <c r="GH63" s="53">
        <v>4.2480000000000002</v>
      </c>
      <c r="GI63" s="507">
        <v>0</v>
      </c>
      <c r="GJ63" s="380">
        <f t="shared" si="32"/>
        <v>0</v>
      </c>
      <c r="GK63" s="506">
        <v>0</v>
      </c>
      <c r="GL63" s="53">
        <v>4.2424999999999997</v>
      </c>
      <c r="GM63" s="507">
        <v>0</v>
      </c>
      <c r="GN63" s="380">
        <f t="shared" si="33"/>
        <v>0</v>
      </c>
      <c r="GO63" s="506">
        <v>0</v>
      </c>
      <c r="GP63" s="53">
        <v>4.2357500000000003</v>
      </c>
      <c r="GQ63" s="507">
        <v>0</v>
      </c>
      <c r="GR63" s="380">
        <f t="shared" si="34"/>
        <v>0</v>
      </c>
      <c r="GS63" s="506">
        <v>0</v>
      </c>
      <c r="GT63" s="53">
        <v>4.2482499999999996</v>
      </c>
      <c r="GU63" s="507">
        <v>0</v>
      </c>
      <c r="GV63" s="380">
        <f t="shared" si="35"/>
        <v>0</v>
      </c>
      <c r="GW63" s="506">
        <v>0</v>
      </c>
      <c r="GX63" s="53">
        <v>4.2595000000000001</v>
      </c>
      <c r="GY63" s="507">
        <v>0</v>
      </c>
      <c r="GZ63" s="380">
        <f t="shared" si="36"/>
        <v>0</v>
      </c>
      <c r="HA63" s="506">
        <v>0</v>
      </c>
      <c r="HB63" s="53">
        <v>4.2759999999999998</v>
      </c>
      <c r="HC63" s="507">
        <v>0</v>
      </c>
      <c r="HD63" s="380">
        <f t="shared" si="37"/>
        <v>0</v>
      </c>
      <c r="HE63" s="506">
        <v>0</v>
      </c>
      <c r="HF63" s="53">
        <v>4.2822500000000003</v>
      </c>
      <c r="HG63" s="507">
        <v>0</v>
      </c>
      <c r="HH63" s="380">
        <f t="shared" si="38"/>
        <v>0</v>
      </c>
      <c r="HI63" s="506">
        <v>0</v>
      </c>
      <c r="HJ63" s="53">
        <v>4.2850000000000001</v>
      </c>
      <c r="HK63" s="507">
        <v>0</v>
      </c>
      <c r="HL63" s="380">
        <f t="shared" si="39"/>
        <v>0</v>
      </c>
      <c r="HM63" s="506">
        <v>0</v>
      </c>
      <c r="HN63" s="53">
        <v>4.2880000000000003</v>
      </c>
      <c r="HO63" s="507">
        <v>0</v>
      </c>
      <c r="HP63" s="380">
        <f t="shared" si="40"/>
        <v>0</v>
      </c>
      <c r="HQ63" s="506">
        <v>0</v>
      </c>
      <c r="HR63" s="53">
        <v>4.2532500000000004</v>
      </c>
      <c r="HS63" s="507">
        <v>0</v>
      </c>
      <c r="HT63" s="380">
        <f t="shared" si="41"/>
        <v>0</v>
      </c>
      <c r="HU63" s="506">
        <v>0</v>
      </c>
      <c r="HV63" s="53">
        <v>4.2614999999999998</v>
      </c>
      <c r="HW63" s="507">
        <v>0</v>
      </c>
      <c r="HX63" s="380">
        <f t="shared" si="42"/>
        <v>0</v>
      </c>
      <c r="HY63" s="506">
        <v>0</v>
      </c>
      <c r="HZ63" s="53">
        <v>4.2742500000000003</v>
      </c>
      <c r="IA63" s="507">
        <v>0</v>
      </c>
      <c r="IB63" s="380">
        <f t="shared" si="43"/>
        <v>0</v>
      </c>
      <c r="IC63" s="506">
        <v>0</v>
      </c>
      <c r="ID63" s="53">
        <v>4.2742500000000003</v>
      </c>
      <c r="IE63" s="507">
        <v>0</v>
      </c>
      <c r="IF63" s="380">
        <f t="shared" si="44"/>
        <v>0</v>
      </c>
      <c r="IG63" s="506">
        <v>0</v>
      </c>
      <c r="IH63" s="53">
        <v>4.2742500000000003</v>
      </c>
      <c r="II63" s="507">
        <v>0</v>
      </c>
      <c r="IJ63" s="380">
        <f t="shared" si="45"/>
        <v>0</v>
      </c>
      <c r="IK63" s="506">
        <v>0</v>
      </c>
      <c r="IL63" s="53">
        <v>4.2742500000000003</v>
      </c>
      <c r="IM63" s="507">
        <v>0</v>
      </c>
      <c r="IN63" s="380">
        <f t="shared" si="46"/>
        <v>0</v>
      </c>
      <c r="IO63" s="506">
        <v>0</v>
      </c>
      <c r="IP63" s="53">
        <v>4.2742500000000003</v>
      </c>
      <c r="IQ63" s="507">
        <v>0</v>
      </c>
      <c r="IR63" s="380">
        <f t="shared" si="47"/>
        <v>0</v>
      </c>
      <c r="IS63" s="506">
        <v>0</v>
      </c>
      <c r="IT63" s="53">
        <v>4.2742500000000003</v>
      </c>
      <c r="IU63" s="507">
        <v>0</v>
      </c>
      <c r="IV63" s="380">
        <f t="shared" si="48"/>
        <v>0</v>
      </c>
      <c r="IW63" s="506">
        <v>0</v>
      </c>
      <c r="IX63" s="53">
        <v>4.2567500000000003</v>
      </c>
      <c r="IY63" s="507">
        <v>0</v>
      </c>
      <c r="IZ63" s="380">
        <f t="shared" si="49"/>
        <v>0</v>
      </c>
    </row>
    <row r="64" spans="1:260">
      <c r="A64" s="50" t="s">
        <v>615</v>
      </c>
      <c r="B64" s="13" t="s">
        <v>616</v>
      </c>
      <c r="C64" s="13" t="s">
        <v>225</v>
      </c>
      <c r="D64" s="13" t="s">
        <v>336</v>
      </c>
      <c r="E64" s="13" t="s">
        <v>15</v>
      </c>
      <c r="F64" s="13" t="s">
        <v>618</v>
      </c>
      <c r="G64" s="13" t="s">
        <v>237</v>
      </c>
      <c r="H64" s="49" t="s">
        <v>508</v>
      </c>
      <c r="I64" s="14">
        <f>+'IBP export - Colar'!F76</f>
        <v>18404</v>
      </c>
      <c r="J64" s="14">
        <f>+VLOOKUP(E64,'Summary - Colar'!$M$39:$N$54,2,FALSE)</f>
        <v>4.2567500000000003</v>
      </c>
      <c r="K64" s="14">
        <f t="shared" si="50"/>
        <v>4323.4862277559168</v>
      </c>
      <c r="L64" s="506">
        <v>21671.78</v>
      </c>
      <c r="M64" s="53">
        <v>4.2752498697683077</v>
      </c>
      <c r="N64" s="507">
        <v>5069.125936532565</v>
      </c>
      <c r="O64" s="506">
        <v>21671.78</v>
      </c>
      <c r="P64" s="53">
        <v>3.1965890823886927</v>
      </c>
      <c r="Q64" s="507">
        <v>6779.657766898672</v>
      </c>
      <c r="R64" s="506">
        <v>21671.78</v>
      </c>
      <c r="S64" s="53">
        <v>3.6078577538932697</v>
      </c>
      <c r="T64" s="507">
        <v>6006.8277294507516</v>
      </c>
      <c r="U64" s="506">
        <v>21671.78</v>
      </c>
      <c r="V64" s="53">
        <v>4.2592495171907769</v>
      </c>
      <c r="W64" s="507">
        <v>5088.1686814849481</v>
      </c>
      <c r="X64" s="506">
        <v>21671.78</v>
      </c>
      <c r="Y64" s="53">
        <v>4.2137481424668044</v>
      </c>
      <c r="Z64" s="507">
        <v>5143.1123235839495</v>
      </c>
      <c r="AA64" s="506">
        <v>21021.78</v>
      </c>
      <c r="AB64" s="53">
        <v>4.2142387507704955</v>
      </c>
      <c r="AC64" s="507">
        <v>4988.2745718088599</v>
      </c>
      <c r="AD64" s="506">
        <v>21021.78</v>
      </c>
      <c r="AE64" s="53">
        <v>4.1964992990431593</v>
      </c>
      <c r="AF64" s="507">
        <v>5009.3610178353083</v>
      </c>
      <c r="AG64" s="506">
        <v>21021.78</v>
      </c>
      <c r="AH64" s="53">
        <v>4.1649990994236301</v>
      </c>
      <c r="AI64" s="507">
        <v>5047.247189779484</v>
      </c>
      <c r="AJ64" s="506">
        <v>21021.78</v>
      </c>
      <c r="AK64" s="53">
        <v>4.1680001306250407</v>
      </c>
      <c r="AL64" s="507">
        <v>5043.6130856952577</v>
      </c>
      <c r="AM64" s="506">
        <v>20371.78</v>
      </c>
      <c r="AN64" s="53">
        <v>4.1497498320689647</v>
      </c>
      <c r="AO64" s="507">
        <v>4909.1585816977122</v>
      </c>
      <c r="AP64" s="506">
        <v>20371.78</v>
      </c>
      <c r="AQ64" s="53">
        <v>4.1780001160987501</v>
      </c>
      <c r="AR64" s="507">
        <v>4875.9644408584545</v>
      </c>
      <c r="AS64" s="506">
        <v>20372</v>
      </c>
      <c r="AT64" s="53">
        <v>4.1702500000000002</v>
      </c>
      <c r="AU64" s="507">
        <v>4885.0788322043036</v>
      </c>
      <c r="AV64" s="506">
        <v>20371.78</v>
      </c>
      <c r="AW64" s="53">
        <v>4.1987496438879992</v>
      </c>
      <c r="AX64" s="507">
        <v>4851.8682293083657</v>
      </c>
      <c r="AY64" s="506">
        <v>20371.78</v>
      </c>
      <c r="AZ64" s="53">
        <v>4.1804998552264561</v>
      </c>
      <c r="BA64" s="507">
        <v>4873.0488471447316</v>
      </c>
      <c r="BB64" s="506">
        <v>19704.080000000002</v>
      </c>
      <c r="BC64" s="53">
        <v>4.1837503343525624</v>
      </c>
      <c r="BD64" s="507">
        <v>4709.6691784427949</v>
      </c>
      <c r="BE64" s="506">
        <v>19704.080000000002</v>
      </c>
      <c r="BF64" s="53">
        <v>4.1872503790858762</v>
      </c>
      <c r="BG64" s="507">
        <v>4705.7324535490579</v>
      </c>
      <c r="BH64" s="380">
        <f t="shared" si="0"/>
        <v>4701.5487032147057</v>
      </c>
      <c r="BI64" s="506">
        <v>19704.080000000002</v>
      </c>
      <c r="BJ64" s="53">
        <v>4.1772498657576511</v>
      </c>
      <c r="BK64" s="507">
        <v>4716.9981766044448</v>
      </c>
      <c r="BL64" s="380">
        <f t="shared" si="1"/>
        <v>11.265723055386843</v>
      </c>
      <c r="BM64" s="506">
        <v>19704.080000000002</v>
      </c>
      <c r="BN64" s="53">
        <v>4.1952499771846563</v>
      </c>
      <c r="BO64" s="507">
        <v>4696.7594558508272</v>
      </c>
      <c r="BP64">
        <v>-134.45450399754554</v>
      </c>
      <c r="BQ64" s="506">
        <v>19704.080000000002</v>
      </c>
      <c r="BR64" s="53">
        <v>4.2557503737592732</v>
      </c>
      <c r="BS64" s="507">
        <v>4629.9896068844391</v>
      </c>
      <c r="BT64" s="380">
        <f t="shared" si="2"/>
        <v>-66.769848966388054</v>
      </c>
      <c r="BU64" s="506">
        <v>19704.080000000002</v>
      </c>
      <c r="BV64" s="53">
        <v>4.2934996338144407</v>
      </c>
      <c r="BW64" s="507">
        <v>4589.2818634048554</v>
      </c>
      <c r="BX64" s="380">
        <f t="shared" si="3"/>
        <v>-40.707743479583769</v>
      </c>
      <c r="BY64" s="506">
        <v>19704.080000000002</v>
      </c>
      <c r="BZ64" s="53">
        <v>4.2717497069272392</v>
      </c>
      <c r="CA64" s="507">
        <v>4612.6485285519148</v>
      </c>
      <c r="CB64" s="380">
        <f t="shared" si="4"/>
        <v>23.366665147059393</v>
      </c>
      <c r="CC64" s="506">
        <v>19704.080000000002</v>
      </c>
      <c r="CD64" s="53">
        <v>4.2947502531593544</v>
      </c>
      <c r="CE64" s="507">
        <v>4587.9454772731096</v>
      </c>
      <c r="CF64" s="380">
        <f t="shared" si="5"/>
        <v>-24.703051278805106</v>
      </c>
      <c r="CG64" s="506">
        <v>19704.080000000002</v>
      </c>
      <c r="CH64" s="53">
        <v>4.2557503737592732</v>
      </c>
      <c r="CI64" s="507">
        <v>4629.9896068844391</v>
      </c>
      <c r="CJ64" s="380">
        <f t="shared" si="6"/>
        <v>42.044129611329481</v>
      </c>
      <c r="CK64" s="506">
        <v>19704.080000000002</v>
      </c>
      <c r="CL64" s="53">
        <v>4.2942496829513397</v>
      </c>
      <c r="CM64" s="507">
        <v>4588.4802828832808</v>
      </c>
      <c r="CN64" s="380">
        <f t="shared" si="7"/>
        <v>-41.509324001158348</v>
      </c>
      <c r="CO64" s="506">
        <v>19704.080000000002</v>
      </c>
      <c r="CP64" s="53">
        <v>4.2852498841157427</v>
      </c>
      <c r="CQ64" s="507">
        <v>4598.1169203312211</v>
      </c>
      <c r="CR64" s="380">
        <f t="shared" si="8"/>
        <v>9.6366374479403021</v>
      </c>
      <c r="CS64" s="506">
        <v>19704.080000000002</v>
      </c>
      <c r="CT64" s="53">
        <v>4.2824997373557228</v>
      </c>
      <c r="CU64" s="507">
        <v>4601.0697509502952</v>
      </c>
      <c r="CV64" s="380">
        <f t="shared" si="9"/>
        <v>2.9528306190741205</v>
      </c>
      <c r="CW64" s="506">
        <v>19704.080000000002</v>
      </c>
      <c r="CX64" s="53">
        <v>4.2965002317027841</v>
      </c>
      <c r="CY64" s="507">
        <v>4586.0767921315582</v>
      </c>
      <c r="CZ64" s="380">
        <f t="shared" si="10"/>
        <v>-14.992958818736952</v>
      </c>
      <c r="DA64" s="506">
        <v>19704.080000000002</v>
      </c>
      <c r="DB64" s="53">
        <v>4.2792501930005873</v>
      </c>
      <c r="DC64" s="507">
        <v>4604.5636761854312</v>
      </c>
      <c r="DD64" s="380">
        <f t="shared" si="11"/>
        <v>18.486884053872927</v>
      </c>
      <c r="DE64" s="506">
        <v>19704.080000000002</v>
      </c>
      <c r="DF64" s="53">
        <v>4.2747502071638213</v>
      </c>
      <c r="DG64" s="507">
        <v>4609.4108532889259</v>
      </c>
      <c r="DH64" s="380">
        <f t="shared" si="12"/>
        <v>4.8471771034946869</v>
      </c>
      <c r="DI64" s="506">
        <v>19704.080000000002</v>
      </c>
      <c r="DJ64" s="53">
        <v>4.280000313422077</v>
      </c>
      <c r="DK64" s="507">
        <v>4603.7566722151923</v>
      </c>
      <c r="DL64" s="380">
        <f t="shared" si="13"/>
        <v>-5.6541810737335254</v>
      </c>
      <c r="DM64" s="506">
        <v>19704.080000000002</v>
      </c>
      <c r="DN64" s="53">
        <v>4.2929999681134907</v>
      </c>
      <c r="DO64" s="507">
        <v>4589.8160135926419</v>
      </c>
      <c r="DP64" s="380">
        <f t="shared" si="14"/>
        <v>-13.940658622550473</v>
      </c>
      <c r="DQ64" s="506">
        <v>19704.080000000002</v>
      </c>
      <c r="DR64" s="53">
        <v>4.2757502359513877</v>
      </c>
      <c r="DS64" s="507">
        <v>4608.3327866824502</v>
      </c>
      <c r="DT64" s="380">
        <f t="shared" si="15"/>
        <v>18.516773089808339</v>
      </c>
      <c r="DU64" s="506">
        <v>19054.080000000002</v>
      </c>
      <c r="DV64" s="53">
        <v>4.2792501930005873</v>
      </c>
      <c r="DW64" s="507">
        <v>4452.6679069071643</v>
      </c>
      <c r="DX64" s="380">
        <f t="shared" si="16"/>
        <v>-155.66487977528595</v>
      </c>
      <c r="DY64" s="506">
        <v>19054</v>
      </c>
      <c r="DZ64" s="53">
        <v>4.274</v>
      </c>
      <c r="EA64" s="507">
        <v>4458.1188582124478</v>
      </c>
      <c r="EB64" s="380">
        <f t="shared" si="17"/>
        <v>5.4509513052835246</v>
      </c>
      <c r="EC64" s="506">
        <v>19054</v>
      </c>
      <c r="ED64" s="53">
        <v>4.2774999999999999</v>
      </c>
      <c r="EE64" s="507">
        <v>4454.4710695499707</v>
      </c>
      <c r="EF64" s="380">
        <f t="shared" si="18"/>
        <v>-3.647788662477069</v>
      </c>
      <c r="EG64" s="506">
        <v>19054</v>
      </c>
      <c r="EH64" s="53">
        <v>4.2752499999999998</v>
      </c>
      <c r="EI64" s="507">
        <v>4456.8153909128123</v>
      </c>
      <c r="EJ64" s="380">
        <f t="shared" si="19"/>
        <v>2.3443213628415833</v>
      </c>
      <c r="EK64" s="506">
        <v>19054</v>
      </c>
      <c r="EL64" s="53">
        <v>4.2774999999999999</v>
      </c>
      <c r="EM64" s="507">
        <v>4454.4710695499707</v>
      </c>
      <c r="EN64" s="380">
        <f t="shared" si="20"/>
        <v>-2.3443213628415833</v>
      </c>
      <c r="EO64" s="506">
        <v>19054</v>
      </c>
      <c r="EP64" s="53">
        <v>4.2707499999999996</v>
      </c>
      <c r="EQ64" s="507">
        <v>4461.5114441257392</v>
      </c>
      <c r="ER64" s="380">
        <f t="shared" si="21"/>
        <v>7.0403745757685101</v>
      </c>
      <c r="ES64" s="506">
        <v>19054</v>
      </c>
      <c r="ET64" s="53">
        <v>4.2389999999999999</v>
      </c>
      <c r="EU64" s="507">
        <v>4494.9280490681767</v>
      </c>
      <c r="EV64" s="380">
        <f t="shared" si="22"/>
        <v>33.416604942437516</v>
      </c>
      <c r="EW64" s="506">
        <v>19054</v>
      </c>
      <c r="EX64" s="53">
        <v>4.2407500000000002</v>
      </c>
      <c r="EY64" s="507">
        <v>4493.0731592289094</v>
      </c>
      <c r="EZ64" s="380">
        <f t="shared" si="23"/>
        <v>-1.8548898392673436</v>
      </c>
      <c r="FA64" s="506">
        <v>19054</v>
      </c>
      <c r="FB64" s="53">
        <v>4.25</v>
      </c>
      <c r="FC64" s="507">
        <v>4483.2941176470586</v>
      </c>
      <c r="FD64" s="380">
        <f t="shared" si="24"/>
        <v>-9.7790415818508336</v>
      </c>
      <c r="FE64" s="506">
        <v>19054</v>
      </c>
      <c r="FF64" s="53">
        <v>4.2417499999999997</v>
      </c>
      <c r="FG64" s="507">
        <v>4492.0139093534508</v>
      </c>
      <c r="FH64" s="380">
        <f t="shared" si="25"/>
        <v>8.7197917063922432</v>
      </c>
      <c r="FI64" s="506">
        <v>19054</v>
      </c>
      <c r="FJ64" s="53">
        <v>4.2530000000000001</v>
      </c>
      <c r="FK64" s="507">
        <v>4480.1316717611098</v>
      </c>
      <c r="FL64" s="380">
        <f t="shared" si="26"/>
        <v>-11.882237592340971</v>
      </c>
      <c r="FM64" s="506">
        <v>19054</v>
      </c>
      <c r="FN64" s="53">
        <v>4.2682500000000001</v>
      </c>
      <c r="FO64" s="507">
        <v>4464.1246412464125</v>
      </c>
      <c r="FP64" s="380">
        <f t="shared" si="27"/>
        <v>-16.007030514697362</v>
      </c>
      <c r="FQ64" s="506">
        <v>19054</v>
      </c>
      <c r="FR64" s="53">
        <v>4.2474999999999996</v>
      </c>
      <c r="FS64" s="507">
        <v>4485.9329017068867</v>
      </c>
      <c r="FT64" s="380">
        <f t="shared" si="28"/>
        <v>21.80826046047423</v>
      </c>
      <c r="FU64" s="506">
        <v>19054</v>
      </c>
      <c r="FV64" s="53">
        <v>4.2437500000000004</v>
      </c>
      <c r="FW64" s="507">
        <v>4489.8969072164946</v>
      </c>
      <c r="FX64" s="380">
        <f t="shared" si="29"/>
        <v>3.9640055096078868</v>
      </c>
      <c r="FY64" s="506">
        <v>19054</v>
      </c>
      <c r="FZ64" s="53">
        <v>4.2612500000000004</v>
      </c>
      <c r="GA64" s="507">
        <v>4471.4579055441473</v>
      </c>
      <c r="GB64" s="380">
        <f t="shared" si="30"/>
        <v>-18.439001672347331</v>
      </c>
      <c r="GC64" s="506">
        <v>19054</v>
      </c>
      <c r="GD64" s="53">
        <v>4.2467499999999996</v>
      </c>
      <c r="GE64" s="507">
        <v>4486.725142756226</v>
      </c>
      <c r="GF64" s="380">
        <f t="shared" si="31"/>
        <v>15.267237212078726</v>
      </c>
      <c r="GG64" s="506">
        <v>19054</v>
      </c>
      <c r="GH64" s="53">
        <v>4.2480000000000002</v>
      </c>
      <c r="GI64" s="507">
        <v>4485.4048964218455</v>
      </c>
      <c r="GJ64" s="380">
        <f t="shared" si="32"/>
        <v>-1.3202463343804993</v>
      </c>
      <c r="GK64" s="506">
        <v>19054</v>
      </c>
      <c r="GL64" s="53">
        <v>4.2424999999999997</v>
      </c>
      <c r="GM64" s="507">
        <v>4491.2197996464356</v>
      </c>
      <c r="GN64" s="380">
        <f t="shared" si="33"/>
        <v>5.8149032245901253</v>
      </c>
      <c r="GO64" s="506">
        <v>19054</v>
      </c>
      <c r="GP64" s="53">
        <v>4.2357500000000003</v>
      </c>
      <c r="GQ64" s="507">
        <v>4498.376910818627</v>
      </c>
      <c r="GR64" s="380">
        <f t="shared" si="34"/>
        <v>7.1571111721914349</v>
      </c>
      <c r="GS64" s="506">
        <v>18404</v>
      </c>
      <c r="GT64" s="53">
        <v>4.2482499999999996</v>
      </c>
      <c r="GU64" s="507">
        <v>4332.136762196199</v>
      </c>
      <c r="GV64" s="380">
        <f t="shared" si="35"/>
        <v>-166.24014862242802</v>
      </c>
      <c r="GW64" s="506">
        <v>18404</v>
      </c>
      <c r="GX64" s="53">
        <v>4.2595000000000001</v>
      </c>
      <c r="GY64" s="507">
        <v>4320.694917243808</v>
      </c>
      <c r="GZ64" s="380">
        <f t="shared" si="36"/>
        <v>-11.441844952390966</v>
      </c>
      <c r="HA64" s="506">
        <v>18404</v>
      </c>
      <c r="HB64" s="53">
        <v>4.2759999999999998</v>
      </c>
      <c r="HC64" s="507">
        <v>4304.0224508886813</v>
      </c>
      <c r="HD64" s="380">
        <f t="shared" si="37"/>
        <v>-16.672466355126744</v>
      </c>
      <c r="HE64" s="506">
        <v>18404</v>
      </c>
      <c r="HF64" s="53">
        <v>4.2822500000000003</v>
      </c>
      <c r="HG64" s="507">
        <v>4297.7406737112497</v>
      </c>
      <c r="HH64" s="380">
        <f t="shared" si="38"/>
        <v>-6.2817771774316498</v>
      </c>
      <c r="HI64" s="506">
        <v>18404</v>
      </c>
      <c r="HJ64" s="53">
        <v>4.2850000000000001</v>
      </c>
      <c r="HK64" s="507">
        <v>4294.9824970828467</v>
      </c>
      <c r="HL64" s="380">
        <f t="shared" si="39"/>
        <v>-2.7581766284029072</v>
      </c>
      <c r="HM64" s="506">
        <v>18404</v>
      </c>
      <c r="HN64" s="53">
        <v>4.2880000000000003</v>
      </c>
      <c r="HO64" s="507">
        <v>4291.9776119402986</v>
      </c>
      <c r="HP64" s="380">
        <f t="shared" si="40"/>
        <v>-3.0048851425481189</v>
      </c>
      <c r="HQ64" s="506">
        <v>18404</v>
      </c>
      <c r="HR64" s="53">
        <v>4.2532500000000004</v>
      </c>
      <c r="HS64" s="507">
        <v>4327.0440251572327</v>
      </c>
      <c r="HT64" s="380">
        <f t="shared" si="41"/>
        <v>35.066413216934052</v>
      </c>
      <c r="HU64" s="506">
        <v>18404</v>
      </c>
      <c r="HV64" s="53">
        <v>4.2614999999999998</v>
      </c>
      <c r="HW64" s="507">
        <v>4318.6671359849815</v>
      </c>
      <c r="HX64" s="380">
        <f t="shared" si="42"/>
        <v>-8.3768891722511398</v>
      </c>
      <c r="HY64" s="506">
        <v>18404</v>
      </c>
      <c r="HZ64" s="53">
        <v>4.2742500000000003</v>
      </c>
      <c r="IA64" s="507">
        <v>4305.7846405802184</v>
      </c>
      <c r="IB64" s="380">
        <f t="shared" si="43"/>
        <v>-12.882495404763176</v>
      </c>
      <c r="IC64" s="506">
        <v>18404</v>
      </c>
      <c r="ID64" s="53">
        <v>4.2742500000000003</v>
      </c>
      <c r="IE64" s="507">
        <v>4305.7846405802184</v>
      </c>
      <c r="IF64" s="380">
        <f t="shared" si="44"/>
        <v>0</v>
      </c>
      <c r="IG64" s="506">
        <v>18404</v>
      </c>
      <c r="IH64" s="53">
        <v>4.2742500000000003</v>
      </c>
      <c r="II64" s="507">
        <v>4305.7846405802184</v>
      </c>
      <c r="IJ64" s="380">
        <f t="shared" si="45"/>
        <v>0</v>
      </c>
      <c r="IK64" s="506">
        <v>18404</v>
      </c>
      <c r="IL64" s="53">
        <v>4.2742500000000003</v>
      </c>
      <c r="IM64" s="507">
        <v>4305.7846405802184</v>
      </c>
      <c r="IN64" s="380">
        <f t="shared" si="46"/>
        <v>0</v>
      </c>
      <c r="IO64" s="506">
        <v>18404</v>
      </c>
      <c r="IP64" s="53">
        <v>4.2742500000000003</v>
      </c>
      <c r="IQ64" s="507">
        <v>4305.7846405802184</v>
      </c>
      <c r="IR64" s="380">
        <f t="shared" si="47"/>
        <v>0</v>
      </c>
      <c r="IS64" s="506">
        <v>18404</v>
      </c>
      <c r="IT64" s="53">
        <v>4.2742500000000003</v>
      </c>
      <c r="IU64" s="507">
        <v>4305.7846405802184</v>
      </c>
      <c r="IV64" s="380">
        <f t="shared" si="48"/>
        <v>0</v>
      </c>
      <c r="IW64" s="506">
        <v>18404</v>
      </c>
      <c r="IX64" s="53">
        <v>4.2567500000000003</v>
      </c>
      <c r="IY64" s="507">
        <v>4323.4862277559168</v>
      </c>
      <c r="IZ64" s="380">
        <f t="shared" si="49"/>
        <v>17.701587175698478</v>
      </c>
    </row>
    <row r="65" spans="1:260">
      <c r="A65" s="13" t="s">
        <v>619</v>
      </c>
      <c r="B65" s="13" t="s">
        <v>620</v>
      </c>
      <c r="C65" s="13" t="s">
        <v>187</v>
      </c>
      <c r="D65" s="13" t="s">
        <v>336</v>
      </c>
      <c r="E65" s="13" t="s">
        <v>2</v>
      </c>
      <c r="F65" s="13">
        <v>3266403000015</v>
      </c>
      <c r="G65" s="13" t="s">
        <v>186</v>
      </c>
      <c r="H65" s="49" t="s">
        <v>508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50"/>
        <v>0</v>
      </c>
      <c r="L65" s="506">
        <v>0</v>
      </c>
      <c r="M65" s="53">
        <v>1</v>
      </c>
      <c r="N65" s="507">
        <v>0</v>
      </c>
      <c r="O65" s="506">
        <v>0</v>
      </c>
      <c r="P65" s="53">
        <v>1</v>
      </c>
      <c r="Q65" s="507">
        <v>0</v>
      </c>
      <c r="R65" s="506">
        <v>0</v>
      </c>
      <c r="S65" s="53">
        <v>1</v>
      </c>
      <c r="T65" s="507">
        <v>0</v>
      </c>
      <c r="U65" s="506">
        <v>0</v>
      </c>
      <c r="V65" s="53">
        <v>1</v>
      </c>
      <c r="W65" s="507">
        <v>0</v>
      </c>
      <c r="X65" s="506">
        <v>0</v>
      </c>
      <c r="Y65" s="53">
        <v>1</v>
      </c>
      <c r="Z65" s="507">
        <v>0</v>
      </c>
      <c r="AA65" s="506">
        <v>0</v>
      </c>
      <c r="AB65" s="53">
        <v>1</v>
      </c>
      <c r="AC65" s="507">
        <v>0</v>
      </c>
      <c r="AD65" s="506">
        <v>0</v>
      </c>
      <c r="AE65" s="53">
        <v>1</v>
      </c>
      <c r="AF65" s="507">
        <v>0</v>
      </c>
      <c r="AG65" s="506">
        <v>0</v>
      </c>
      <c r="AH65" s="53">
        <v>1</v>
      </c>
      <c r="AI65" s="507">
        <v>0</v>
      </c>
      <c r="AJ65" s="506">
        <v>0</v>
      </c>
      <c r="AK65" s="53">
        <v>1</v>
      </c>
      <c r="AL65" s="507">
        <v>0</v>
      </c>
      <c r="AM65" s="506">
        <v>0</v>
      </c>
      <c r="AN65" s="53">
        <v>1</v>
      </c>
      <c r="AO65" s="507">
        <v>0</v>
      </c>
      <c r="AP65" s="506">
        <v>0</v>
      </c>
      <c r="AQ65" s="53">
        <v>1</v>
      </c>
      <c r="AR65" s="507">
        <v>0</v>
      </c>
      <c r="AS65" s="506">
        <v>0</v>
      </c>
      <c r="AT65" s="53">
        <v>1</v>
      </c>
      <c r="AU65" s="507">
        <v>0</v>
      </c>
      <c r="AV65" s="506">
        <v>0</v>
      </c>
      <c r="AW65" s="53">
        <v>1</v>
      </c>
      <c r="AX65" s="507">
        <v>0</v>
      </c>
      <c r="AY65" s="506">
        <v>0</v>
      </c>
      <c r="AZ65" s="53">
        <v>1</v>
      </c>
      <c r="BA65" s="507">
        <v>0</v>
      </c>
      <c r="BB65" s="506">
        <v>0</v>
      </c>
      <c r="BC65" s="53">
        <v>1</v>
      </c>
      <c r="BD65" s="507">
        <v>0</v>
      </c>
      <c r="BE65" s="506">
        <v>0</v>
      </c>
      <c r="BF65" s="53">
        <v>1</v>
      </c>
      <c r="BG65" s="507">
        <v>0</v>
      </c>
      <c r="BH65" s="380">
        <f t="shared" si="0"/>
        <v>-1</v>
      </c>
      <c r="BI65" s="506">
        <v>0</v>
      </c>
      <c r="BJ65" s="53">
        <v>1</v>
      </c>
      <c r="BK65" s="507">
        <v>0</v>
      </c>
      <c r="BL65" s="380">
        <f t="shared" si="1"/>
        <v>0</v>
      </c>
      <c r="BM65" s="506">
        <v>0</v>
      </c>
      <c r="BN65" s="53">
        <v>1</v>
      </c>
      <c r="BO65" s="507">
        <v>0</v>
      </c>
      <c r="BP65">
        <v>0</v>
      </c>
      <c r="BQ65" s="506">
        <v>0</v>
      </c>
      <c r="BR65" s="53">
        <v>1</v>
      </c>
      <c r="BS65" s="507">
        <v>0</v>
      </c>
      <c r="BT65" s="380">
        <f t="shared" si="2"/>
        <v>0</v>
      </c>
      <c r="BU65" s="506">
        <v>0</v>
      </c>
      <c r="BV65" s="53">
        <v>1</v>
      </c>
      <c r="BW65" s="507">
        <v>0</v>
      </c>
      <c r="BX65" s="380">
        <f t="shared" si="3"/>
        <v>0</v>
      </c>
      <c r="BY65" s="506">
        <v>0</v>
      </c>
      <c r="BZ65" s="53">
        <v>1</v>
      </c>
      <c r="CA65" s="507">
        <v>0</v>
      </c>
      <c r="CB65" s="380">
        <f t="shared" si="4"/>
        <v>0</v>
      </c>
      <c r="CC65" s="506">
        <v>0</v>
      </c>
      <c r="CD65" s="53">
        <v>1</v>
      </c>
      <c r="CE65" s="507">
        <v>0</v>
      </c>
      <c r="CF65" s="380">
        <f t="shared" si="5"/>
        <v>0</v>
      </c>
      <c r="CG65" s="506">
        <v>0</v>
      </c>
      <c r="CH65" s="53">
        <v>1</v>
      </c>
      <c r="CI65" s="507">
        <v>0</v>
      </c>
      <c r="CJ65" s="380">
        <f t="shared" si="6"/>
        <v>0</v>
      </c>
      <c r="CK65" s="506">
        <v>0</v>
      </c>
      <c r="CL65" s="53">
        <v>1</v>
      </c>
      <c r="CM65" s="507">
        <v>0</v>
      </c>
      <c r="CN65" s="380">
        <f t="shared" si="7"/>
        <v>0</v>
      </c>
      <c r="CO65" s="506">
        <v>0</v>
      </c>
      <c r="CP65" s="53">
        <v>1</v>
      </c>
      <c r="CQ65" s="507">
        <v>0</v>
      </c>
      <c r="CR65" s="380">
        <f t="shared" si="8"/>
        <v>0</v>
      </c>
      <c r="CS65" s="506">
        <v>0</v>
      </c>
      <c r="CT65" s="53">
        <v>1</v>
      </c>
      <c r="CU65" s="507">
        <v>0</v>
      </c>
      <c r="CV65" s="380">
        <f t="shared" si="9"/>
        <v>0</v>
      </c>
      <c r="CW65" s="506">
        <v>0</v>
      </c>
      <c r="CX65" s="53">
        <v>1</v>
      </c>
      <c r="CY65" s="507">
        <v>0</v>
      </c>
      <c r="CZ65" s="380">
        <f t="shared" si="10"/>
        <v>0</v>
      </c>
      <c r="DA65" s="506">
        <v>-0.6</v>
      </c>
      <c r="DB65" s="53">
        <v>1</v>
      </c>
      <c r="DC65" s="507">
        <v>-0.6</v>
      </c>
      <c r="DD65" s="380">
        <f t="shared" si="11"/>
        <v>-0.6</v>
      </c>
      <c r="DE65" s="506">
        <v>-0.6</v>
      </c>
      <c r="DF65" s="53">
        <v>1</v>
      </c>
      <c r="DG65" s="507">
        <v>-0.6</v>
      </c>
      <c r="DH65" s="380">
        <f t="shared" si="12"/>
        <v>0</v>
      </c>
      <c r="DI65" s="506">
        <v>0</v>
      </c>
      <c r="DJ65" s="53">
        <v>1</v>
      </c>
      <c r="DK65" s="507">
        <v>0</v>
      </c>
      <c r="DL65" s="380">
        <f t="shared" si="13"/>
        <v>0.6</v>
      </c>
      <c r="DM65" s="506">
        <v>0</v>
      </c>
      <c r="DN65" s="53">
        <v>1</v>
      </c>
      <c r="DO65" s="507">
        <v>0</v>
      </c>
      <c r="DP65" s="380">
        <f t="shared" si="14"/>
        <v>0</v>
      </c>
      <c r="DQ65" s="506">
        <v>0</v>
      </c>
      <c r="DR65" s="53">
        <v>1</v>
      </c>
      <c r="DS65" s="507">
        <v>0</v>
      </c>
      <c r="DT65" s="380">
        <f t="shared" si="15"/>
        <v>0</v>
      </c>
      <c r="DU65" s="506">
        <v>0</v>
      </c>
      <c r="DV65" s="53">
        <v>1</v>
      </c>
      <c r="DW65" s="507">
        <v>0</v>
      </c>
      <c r="DX65" s="380">
        <f t="shared" si="16"/>
        <v>0</v>
      </c>
      <c r="DY65" s="506">
        <v>0</v>
      </c>
      <c r="DZ65" s="53">
        <v>1</v>
      </c>
      <c r="EA65" s="507">
        <v>0</v>
      </c>
      <c r="EB65" s="380">
        <f t="shared" si="17"/>
        <v>0</v>
      </c>
      <c r="EC65" s="506">
        <v>0</v>
      </c>
      <c r="ED65" s="53">
        <v>1</v>
      </c>
      <c r="EE65" s="507">
        <v>0</v>
      </c>
      <c r="EF65" s="380">
        <f t="shared" si="18"/>
        <v>0</v>
      </c>
      <c r="EG65" s="506">
        <v>0</v>
      </c>
      <c r="EH65" s="53">
        <v>1</v>
      </c>
      <c r="EI65" s="507">
        <v>0</v>
      </c>
      <c r="EJ65" s="380">
        <f t="shared" si="19"/>
        <v>0</v>
      </c>
      <c r="EK65" s="506">
        <v>0</v>
      </c>
      <c r="EL65" s="53">
        <v>1</v>
      </c>
      <c r="EM65" s="507">
        <v>0</v>
      </c>
      <c r="EN65" s="380">
        <f t="shared" si="20"/>
        <v>0</v>
      </c>
      <c r="EO65" s="506">
        <v>0</v>
      </c>
      <c r="EP65" s="53">
        <v>1</v>
      </c>
      <c r="EQ65" s="507">
        <v>0</v>
      </c>
      <c r="ER65" s="380">
        <f t="shared" si="21"/>
        <v>0</v>
      </c>
      <c r="ES65" s="506">
        <v>0</v>
      </c>
      <c r="ET65" s="53">
        <v>1</v>
      </c>
      <c r="EU65" s="507">
        <v>0</v>
      </c>
      <c r="EV65" s="380">
        <f t="shared" si="22"/>
        <v>0</v>
      </c>
      <c r="EW65" s="506">
        <v>0</v>
      </c>
      <c r="EX65" s="53">
        <v>1</v>
      </c>
      <c r="EY65" s="507">
        <v>0</v>
      </c>
      <c r="EZ65" s="380">
        <f t="shared" si="23"/>
        <v>0</v>
      </c>
      <c r="FA65" s="506">
        <v>0</v>
      </c>
      <c r="FB65" s="53">
        <v>1</v>
      </c>
      <c r="FC65" s="507">
        <v>0</v>
      </c>
      <c r="FD65" s="380">
        <f t="shared" si="24"/>
        <v>0</v>
      </c>
      <c r="FE65" s="506">
        <v>0</v>
      </c>
      <c r="FF65" s="53">
        <v>1</v>
      </c>
      <c r="FG65" s="507">
        <v>0</v>
      </c>
      <c r="FH65" s="380">
        <f t="shared" si="25"/>
        <v>0</v>
      </c>
      <c r="FI65" s="506">
        <v>0</v>
      </c>
      <c r="FJ65" s="53">
        <v>1</v>
      </c>
      <c r="FK65" s="507">
        <v>0</v>
      </c>
      <c r="FL65" s="380">
        <f t="shared" si="26"/>
        <v>0</v>
      </c>
      <c r="FM65" s="506">
        <v>0</v>
      </c>
      <c r="FN65" s="53">
        <v>1</v>
      </c>
      <c r="FO65" s="507">
        <v>0</v>
      </c>
      <c r="FP65" s="380">
        <f t="shared" si="27"/>
        <v>0</v>
      </c>
      <c r="FQ65" s="506">
        <v>0</v>
      </c>
      <c r="FR65" s="53">
        <v>1</v>
      </c>
      <c r="FS65" s="507">
        <v>0</v>
      </c>
      <c r="FT65" s="380">
        <f t="shared" si="28"/>
        <v>0</v>
      </c>
      <c r="FU65" s="506">
        <v>0</v>
      </c>
      <c r="FV65" s="53">
        <v>1</v>
      </c>
      <c r="FW65" s="507">
        <v>0</v>
      </c>
      <c r="FX65" s="380">
        <f t="shared" si="29"/>
        <v>0</v>
      </c>
      <c r="FY65" s="506">
        <v>0</v>
      </c>
      <c r="FZ65" s="53">
        <v>1</v>
      </c>
      <c r="GA65" s="507">
        <v>0</v>
      </c>
      <c r="GB65" s="380">
        <f t="shared" si="30"/>
        <v>0</v>
      </c>
      <c r="GC65" s="506">
        <v>0</v>
      </c>
      <c r="GD65" s="53">
        <v>1</v>
      </c>
      <c r="GE65" s="507">
        <v>0</v>
      </c>
      <c r="GF65" s="380">
        <f t="shared" si="31"/>
        <v>0</v>
      </c>
      <c r="GG65" s="506">
        <v>0</v>
      </c>
      <c r="GH65" s="53">
        <v>1</v>
      </c>
      <c r="GI65" s="507">
        <v>0</v>
      </c>
      <c r="GJ65" s="380">
        <f t="shared" si="32"/>
        <v>0</v>
      </c>
      <c r="GK65" s="506">
        <v>0</v>
      </c>
      <c r="GL65" s="53">
        <v>1</v>
      </c>
      <c r="GM65" s="507">
        <v>0</v>
      </c>
      <c r="GN65" s="380">
        <f t="shared" si="33"/>
        <v>0</v>
      </c>
      <c r="GO65" s="506">
        <v>0</v>
      </c>
      <c r="GP65" s="53">
        <v>1</v>
      </c>
      <c r="GQ65" s="507">
        <v>0</v>
      </c>
      <c r="GR65" s="380">
        <f t="shared" si="34"/>
        <v>0</v>
      </c>
      <c r="GS65" s="506">
        <v>0</v>
      </c>
      <c r="GT65" s="53">
        <v>1</v>
      </c>
      <c r="GU65" s="507">
        <v>0</v>
      </c>
      <c r="GV65" s="380">
        <f t="shared" si="35"/>
        <v>0</v>
      </c>
      <c r="GW65" s="506">
        <v>0</v>
      </c>
      <c r="GX65" s="53">
        <v>1</v>
      </c>
      <c r="GY65" s="507">
        <v>0</v>
      </c>
      <c r="GZ65" s="380">
        <f t="shared" si="36"/>
        <v>0</v>
      </c>
      <c r="HA65" s="506">
        <v>0</v>
      </c>
      <c r="HB65" s="53">
        <v>1</v>
      </c>
      <c r="HC65" s="507">
        <v>0</v>
      </c>
      <c r="HD65" s="380">
        <f t="shared" si="37"/>
        <v>0</v>
      </c>
      <c r="HE65" s="506">
        <v>0</v>
      </c>
      <c r="HF65" s="53">
        <v>1</v>
      </c>
      <c r="HG65" s="507">
        <v>0</v>
      </c>
      <c r="HH65" s="380">
        <f t="shared" si="38"/>
        <v>0</v>
      </c>
      <c r="HI65" s="506">
        <v>0</v>
      </c>
      <c r="HJ65" s="53">
        <v>1</v>
      </c>
      <c r="HK65" s="507">
        <v>0</v>
      </c>
      <c r="HL65" s="380">
        <f t="shared" si="39"/>
        <v>0</v>
      </c>
      <c r="HM65" s="506">
        <v>0</v>
      </c>
      <c r="HN65" s="53">
        <v>1</v>
      </c>
      <c r="HO65" s="507">
        <v>0</v>
      </c>
      <c r="HP65" s="380">
        <f t="shared" si="40"/>
        <v>0</v>
      </c>
      <c r="HQ65" s="506">
        <v>0</v>
      </c>
      <c r="HR65" s="53">
        <v>1</v>
      </c>
      <c r="HS65" s="507">
        <v>0</v>
      </c>
      <c r="HT65" s="380">
        <f t="shared" si="41"/>
        <v>0</v>
      </c>
      <c r="HU65" s="506">
        <v>0</v>
      </c>
      <c r="HV65" s="53">
        <v>1</v>
      </c>
      <c r="HW65" s="507">
        <v>0</v>
      </c>
      <c r="HX65" s="380">
        <f t="shared" si="42"/>
        <v>0</v>
      </c>
      <c r="HY65" s="506">
        <v>0</v>
      </c>
      <c r="HZ65" s="53">
        <v>1</v>
      </c>
      <c r="IA65" s="507">
        <v>0</v>
      </c>
      <c r="IB65" s="380">
        <f t="shared" si="43"/>
        <v>0</v>
      </c>
      <c r="IC65" s="506">
        <v>0</v>
      </c>
      <c r="ID65" s="53">
        <v>1</v>
      </c>
      <c r="IE65" s="507">
        <v>0</v>
      </c>
      <c r="IF65" s="380">
        <f t="shared" si="44"/>
        <v>0</v>
      </c>
      <c r="IG65" s="506">
        <v>0</v>
      </c>
      <c r="IH65" s="53">
        <v>1</v>
      </c>
      <c r="II65" s="507">
        <v>0</v>
      </c>
      <c r="IJ65" s="380">
        <f t="shared" si="45"/>
        <v>0</v>
      </c>
      <c r="IK65" s="506">
        <v>0</v>
      </c>
      <c r="IL65" s="53">
        <v>1</v>
      </c>
      <c r="IM65" s="507">
        <v>0</v>
      </c>
      <c r="IN65" s="380">
        <f t="shared" si="46"/>
        <v>0</v>
      </c>
      <c r="IO65" s="506">
        <v>0</v>
      </c>
      <c r="IP65" s="53">
        <v>1</v>
      </c>
      <c r="IQ65" s="507">
        <v>0</v>
      </c>
      <c r="IR65" s="380">
        <f t="shared" si="47"/>
        <v>0</v>
      </c>
      <c r="IS65" s="506">
        <v>0</v>
      </c>
      <c r="IT65" s="53">
        <v>1</v>
      </c>
      <c r="IU65" s="507">
        <v>0</v>
      </c>
      <c r="IV65" s="380">
        <f t="shared" si="48"/>
        <v>0</v>
      </c>
      <c r="IW65" s="506">
        <v>0</v>
      </c>
      <c r="IX65" s="53">
        <v>1</v>
      </c>
      <c r="IY65" s="507">
        <v>0</v>
      </c>
      <c r="IZ65" s="380">
        <f t="shared" si="49"/>
        <v>0</v>
      </c>
    </row>
    <row r="66" spans="1:260">
      <c r="A66" s="13" t="s">
        <v>621</v>
      </c>
      <c r="B66" s="13" t="s">
        <v>622</v>
      </c>
      <c r="C66" s="13" t="s">
        <v>132</v>
      </c>
      <c r="D66" s="13" t="s">
        <v>336</v>
      </c>
      <c r="E66" s="13" t="s">
        <v>2</v>
      </c>
      <c r="F66" s="13">
        <v>10168417</v>
      </c>
      <c r="G66" s="13" t="s">
        <v>131</v>
      </c>
      <c r="H66" s="49" t="s">
        <v>508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50"/>
        <v>500000</v>
      </c>
      <c r="L66" s="506">
        <v>500000</v>
      </c>
      <c r="M66" s="53">
        <v>1</v>
      </c>
      <c r="N66" s="507">
        <v>500000</v>
      </c>
      <c r="O66" s="506">
        <v>500000</v>
      </c>
      <c r="P66" s="53">
        <v>1</v>
      </c>
      <c r="Q66" s="507">
        <v>500000</v>
      </c>
      <c r="R66" s="506">
        <v>500000</v>
      </c>
      <c r="S66" s="53">
        <v>1</v>
      </c>
      <c r="T66" s="507">
        <v>500000</v>
      </c>
      <c r="U66" s="506">
        <v>500000</v>
      </c>
      <c r="V66" s="53">
        <v>1</v>
      </c>
      <c r="W66" s="507">
        <v>500000</v>
      </c>
      <c r="X66" s="506">
        <v>500000</v>
      </c>
      <c r="Y66" s="53">
        <v>1</v>
      </c>
      <c r="Z66" s="507">
        <v>500000</v>
      </c>
      <c r="AA66" s="506">
        <v>500000</v>
      </c>
      <c r="AB66" s="53">
        <v>1</v>
      </c>
      <c r="AC66" s="507">
        <v>500000</v>
      </c>
      <c r="AD66" s="506">
        <v>500000</v>
      </c>
      <c r="AE66" s="53">
        <v>1</v>
      </c>
      <c r="AF66" s="507">
        <v>500000</v>
      </c>
      <c r="AG66" s="506">
        <v>500000</v>
      </c>
      <c r="AH66" s="53">
        <v>1</v>
      </c>
      <c r="AI66" s="507">
        <v>500000</v>
      </c>
      <c r="AJ66" s="506">
        <v>500000</v>
      </c>
      <c r="AK66" s="53">
        <v>1</v>
      </c>
      <c r="AL66" s="507">
        <v>500000</v>
      </c>
      <c r="AM66" s="506">
        <v>500000</v>
      </c>
      <c r="AN66" s="53">
        <v>1</v>
      </c>
      <c r="AO66" s="507">
        <v>500000</v>
      </c>
      <c r="AP66" s="506">
        <v>500000</v>
      </c>
      <c r="AQ66" s="53">
        <v>1</v>
      </c>
      <c r="AR66" s="507">
        <v>500000</v>
      </c>
      <c r="AS66" s="506">
        <v>500000</v>
      </c>
      <c r="AT66" s="53">
        <v>1</v>
      </c>
      <c r="AU66" s="507">
        <v>500000</v>
      </c>
      <c r="AV66" s="506">
        <v>495074.78</v>
      </c>
      <c r="AW66" s="53">
        <v>1</v>
      </c>
      <c r="AX66" s="507">
        <v>495074.78</v>
      </c>
      <c r="AY66" s="506">
        <v>500000</v>
      </c>
      <c r="AZ66" s="53">
        <v>1</v>
      </c>
      <c r="BA66" s="507">
        <v>500000</v>
      </c>
      <c r="BB66" s="506">
        <v>500000</v>
      </c>
      <c r="BC66" s="53">
        <v>1</v>
      </c>
      <c r="BD66" s="507">
        <v>500000</v>
      </c>
      <c r="BE66" s="506">
        <v>500000</v>
      </c>
      <c r="BF66" s="53">
        <v>1</v>
      </c>
      <c r="BG66" s="507">
        <v>500000</v>
      </c>
      <c r="BH66" s="380">
        <f t="shared" si="0"/>
        <v>499999</v>
      </c>
      <c r="BI66" s="506">
        <v>500000</v>
      </c>
      <c r="BJ66" s="53">
        <v>1</v>
      </c>
      <c r="BK66" s="507">
        <v>500000</v>
      </c>
      <c r="BL66" s="380">
        <f t="shared" si="1"/>
        <v>0</v>
      </c>
      <c r="BM66" s="506">
        <v>500000</v>
      </c>
      <c r="BN66" s="53">
        <v>1</v>
      </c>
      <c r="BO66" s="507">
        <v>500000</v>
      </c>
      <c r="BP66">
        <v>0</v>
      </c>
      <c r="BQ66" s="506">
        <v>500000</v>
      </c>
      <c r="BR66" s="53">
        <v>1</v>
      </c>
      <c r="BS66" s="507">
        <v>500000</v>
      </c>
      <c r="BT66" s="380">
        <f t="shared" si="2"/>
        <v>0</v>
      </c>
      <c r="BU66" s="506">
        <v>500000</v>
      </c>
      <c r="BV66" s="53">
        <v>1</v>
      </c>
      <c r="BW66" s="507">
        <v>500000</v>
      </c>
      <c r="BX66" s="380">
        <f t="shared" si="3"/>
        <v>0</v>
      </c>
      <c r="BY66" s="506">
        <v>500000</v>
      </c>
      <c r="BZ66" s="53">
        <v>1</v>
      </c>
      <c r="CA66" s="507">
        <v>500000</v>
      </c>
      <c r="CB66" s="380">
        <f t="shared" si="4"/>
        <v>0</v>
      </c>
      <c r="CC66" s="506">
        <v>500000</v>
      </c>
      <c r="CD66" s="53">
        <v>1</v>
      </c>
      <c r="CE66" s="507">
        <v>500000</v>
      </c>
      <c r="CF66" s="380">
        <f t="shared" si="5"/>
        <v>0</v>
      </c>
      <c r="CG66" s="506">
        <v>500000</v>
      </c>
      <c r="CH66" s="53">
        <v>1</v>
      </c>
      <c r="CI66" s="507">
        <v>500000</v>
      </c>
      <c r="CJ66" s="380">
        <f t="shared" si="6"/>
        <v>0</v>
      </c>
      <c r="CK66" s="506">
        <v>500000</v>
      </c>
      <c r="CL66" s="53">
        <v>1</v>
      </c>
      <c r="CM66" s="507">
        <v>500000</v>
      </c>
      <c r="CN66" s="380">
        <f t="shared" si="7"/>
        <v>0</v>
      </c>
      <c r="CO66" s="506">
        <v>500000</v>
      </c>
      <c r="CP66" s="53">
        <v>1</v>
      </c>
      <c r="CQ66" s="507">
        <v>500000</v>
      </c>
      <c r="CR66" s="380">
        <f t="shared" si="8"/>
        <v>0</v>
      </c>
      <c r="CS66" s="506">
        <v>500000</v>
      </c>
      <c r="CT66" s="53">
        <v>1</v>
      </c>
      <c r="CU66" s="507">
        <v>500000</v>
      </c>
      <c r="CV66" s="380">
        <f t="shared" si="9"/>
        <v>0</v>
      </c>
      <c r="CW66" s="506">
        <v>500000</v>
      </c>
      <c r="CX66" s="53">
        <v>1</v>
      </c>
      <c r="CY66" s="507">
        <v>500000</v>
      </c>
      <c r="CZ66" s="380">
        <f t="shared" si="10"/>
        <v>0</v>
      </c>
      <c r="DA66" s="506">
        <v>500000</v>
      </c>
      <c r="DB66" s="53">
        <v>1</v>
      </c>
      <c r="DC66" s="507">
        <v>500000</v>
      </c>
      <c r="DD66" s="380">
        <f t="shared" si="11"/>
        <v>0</v>
      </c>
      <c r="DE66" s="506">
        <v>500000</v>
      </c>
      <c r="DF66" s="53">
        <v>1</v>
      </c>
      <c r="DG66" s="507">
        <v>500000</v>
      </c>
      <c r="DH66" s="380">
        <f t="shared" si="12"/>
        <v>0</v>
      </c>
      <c r="DI66" s="506">
        <v>500000</v>
      </c>
      <c r="DJ66" s="53">
        <v>1</v>
      </c>
      <c r="DK66" s="507">
        <v>500000</v>
      </c>
      <c r="DL66" s="380">
        <f t="shared" si="13"/>
        <v>0</v>
      </c>
      <c r="DM66" s="506">
        <v>500000</v>
      </c>
      <c r="DN66" s="53">
        <v>1</v>
      </c>
      <c r="DO66" s="507">
        <v>500000</v>
      </c>
      <c r="DP66" s="380">
        <f t="shared" si="14"/>
        <v>0</v>
      </c>
      <c r="DQ66" s="506">
        <v>500000</v>
      </c>
      <c r="DR66" s="53">
        <v>1</v>
      </c>
      <c r="DS66" s="507">
        <v>500000</v>
      </c>
      <c r="DT66" s="380">
        <f t="shared" si="15"/>
        <v>0</v>
      </c>
      <c r="DU66" s="506">
        <v>500000</v>
      </c>
      <c r="DV66" s="53">
        <v>1</v>
      </c>
      <c r="DW66" s="507">
        <v>500000</v>
      </c>
      <c r="DX66" s="380">
        <f t="shared" si="16"/>
        <v>0</v>
      </c>
      <c r="DY66" s="506">
        <v>500000</v>
      </c>
      <c r="DZ66" s="53">
        <v>1</v>
      </c>
      <c r="EA66" s="507">
        <v>500000</v>
      </c>
      <c r="EB66" s="380">
        <f t="shared" si="17"/>
        <v>0</v>
      </c>
      <c r="EC66" s="506">
        <v>500000</v>
      </c>
      <c r="ED66" s="53">
        <v>1</v>
      </c>
      <c r="EE66" s="507">
        <v>500000</v>
      </c>
      <c r="EF66" s="380">
        <f t="shared" si="18"/>
        <v>0</v>
      </c>
      <c r="EG66" s="506">
        <v>500000</v>
      </c>
      <c r="EH66" s="53">
        <v>1</v>
      </c>
      <c r="EI66" s="507">
        <v>500000</v>
      </c>
      <c r="EJ66" s="380">
        <f t="shared" si="19"/>
        <v>0</v>
      </c>
      <c r="EK66" s="506">
        <v>500000</v>
      </c>
      <c r="EL66" s="53">
        <v>1</v>
      </c>
      <c r="EM66" s="507">
        <v>500000</v>
      </c>
      <c r="EN66" s="380">
        <f t="shared" si="20"/>
        <v>0</v>
      </c>
      <c r="EO66" s="506">
        <v>500000</v>
      </c>
      <c r="EP66" s="53">
        <v>1</v>
      </c>
      <c r="EQ66" s="507">
        <v>500000</v>
      </c>
      <c r="ER66" s="380">
        <f t="shared" si="21"/>
        <v>0</v>
      </c>
      <c r="ES66" s="506">
        <v>500000</v>
      </c>
      <c r="ET66" s="53">
        <v>1</v>
      </c>
      <c r="EU66" s="507">
        <v>500000</v>
      </c>
      <c r="EV66" s="380">
        <f t="shared" si="22"/>
        <v>0</v>
      </c>
      <c r="EW66" s="506">
        <v>500000</v>
      </c>
      <c r="EX66" s="53">
        <v>1</v>
      </c>
      <c r="EY66" s="507">
        <v>500000</v>
      </c>
      <c r="EZ66" s="380">
        <f t="shared" si="23"/>
        <v>0</v>
      </c>
      <c r="FA66" s="506">
        <v>500000</v>
      </c>
      <c r="FB66" s="53">
        <v>1</v>
      </c>
      <c r="FC66" s="507">
        <v>500000</v>
      </c>
      <c r="FD66" s="380">
        <f t="shared" si="24"/>
        <v>0</v>
      </c>
      <c r="FE66" s="506">
        <v>500000</v>
      </c>
      <c r="FF66" s="53">
        <v>1</v>
      </c>
      <c r="FG66" s="507">
        <v>500000</v>
      </c>
      <c r="FH66" s="380">
        <f t="shared" si="25"/>
        <v>0</v>
      </c>
      <c r="FI66" s="506">
        <v>500000</v>
      </c>
      <c r="FJ66" s="53">
        <v>1</v>
      </c>
      <c r="FK66" s="507">
        <v>500000</v>
      </c>
      <c r="FL66" s="380">
        <f t="shared" si="26"/>
        <v>0</v>
      </c>
      <c r="FM66" s="506">
        <v>500000</v>
      </c>
      <c r="FN66" s="53">
        <v>1</v>
      </c>
      <c r="FO66" s="507">
        <v>500000</v>
      </c>
      <c r="FP66" s="380">
        <f t="shared" si="27"/>
        <v>0</v>
      </c>
      <c r="FQ66" s="506">
        <v>500000</v>
      </c>
      <c r="FR66" s="53">
        <v>1</v>
      </c>
      <c r="FS66" s="507">
        <v>500000</v>
      </c>
      <c r="FT66" s="380">
        <f t="shared" si="28"/>
        <v>0</v>
      </c>
      <c r="FU66" s="506">
        <v>500000</v>
      </c>
      <c r="FV66" s="53">
        <v>1</v>
      </c>
      <c r="FW66" s="507">
        <v>500000</v>
      </c>
      <c r="FX66" s="380">
        <f t="shared" si="29"/>
        <v>0</v>
      </c>
      <c r="FY66" s="506">
        <v>500000</v>
      </c>
      <c r="FZ66" s="53">
        <v>1</v>
      </c>
      <c r="GA66" s="507">
        <v>500000</v>
      </c>
      <c r="GB66" s="380">
        <f t="shared" si="30"/>
        <v>0</v>
      </c>
      <c r="GC66" s="506">
        <v>500000</v>
      </c>
      <c r="GD66" s="53">
        <v>1</v>
      </c>
      <c r="GE66" s="507">
        <v>500000</v>
      </c>
      <c r="GF66" s="380">
        <f t="shared" si="31"/>
        <v>0</v>
      </c>
      <c r="GG66" s="506">
        <v>500000</v>
      </c>
      <c r="GH66" s="53">
        <v>1</v>
      </c>
      <c r="GI66" s="507">
        <v>500000</v>
      </c>
      <c r="GJ66" s="380">
        <f t="shared" si="32"/>
        <v>0</v>
      </c>
      <c r="GK66" s="506">
        <v>500000</v>
      </c>
      <c r="GL66" s="53">
        <v>1</v>
      </c>
      <c r="GM66" s="507">
        <v>500000</v>
      </c>
      <c r="GN66" s="380">
        <f t="shared" si="33"/>
        <v>0</v>
      </c>
      <c r="GO66" s="506">
        <v>500000</v>
      </c>
      <c r="GP66" s="53">
        <v>1</v>
      </c>
      <c r="GQ66" s="507">
        <v>500000</v>
      </c>
      <c r="GR66" s="380">
        <f t="shared" si="34"/>
        <v>0</v>
      </c>
      <c r="GS66" s="506">
        <v>500000</v>
      </c>
      <c r="GT66" s="53">
        <v>1</v>
      </c>
      <c r="GU66" s="507">
        <v>500000</v>
      </c>
      <c r="GV66" s="380">
        <f t="shared" si="35"/>
        <v>0</v>
      </c>
      <c r="GW66" s="506">
        <v>500000</v>
      </c>
      <c r="GX66" s="53">
        <v>1</v>
      </c>
      <c r="GY66" s="507">
        <v>500000</v>
      </c>
      <c r="GZ66" s="380">
        <f t="shared" si="36"/>
        <v>0</v>
      </c>
      <c r="HA66" s="506">
        <v>500000</v>
      </c>
      <c r="HB66" s="53">
        <v>1</v>
      </c>
      <c r="HC66" s="507">
        <v>500000</v>
      </c>
      <c r="HD66" s="380">
        <f t="shared" si="37"/>
        <v>0</v>
      </c>
      <c r="HE66" s="506">
        <v>500000</v>
      </c>
      <c r="HF66" s="53">
        <v>1</v>
      </c>
      <c r="HG66" s="507">
        <v>500000</v>
      </c>
      <c r="HH66" s="380">
        <f t="shared" si="38"/>
        <v>0</v>
      </c>
      <c r="HI66" s="506">
        <v>500000</v>
      </c>
      <c r="HJ66" s="53">
        <v>1</v>
      </c>
      <c r="HK66" s="507">
        <v>500000</v>
      </c>
      <c r="HL66" s="380">
        <f t="shared" si="39"/>
        <v>0</v>
      </c>
      <c r="HM66" s="506">
        <v>500000</v>
      </c>
      <c r="HN66" s="53">
        <v>1</v>
      </c>
      <c r="HO66" s="507">
        <v>500000</v>
      </c>
      <c r="HP66" s="380">
        <f t="shared" si="40"/>
        <v>0</v>
      </c>
      <c r="HQ66" s="506">
        <v>500000</v>
      </c>
      <c r="HR66" s="53">
        <v>1</v>
      </c>
      <c r="HS66" s="507">
        <v>500000</v>
      </c>
      <c r="HT66" s="380">
        <f t="shared" si="41"/>
        <v>0</v>
      </c>
      <c r="HU66" s="506">
        <v>500000</v>
      </c>
      <c r="HV66" s="53">
        <v>1</v>
      </c>
      <c r="HW66" s="507">
        <v>500000</v>
      </c>
      <c r="HX66" s="380">
        <f t="shared" si="42"/>
        <v>0</v>
      </c>
      <c r="HY66" s="506">
        <v>500000</v>
      </c>
      <c r="HZ66" s="53">
        <v>1</v>
      </c>
      <c r="IA66" s="507">
        <v>500000</v>
      </c>
      <c r="IB66" s="380">
        <f t="shared" si="43"/>
        <v>0</v>
      </c>
      <c r="IC66" s="506">
        <v>500000</v>
      </c>
      <c r="ID66" s="53">
        <v>1</v>
      </c>
      <c r="IE66" s="507">
        <v>500000</v>
      </c>
      <c r="IF66" s="380">
        <f t="shared" si="44"/>
        <v>0</v>
      </c>
      <c r="IG66" s="506">
        <v>500000</v>
      </c>
      <c r="IH66" s="53">
        <v>1</v>
      </c>
      <c r="II66" s="507">
        <v>500000</v>
      </c>
      <c r="IJ66" s="380">
        <f t="shared" si="45"/>
        <v>0</v>
      </c>
      <c r="IK66" s="506">
        <v>500000</v>
      </c>
      <c r="IL66" s="53">
        <v>1</v>
      </c>
      <c r="IM66" s="507">
        <v>500000</v>
      </c>
      <c r="IN66" s="380">
        <f t="shared" si="46"/>
        <v>0</v>
      </c>
      <c r="IO66" s="506">
        <v>500000</v>
      </c>
      <c r="IP66" s="53">
        <v>1</v>
      </c>
      <c r="IQ66" s="507">
        <v>500000</v>
      </c>
      <c r="IR66" s="380">
        <f t="shared" si="47"/>
        <v>0</v>
      </c>
      <c r="IS66" s="506">
        <v>500000</v>
      </c>
      <c r="IT66" s="53">
        <v>1</v>
      </c>
      <c r="IU66" s="507">
        <v>500000</v>
      </c>
      <c r="IV66" s="380">
        <f t="shared" si="48"/>
        <v>0</v>
      </c>
      <c r="IW66" s="506">
        <v>500000</v>
      </c>
      <c r="IX66" s="53">
        <v>1</v>
      </c>
      <c r="IY66" s="507">
        <v>500000</v>
      </c>
      <c r="IZ66" s="380">
        <f t="shared" si="49"/>
        <v>0</v>
      </c>
    </row>
    <row r="67" spans="1:260">
      <c r="A67" s="13" t="s">
        <v>623</v>
      </c>
      <c r="B67" s="13" t="s">
        <v>624</v>
      </c>
      <c r="C67" s="13" t="s">
        <v>136</v>
      </c>
      <c r="D67" s="13" t="s">
        <v>336</v>
      </c>
      <c r="E67" s="13" t="s">
        <v>2</v>
      </c>
      <c r="F67" s="13">
        <v>454420925</v>
      </c>
      <c r="G67" s="13" t="s">
        <v>135</v>
      </c>
      <c r="H67" s="49" t="s">
        <v>508</v>
      </c>
      <c r="I67" s="14">
        <f>+'IBP export - Colar'!A41</f>
        <v>323357</v>
      </c>
      <c r="J67" s="14">
        <f>+VLOOKUP(E67,'Summary - Colar'!$M$39:$N$54,2,FALSE)</f>
        <v>1</v>
      </c>
      <c r="K67" s="14">
        <f t="shared" si="50"/>
        <v>323357</v>
      </c>
      <c r="L67" s="506">
        <v>811043.79</v>
      </c>
      <c r="M67" s="53">
        <v>1</v>
      </c>
      <c r="N67" s="507">
        <v>811043.79</v>
      </c>
      <c r="O67" s="506">
        <v>809698.8</v>
      </c>
      <c r="P67" s="53">
        <v>1</v>
      </c>
      <c r="Q67" s="507">
        <v>809698.8</v>
      </c>
      <c r="R67" s="506">
        <v>808959.56</v>
      </c>
      <c r="S67" s="53">
        <v>1</v>
      </c>
      <c r="T67" s="507">
        <v>808959.56</v>
      </c>
      <c r="U67" s="506">
        <v>808784.56</v>
      </c>
      <c r="V67" s="53">
        <v>1</v>
      </c>
      <c r="W67" s="507">
        <v>808784.56</v>
      </c>
      <c r="X67" s="506">
        <v>308828.99</v>
      </c>
      <c r="Y67" s="53">
        <v>1</v>
      </c>
      <c r="Z67" s="507">
        <v>308828.99</v>
      </c>
      <c r="AA67" s="506">
        <v>220591.18</v>
      </c>
      <c r="AB67" s="53">
        <v>1</v>
      </c>
      <c r="AC67" s="507">
        <v>220591.18</v>
      </c>
      <c r="AD67" s="506">
        <v>211408.74</v>
      </c>
      <c r="AE67" s="53">
        <v>1</v>
      </c>
      <c r="AF67" s="507">
        <v>211408.74</v>
      </c>
      <c r="AG67" s="506">
        <v>202144.74</v>
      </c>
      <c r="AH67" s="53">
        <v>1</v>
      </c>
      <c r="AI67" s="507">
        <v>202144.74</v>
      </c>
      <c r="AJ67" s="506">
        <v>166438.92000000001</v>
      </c>
      <c r="AK67" s="53">
        <v>1</v>
      </c>
      <c r="AL67" s="507">
        <v>166438.92000000001</v>
      </c>
      <c r="AM67" s="506">
        <v>78870.990000000005</v>
      </c>
      <c r="AN67" s="53">
        <v>1</v>
      </c>
      <c r="AO67" s="507">
        <v>78870.990000000005</v>
      </c>
      <c r="AP67" s="506">
        <v>101648.23</v>
      </c>
      <c r="AQ67" s="53">
        <v>1</v>
      </c>
      <c r="AR67" s="507">
        <v>101648.23</v>
      </c>
      <c r="AS67" s="506">
        <v>84755</v>
      </c>
      <c r="AT67" s="53">
        <v>1</v>
      </c>
      <c r="AU67" s="507">
        <v>84755</v>
      </c>
      <c r="AV67" s="506">
        <v>84754.65</v>
      </c>
      <c r="AW67" s="53">
        <v>1</v>
      </c>
      <c r="AX67" s="507">
        <v>84754.65</v>
      </c>
      <c r="AY67" s="506">
        <v>266668.81</v>
      </c>
      <c r="AZ67" s="53">
        <v>1</v>
      </c>
      <c r="BA67" s="507">
        <v>266668.81</v>
      </c>
      <c r="BB67" s="506">
        <v>268468.15999999997</v>
      </c>
      <c r="BC67" s="53">
        <v>1</v>
      </c>
      <c r="BD67" s="507">
        <v>268468.15999999997</v>
      </c>
      <c r="BE67" s="506">
        <v>403027.36</v>
      </c>
      <c r="BF67" s="53">
        <v>1</v>
      </c>
      <c r="BG67" s="507">
        <v>403027.36</v>
      </c>
      <c r="BH67" s="380">
        <f t="shared" ref="BH67:BH97" si="51">IF(BG67="-",0,BG67-BC67)</f>
        <v>403026.36</v>
      </c>
      <c r="BI67" s="506">
        <v>403027.36</v>
      </c>
      <c r="BJ67" s="53">
        <v>1</v>
      </c>
      <c r="BK67" s="507">
        <v>403027.36</v>
      </c>
      <c r="BL67" s="380">
        <f t="shared" ref="BL67:BL97" si="52">IF(BK67="-",0,BK67-BG67)</f>
        <v>0</v>
      </c>
      <c r="BM67" s="506">
        <v>394309.29</v>
      </c>
      <c r="BN67" s="53">
        <v>1</v>
      </c>
      <c r="BO67" s="507">
        <v>394309.29</v>
      </c>
      <c r="BP67">
        <v>-87567.930000000008</v>
      </c>
      <c r="BQ67" s="506">
        <v>394309.29</v>
      </c>
      <c r="BR67" s="53">
        <v>1</v>
      </c>
      <c r="BS67" s="507">
        <v>394309.29</v>
      </c>
      <c r="BT67" s="380">
        <f t="shared" ref="BT67:BT97" si="53">IF(BS67="-",0,BS67-BO67)</f>
        <v>0</v>
      </c>
      <c r="BU67" s="506">
        <v>389084.99</v>
      </c>
      <c r="BV67" s="53">
        <v>1</v>
      </c>
      <c r="BW67" s="507">
        <v>389084.99</v>
      </c>
      <c r="BX67" s="380">
        <f t="shared" ref="BX67:BX97" si="54">IF(BW67="-",0,BW67-BS67)</f>
        <v>-5224.2999999999884</v>
      </c>
      <c r="BY67" s="506">
        <v>388676.65</v>
      </c>
      <c r="BZ67" s="53">
        <v>1</v>
      </c>
      <c r="CA67" s="507">
        <v>388676.65</v>
      </c>
      <c r="CB67" s="380">
        <f t="shared" ref="CB67:CB97" si="55">IF(CA67="-",0,CA67-BW67)</f>
        <v>-408.3399999999674</v>
      </c>
      <c r="CC67" s="506">
        <v>388676.65</v>
      </c>
      <c r="CD67" s="53">
        <v>1</v>
      </c>
      <c r="CE67" s="507">
        <v>388676.65</v>
      </c>
      <c r="CF67" s="380">
        <f t="shared" ref="CF67:CF97" si="56">IF(CE67="-",0,CE67-CA67)</f>
        <v>0</v>
      </c>
      <c r="CG67" s="506">
        <v>394791.57</v>
      </c>
      <c r="CH67" s="53">
        <v>1</v>
      </c>
      <c r="CI67" s="507">
        <v>394791.57</v>
      </c>
      <c r="CJ67" s="380">
        <f t="shared" ref="CJ67:CJ97" si="57">IF(CI67="-",0,CI67-CE67)</f>
        <v>6114.9199999999837</v>
      </c>
      <c r="CK67" s="506">
        <v>394791.57</v>
      </c>
      <c r="CL67" s="53">
        <v>1</v>
      </c>
      <c r="CM67" s="507">
        <v>394791.57</v>
      </c>
      <c r="CN67" s="380">
        <f t="shared" ref="CN67:CN97" si="58">IF(CM67="-",0,CM67-CI67)</f>
        <v>0</v>
      </c>
      <c r="CO67" s="506">
        <v>394791.57</v>
      </c>
      <c r="CP67" s="53">
        <v>1</v>
      </c>
      <c r="CQ67" s="507">
        <v>394791.57</v>
      </c>
      <c r="CR67" s="380">
        <f t="shared" ref="CR67:CR97" si="59">IF(CQ67="-",0,CQ67-CM67)</f>
        <v>0</v>
      </c>
      <c r="CS67" s="506">
        <v>396441.57</v>
      </c>
      <c r="CT67" s="53">
        <v>1</v>
      </c>
      <c r="CU67" s="507">
        <v>396441.57</v>
      </c>
      <c r="CV67" s="380">
        <f t="shared" ref="CV67:CV97" si="60">IF(CU67="-",0,CU67-CQ67)</f>
        <v>1650</v>
      </c>
      <c r="CW67" s="506">
        <v>396441.57</v>
      </c>
      <c r="CX67" s="53">
        <v>1</v>
      </c>
      <c r="CY67" s="507">
        <v>396441.57</v>
      </c>
      <c r="CZ67" s="380">
        <f t="shared" ref="CZ67:CZ97" si="61">IF(CY67="-",0,CY67-CU67)</f>
        <v>0</v>
      </c>
      <c r="DA67" s="506">
        <v>401746.83</v>
      </c>
      <c r="DB67" s="53">
        <v>1</v>
      </c>
      <c r="DC67" s="507">
        <v>401746.83</v>
      </c>
      <c r="DD67" s="380">
        <f t="shared" ref="DD67:DD97" si="62">IF(DC67="-",0,DC67-CY67)</f>
        <v>5305.2600000000093</v>
      </c>
      <c r="DE67" s="506">
        <v>401746.83</v>
      </c>
      <c r="DF67" s="53">
        <v>1</v>
      </c>
      <c r="DG67" s="507">
        <v>401746.83</v>
      </c>
      <c r="DH67" s="380">
        <f t="shared" ref="DH67:DH97" si="63">IF(DG67="-",0,DG67-DC67)</f>
        <v>0</v>
      </c>
      <c r="DI67" s="506">
        <v>401746.83</v>
      </c>
      <c r="DJ67" s="53">
        <v>1</v>
      </c>
      <c r="DK67" s="507">
        <v>401746.83</v>
      </c>
      <c r="DL67" s="380">
        <f t="shared" ref="DL67:DL97" si="64">IF(DK67="-",0,DK67-DG67)</f>
        <v>0</v>
      </c>
      <c r="DM67" s="506">
        <v>346785.26</v>
      </c>
      <c r="DN67" s="53">
        <v>1</v>
      </c>
      <c r="DO67" s="507">
        <v>346785.26</v>
      </c>
      <c r="DP67" s="380">
        <f t="shared" ref="DP67:DP97" si="65">IF(DO67="-",0,DO67-DK67)</f>
        <v>-54961.570000000007</v>
      </c>
      <c r="DQ67" s="506">
        <v>327558.40000000002</v>
      </c>
      <c r="DR67" s="53">
        <v>1</v>
      </c>
      <c r="DS67" s="507">
        <v>327558.40000000002</v>
      </c>
      <c r="DT67" s="380">
        <f t="shared" ref="DT67:DT97" si="66">IF(DS67="-",0,DS67-DO67)</f>
        <v>-19226.859999999986</v>
      </c>
      <c r="DU67" s="506">
        <v>326316.5</v>
      </c>
      <c r="DV67" s="53">
        <v>1</v>
      </c>
      <c r="DW67" s="507">
        <v>326316.5</v>
      </c>
      <c r="DX67" s="380">
        <f t="shared" ref="DX67:DX97" si="67">IF(DW67="-",0,DW67-DS67)</f>
        <v>-1241.9000000000233</v>
      </c>
      <c r="DY67" s="506">
        <v>286823</v>
      </c>
      <c r="DZ67" s="53">
        <v>1</v>
      </c>
      <c r="EA67" s="507">
        <v>286823</v>
      </c>
      <c r="EB67" s="380">
        <f t="shared" ref="EB67:EB97" si="68">IF(EA67="-",0,EA67-DW67)</f>
        <v>-39493.5</v>
      </c>
      <c r="EC67" s="506">
        <v>286581</v>
      </c>
      <c r="ED67" s="53">
        <v>1</v>
      </c>
      <c r="EE67" s="507">
        <v>286581</v>
      </c>
      <c r="EF67" s="380">
        <f t="shared" ref="EF67:EF97" si="69">IF(EE67="-",0,EE67-EA67)</f>
        <v>-242</v>
      </c>
      <c r="EG67" s="506">
        <v>286491</v>
      </c>
      <c r="EH67" s="53">
        <v>1</v>
      </c>
      <c r="EI67" s="507">
        <v>286491</v>
      </c>
      <c r="EJ67" s="380">
        <f t="shared" ref="EJ67:EJ97" si="70">IF(EI67="-",0,EI67-EE67)</f>
        <v>-90</v>
      </c>
      <c r="EK67" s="506">
        <v>308841</v>
      </c>
      <c r="EL67" s="53">
        <v>1</v>
      </c>
      <c r="EM67" s="507">
        <v>308841</v>
      </c>
      <c r="EN67" s="380">
        <f t="shared" ref="EN67:EN97" si="71">IF(EM67="-",0,EM67-EI67)</f>
        <v>22350</v>
      </c>
      <c r="EO67" s="506">
        <v>341017</v>
      </c>
      <c r="EP67" s="53">
        <v>1</v>
      </c>
      <c r="EQ67" s="507">
        <v>341017</v>
      </c>
      <c r="ER67" s="380">
        <f t="shared" ref="ER67:ER97" si="72">IF(EQ67="-",0,EQ67-EM67)</f>
        <v>32176</v>
      </c>
      <c r="ES67" s="506">
        <v>341017</v>
      </c>
      <c r="ET67" s="53">
        <v>1</v>
      </c>
      <c r="EU67" s="507">
        <v>341017</v>
      </c>
      <c r="EV67" s="380">
        <f t="shared" ref="EV67:EV97" si="73">IF(EU67="-",0,EU67-EQ67)</f>
        <v>0</v>
      </c>
      <c r="EW67" s="506">
        <v>339111</v>
      </c>
      <c r="EX67" s="53">
        <v>1</v>
      </c>
      <c r="EY67" s="507">
        <v>339111</v>
      </c>
      <c r="EZ67" s="380">
        <f t="shared" ref="EZ67:EZ97" si="74">IF(EY67="-",0,EY67-EU67)</f>
        <v>-1906</v>
      </c>
      <c r="FA67" s="506">
        <v>330022</v>
      </c>
      <c r="FB67" s="53">
        <v>1</v>
      </c>
      <c r="FC67" s="507">
        <v>330022</v>
      </c>
      <c r="FD67" s="380">
        <f t="shared" ref="FD67:FD97" si="75">IF(FC67="-",0,FC67-EY67)</f>
        <v>-9089</v>
      </c>
      <c r="FE67" s="506">
        <v>330022</v>
      </c>
      <c r="FF67" s="53">
        <v>1</v>
      </c>
      <c r="FG67" s="507">
        <v>330022</v>
      </c>
      <c r="FH67" s="380">
        <f t="shared" ref="FH67:FH97" si="76">IF(FG67="-",0,FG67-FC67)</f>
        <v>0</v>
      </c>
      <c r="FI67" s="506">
        <v>330022</v>
      </c>
      <c r="FJ67" s="53">
        <v>1</v>
      </c>
      <c r="FK67" s="507">
        <v>330022</v>
      </c>
      <c r="FL67" s="380">
        <f t="shared" ref="FL67:FL97" si="77">IF(FK67="-",0,FK67-FG67)</f>
        <v>0</v>
      </c>
      <c r="FM67" s="506">
        <v>330022</v>
      </c>
      <c r="FN67" s="53">
        <v>1</v>
      </c>
      <c r="FO67" s="507">
        <v>330022</v>
      </c>
      <c r="FP67" s="380">
        <f t="shared" ref="FP67:FP97" si="78">IF(FO67="-",0,FO67-FK67)</f>
        <v>0</v>
      </c>
      <c r="FQ67" s="506">
        <v>330022</v>
      </c>
      <c r="FR67" s="53">
        <v>1</v>
      </c>
      <c r="FS67" s="507">
        <v>330022</v>
      </c>
      <c r="FT67" s="380">
        <f t="shared" ref="FT67:FT97" si="79">IF(FS67="-",0,FS67-FO67)</f>
        <v>0</v>
      </c>
      <c r="FU67" s="506">
        <v>329840</v>
      </c>
      <c r="FV67" s="53">
        <v>1</v>
      </c>
      <c r="FW67" s="507">
        <v>329840</v>
      </c>
      <c r="FX67" s="380">
        <f t="shared" ref="FX67:FX97" si="80">IF(FW67="-",0,FW67-FS67)</f>
        <v>-182</v>
      </c>
      <c r="FY67" s="506">
        <v>329840</v>
      </c>
      <c r="FZ67" s="53">
        <v>1</v>
      </c>
      <c r="GA67" s="507">
        <v>329840</v>
      </c>
      <c r="GB67" s="380">
        <f t="shared" ref="GB67:GB97" si="81">IF(GA67="-",0,GA67-FW67)</f>
        <v>0</v>
      </c>
      <c r="GC67" s="506">
        <v>271519</v>
      </c>
      <c r="GD67" s="53">
        <v>1</v>
      </c>
      <c r="GE67" s="507">
        <v>271519</v>
      </c>
      <c r="GF67" s="380">
        <f t="shared" ref="GF67:GF97" si="82">IF(GE67="-",0,GE67-GA67)</f>
        <v>-58321</v>
      </c>
      <c r="GG67" s="506">
        <v>214516</v>
      </c>
      <c r="GH67" s="53">
        <v>1</v>
      </c>
      <c r="GI67" s="507">
        <v>214516</v>
      </c>
      <c r="GJ67" s="380">
        <f t="shared" ref="GJ67:GJ97" si="83">IF(GI67="-",0,GI67-GE67)</f>
        <v>-57003</v>
      </c>
      <c r="GK67" s="506">
        <v>214516</v>
      </c>
      <c r="GL67" s="53">
        <v>1</v>
      </c>
      <c r="GM67" s="507">
        <v>214516</v>
      </c>
      <c r="GN67" s="380">
        <f t="shared" ref="GN67:GN97" si="84">IF(GM67="-",0,GM67-GI67)</f>
        <v>0</v>
      </c>
      <c r="GO67" s="506">
        <v>214516</v>
      </c>
      <c r="GP67" s="53">
        <v>1</v>
      </c>
      <c r="GQ67" s="507">
        <v>214516</v>
      </c>
      <c r="GR67" s="380">
        <f t="shared" ref="GR67:GR97" si="85">IF(GQ67="-",0,GQ67-GM67)</f>
        <v>0</v>
      </c>
      <c r="GS67" s="506">
        <v>219215</v>
      </c>
      <c r="GT67" s="53">
        <v>1</v>
      </c>
      <c r="GU67" s="507">
        <v>219215</v>
      </c>
      <c r="GV67" s="380">
        <f t="shared" ref="GV67:GV97" si="86">IF(GU67="-",0,GU67-GQ67)</f>
        <v>4699</v>
      </c>
      <c r="GW67" s="506">
        <v>217870</v>
      </c>
      <c r="GX67" s="53">
        <v>1</v>
      </c>
      <c r="GY67" s="507">
        <v>217870</v>
      </c>
      <c r="GZ67" s="380">
        <f t="shared" ref="GZ67:GZ97" si="87">IF(GY67="-",0,GY67-GU67)</f>
        <v>-1345</v>
      </c>
      <c r="HA67" s="506">
        <v>188962</v>
      </c>
      <c r="HB67" s="53">
        <v>1</v>
      </c>
      <c r="HC67" s="507">
        <v>188962</v>
      </c>
      <c r="HD67" s="380">
        <f t="shared" ref="HD67:HD97" si="88">IF(HC67="-",0,HC67-GY67)</f>
        <v>-28908</v>
      </c>
      <c r="HE67" s="506">
        <v>188372</v>
      </c>
      <c r="HF67" s="53">
        <v>1</v>
      </c>
      <c r="HG67" s="507">
        <v>188372</v>
      </c>
      <c r="HH67" s="380">
        <f t="shared" ref="HH67:HH97" si="89">IF(HG67="-",0,HG67-HC67)</f>
        <v>-590</v>
      </c>
      <c r="HI67" s="506">
        <v>227227</v>
      </c>
      <c r="HJ67" s="53">
        <v>1</v>
      </c>
      <c r="HK67" s="507">
        <v>227227</v>
      </c>
      <c r="HL67" s="380">
        <f t="shared" ref="HL67:HL97" si="90">IF(HK67="-",0,HK67-HG67)</f>
        <v>38855</v>
      </c>
      <c r="HM67" s="506">
        <v>227227</v>
      </c>
      <c r="HN67" s="53">
        <v>1</v>
      </c>
      <c r="HO67" s="507">
        <v>227227</v>
      </c>
      <c r="HP67" s="380">
        <f t="shared" ref="HP67:HP97" si="91">IF(HO67="-",0,HO67-HK67)</f>
        <v>0</v>
      </c>
      <c r="HQ67" s="506">
        <v>223847</v>
      </c>
      <c r="HR67" s="53">
        <v>1</v>
      </c>
      <c r="HS67" s="507">
        <v>223847</v>
      </c>
      <c r="HT67" s="380">
        <f t="shared" ref="HT67:HT97" si="92">IF(HS67="-",0,HS67-HO67)</f>
        <v>-3380</v>
      </c>
      <c r="HU67" s="506">
        <v>223672</v>
      </c>
      <c r="HV67" s="53">
        <v>1</v>
      </c>
      <c r="HW67" s="507">
        <v>223672</v>
      </c>
      <c r="HX67" s="380">
        <f t="shared" ref="HX67:HX97" si="93">IF(HW67="-",0,HW67-HS67)</f>
        <v>-175</v>
      </c>
      <c r="HY67" s="506">
        <v>269550</v>
      </c>
      <c r="HZ67" s="53">
        <v>1</v>
      </c>
      <c r="IA67" s="507">
        <v>269550</v>
      </c>
      <c r="IB67" s="380">
        <f t="shared" ref="IB67:IB97" si="94">IF(IA67="-",0,IA67-HW67)</f>
        <v>45878</v>
      </c>
      <c r="IC67" s="506">
        <v>269550</v>
      </c>
      <c r="ID67" s="53">
        <v>1</v>
      </c>
      <c r="IE67" s="507">
        <v>269550</v>
      </c>
      <c r="IF67" s="380">
        <f t="shared" ref="IF67:IF97" si="95">IF(IE67="-",0,IE67-IA67)</f>
        <v>0</v>
      </c>
      <c r="IG67" s="506">
        <v>269550</v>
      </c>
      <c r="IH67" s="53">
        <v>1</v>
      </c>
      <c r="II67" s="507">
        <v>269550</v>
      </c>
      <c r="IJ67" s="380">
        <f t="shared" ref="IJ67:IJ97" si="96">IF(II67="-",0,II67-IE67)</f>
        <v>0</v>
      </c>
      <c r="IK67" s="506">
        <v>268785</v>
      </c>
      <c r="IL67" s="53">
        <v>1</v>
      </c>
      <c r="IM67" s="507">
        <v>268785</v>
      </c>
      <c r="IN67" s="380">
        <f t="shared" ref="IN67:IN97" si="97">IF(IM67="-",0,IM67-II67)</f>
        <v>-765</v>
      </c>
      <c r="IO67" s="506">
        <v>268785</v>
      </c>
      <c r="IP67" s="53">
        <v>1</v>
      </c>
      <c r="IQ67" s="507">
        <v>268785</v>
      </c>
      <c r="IR67" s="380">
        <f t="shared" ref="IR67:IR97" si="98">IF(IQ67="-",0,IQ67-IM67)</f>
        <v>0</v>
      </c>
      <c r="IS67" s="506">
        <v>323357</v>
      </c>
      <c r="IT67" s="53">
        <v>1</v>
      </c>
      <c r="IU67" s="507">
        <v>323357</v>
      </c>
      <c r="IV67" s="380">
        <f t="shared" ref="IV67:IV97" si="99">IF(IU67="-",0,IU67-IQ67)</f>
        <v>54572</v>
      </c>
      <c r="IW67" s="506">
        <v>323357</v>
      </c>
      <c r="IX67" s="53">
        <v>1</v>
      </c>
      <c r="IY67" s="507">
        <v>323357</v>
      </c>
      <c r="IZ67" s="380">
        <f t="shared" ref="IZ67:IZ97" si="100">IF(IY67="-",0,IY67-IU67)</f>
        <v>0</v>
      </c>
    </row>
    <row r="68" spans="1:260">
      <c r="A68" s="13" t="s">
        <v>625</v>
      </c>
      <c r="B68" s="13" t="s">
        <v>246</v>
      </c>
      <c r="C68" s="13" t="s">
        <v>626</v>
      </c>
      <c r="D68" s="13" t="s">
        <v>336</v>
      </c>
      <c r="E68" s="13" t="s">
        <v>2</v>
      </c>
      <c r="F68" s="13">
        <v>8159579</v>
      </c>
      <c r="G68" s="13" t="s">
        <v>627</v>
      </c>
      <c r="H68" s="49" t="s">
        <v>508</v>
      </c>
      <c r="I68" s="14">
        <f>+'IBP export - Colar'!A83</f>
        <v>28461</v>
      </c>
      <c r="J68" s="14">
        <f>+VLOOKUP(E68,'Summary - Colar'!$M$39:$N$54,2,FALSE)</f>
        <v>1</v>
      </c>
      <c r="K68" s="14">
        <f t="shared" ref="K68:K98" si="101">+I68/J68</f>
        <v>28461</v>
      </c>
      <c r="L68" s="506">
        <v>303189.59000000003</v>
      </c>
      <c r="M68" s="53">
        <v>1</v>
      </c>
      <c r="N68" s="507">
        <v>303189.59000000003</v>
      </c>
      <c r="O68" s="506">
        <v>303189.59000000003</v>
      </c>
      <c r="P68" s="53">
        <v>1</v>
      </c>
      <c r="Q68" s="507">
        <v>303189.59000000003</v>
      </c>
      <c r="R68" s="506">
        <v>858467.37</v>
      </c>
      <c r="S68" s="53">
        <v>1</v>
      </c>
      <c r="T68" s="507">
        <v>858467.37</v>
      </c>
      <c r="U68" s="506">
        <v>56236.72</v>
      </c>
      <c r="V68" s="53">
        <v>1</v>
      </c>
      <c r="W68" s="507">
        <v>56236.72</v>
      </c>
      <c r="X68" s="506">
        <v>56143.41</v>
      </c>
      <c r="Y68" s="53">
        <v>1</v>
      </c>
      <c r="Z68" s="507">
        <v>56143.41</v>
      </c>
      <c r="AA68" s="506">
        <v>56143.41</v>
      </c>
      <c r="AB68" s="53">
        <v>1</v>
      </c>
      <c r="AC68" s="507">
        <v>56143.41</v>
      </c>
      <c r="AD68" s="506">
        <v>56143.41</v>
      </c>
      <c r="AE68" s="53">
        <v>1</v>
      </c>
      <c r="AF68" s="507">
        <v>56143.41</v>
      </c>
      <c r="AG68" s="506">
        <v>56590.7</v>
      </c>
      <c r="AH68" s="53">
        <v>1</v>
      </c>
      <c r="AI68" s="507">
        <v>56590.7</v>
      </c>
      <c r="AJ68" s="506">
        <v>56590.7</v>
      </c>
      <c r="AK68" s="53">
        <v>1</v>
      </c>
      <c r="AL68" s="507">
        <v>56590.7</v>
      </c>
      <c r="AM68" s="506">
        <v>56505.86</v>
      </c>
      <c r="AN68" s="53">
        <v>1</v>
      </c>
      <c r="AO68" s="507">
        <v>56505.86</v>
      </c>
      <c r="AP68" s="506">
        <v>56505.86</v>
      </c>
      <c r="AQ68" s="53">
        <v>1</v>
      </c>
      <c r="AR68" s="507">
        <v>56505.86</v>
      </c>
      <c r="AS68" s="506">
        <v>32126</v>
      </c>
      <c r="AT68" s="53">
        <v>1</v>
      </c>
      <c r="AU68" s="507">
        <v>32126</v>
      </c>
      <c r="AV68" s="506">
        <v>32125.57</v>
      </c>
      <c r="AW68" s="53">
        <v>1</v>
      </c>
      <c r="AX68" s="507">
        <v>32125.57</v>
      </c>
      <c r="AY68" s="506">
        <v>37622.58</v>
      </c>
      <c r="AZ68" s="53">
        <v>1</v>
      </c>
      <c r="BA68" s="507">
        <v>37622.58</v>
      </c>
      <c r="BB68" s="506">
        <v>37622.58</v>
      </c>
      <c r="BC68" s="53">
        <v>1</v>
      </c>
      <c r="BD68" s="507">
        <v>37622.58</v>
      </c>
      <c r="BE68" s="506">
        <v>37622.58</v>
      </c>
      <c r="BF68" s="53">
        <v>1</v>
      </c>
      <c r="BG68" s="507">
        <v>37622.58</v>
      </c>
      <c r="BH68" s="380">
        <f t="shared" si="51"/>
        <v>37621.58</v>
      </c>
      <c r="BI68" s="506">
        <v>37622.58</v>
      </c>
      <c r="BJ68" s="53">
        <v>1</v>
      </c>
      <c r="BK68" s="507">
        <v>37622.58</v>
      </c>
      <c r="BL68" s="380">
        <f t="shared" si="52"/>
        <v>0</v>
      </c>
      <c r="BM68" s="506">
        <v>37622.58</v>
      </c>
      <c r="BN68" s="53">
        <v>1</v>
      </c>
      <c r="BO68" s="507">
        <v>37622.58</v>
      </c>
      <c r="BP68">
        <v>-84.839999999996508</v>
      </c>
      <c r="BQ68" s="506">
        <v>37622.58</v>
      </c>
      <c r="BR68" s="53">
        <v>1</v>
      </c>
      <c r="BS68" s="507">
        <v>37622.58</v>
      </c>
      <c r="BT68" s="380">
        <f t="shared" si="53"/>
        <v>0</v>
      </c>
      <c r="BU68" s="506">
        <v>37622.58</v>
      </c>
      <c r="BV68" s="53">
        <v>1</v>
      </c>
      <c r="BW68" s="507">
        <v>37622.58</v>
      </c>
      <c r="BX68" s="380">
        <f t="shared" si="54"/>
        <v>0</v>
      </c>
      <c r="BY68" s="506">
        <v>37622.58</v>
      </c>
      <c r="BZ68" s="53">
        <v>1</v>
      </c>
      <c r="CA68" s="507">
        <v>37622.58</v>
      </c>
      <c r="CB68" s="380">
        <f t="shared" si="55"/>
        <v>0</v>
      </c>
      <c r="CC68" s="506">
        <v>37622.58</v>
      </c>
      <c r="CD68" s="53">
        <v>1</v>
      </c>
      <c r="CE68" s="507">
        <v>37622.58</v>
      </c>
      <c r="CF68" s="380">
        <f t="shared" si="56"/>
        <v>0</v>
      </c>
      <c r="CG68" s="506">
        <v>37622.58</v>
      </c>
      <c r="CH68" s="53">
        <v>1</v>
      </c>
      <c r="CI68" s="507">
        <v>37622.58</v>
      </c>
      <c r="CJ68" s="380">
        <f t="shared" si="57"/>
        <v>0</v>
      </c>
      <c r="CK68" s="506">
        <v>37622.58</v>
      </c>
      <c r="CL68" s="53">
        <v>1</v>
      </c>
      <c r="CM68" s="507">
        <v>37622.58</v>
      </c>
      <c r="CN68" s="380">
        <f t="shared" si="58"/>
        <v>0</v>
      </c>
      <c r="CO68" s="506">
        <v>37622.58</v>
      </c>
      <c r="CP68" s="53">
        <v>1</v>
      </c>
      <c r="CQ68" s="507">
        <v>37622.58</v>
      </c>
      <c r="CR68" s="380">
        <f t="shared" si="59"/>
        <v>0</v>
      </c>
      <c r="CS68" s="506">
        <v>37622.58</v>
      </c>
      <c r="CT68" s="53">
        <v>1</v>
      </c>
      <c r="CU68" s="507">
        <v>37622.58</v>
      </c>
      <c r="CV68" s="380">
        <f t="shared" si="60"/>
        <v>0</v>
      </c>
      <c r="CW68" s="506">
        <v>37622.58</v>
      </c>
      <c r="CX68" s="53">
        <v>1</v>
      </c>
      <c r="CY68" s="507">
        <v>37622.58</v>
      </c>
      <c r="CZ68" s="380">
        <f t="shared" si="61"/>
        <v>0</v>
      </c>
      <c r="DA68" s="506">
        <v>37622.58</v>
      </c>
      <c r="DB68" s="53">
        <v>1</v>
      </c>
      <c r="DC68" s="507">
        <v>37622.58</v>
      </c>
      <c r="DD68" s="380">
        <f t="shared" si="62"/>
        <v>0</v>
      </c>
      <c r="DE68" s="506">
        <v>37622.58</v>
      </c>
      <c r="DF68" s="53">
        <v>1</v>
      </c>
      <c r="DG68" s="507">
        <v>37622.58</v>
      </c>
      <c r="DH68" s="380">
        <f t="shared" si="63"/>
        <v>0</v>
      </c>
      <c r="DI68" s="506">
        <v>37622.58</v>
      </c>
      <c r="DJ68" s="53">
        <v>1</v>
      </c>
      <c r="DK68" s="507">
        <v>37622.58</v>
      </c>
      <c r="DL68" s="380">
        <f t="shared" si="64"/>
        <v>0</v>
      </c>
      <c r="DM68" s="506">
        <v>37622.58</v>
      </c>
      <c r="DN68" s="53">
        <v>1</v>
      </c>
      <c r="DO68" s="507">
        <v>37622.58</v>
      </c>
      <c r="DP68" s="380">
        <f t="shared" si="65"/>
        <v>0</v>
      </c>
      <c r="DQ68" s="506">
        <v>41252.620000000003</v>
      </c>
      <c r="DR68" s="53">
        <v>1</v>
      </c>
      <c r="DS68" s="507">
        <v>41252.620000000003</v>
      </c>
      <c r="DT68" s="380">
        <f t="shared" si="66"/>
        <v>3630.0400000000009</v>
      </c>
      <c r="DU68" s="506">
        <v>41252.620000000003</v>
      </c>
      <c r="DV68" s="53">
        <v>1</v>
      </c>
      <c r="DW68" s="507">
        <v>41252.620000000003</v>
      </c>
      <c r="DX68" s="380">
        <f t="shared" si="67"/>
        <v>0</v>
      </c>
      <c r="DY68" s="506">
        <v>41253</v>
      </c>
      <c r="DZ68" s="53">
        <v>1</v>
      </c>
      <c r="EA68" s="507">
        <v>41253</v>
      </c>
      <c r="EB68" s="380">
        <f t="shared" si="68"/>
        <v>0.37999999999738066</v>
      </c>
      <c r="EC68" s="506">
        <v>41253</v>
      </c>
      <c r="ED68" s="53">
        <v>1</v>
      </c>
      <c r="EE68" s="507">
        <v>41253</v>
      </c>
      <c r="EF68" s="380">
        <f t="shared" si="69"/>
        <v>0</v>
      </c>
      <c r="EG68" s="506">
        <v>41253</v>
      </c>
      <c r="EH68" s="53">
        <v>1</v>
      </c>
      <c r="EI68" s="507">
        <v>41253</v>
      </c>
      <c r="EJ68" s="380">
        <f t="shared" si="70"/>
        <v>0</v>
      </c>
      <c r="EK68" s="506">
        <v>41253</v>
      </c>
      <c r="EL68" s="53">
        <v>1</v>
      </c>
      <c r="EM68" s="507">
        <v>41253</v>
      </c>
      <c r="EN68" s="380">
        <f t="shared" si="71"/>
        <v>0</v>
      </c>
      <c r="EO68" s="506">
        <v>41253</v>
      </c>
      <c r="EP68" s="53">
        <v>1</v>
      </c>
      <c r="EQ68" s="507">
        <v>41253</v>
      </c>
      <c r="ER68" s="380">
        <f t="shared" si="72"/>
        <v>0</v>
      </c>
      <c r="ES68" s="506">
        <v>41253</v>
      </c>
      <c r="ET68" s="53">
        <v>1</v>
      </c>
      <c r="EU68" s="507">
        <v>41253</v>
      </c>
      <c r="EV68" s="380">
        <f t="shared" si="73"/>
        <v>0</v>
      </c>
      <c r="EW68" s="506">
        <v>41253</v>
      </c>
      <c r="EX68" s="53">
        <v>1</v>
      </c>
      <c r="EY68" s="507">
        <v>41253</v>
      </c>
      <c r="EZ68" s="380">
        <f t="shared" si="74"/>
        <v>0</v>
      </c>
      <c r="FA68" s="506">
        <v>41253</v>
      </c>
      <c r="FB68" s="53">
        <v>1</v>
      </c>
      <c r="FC68" s="507">
        <v>41253</v>
      </c>
      <c r="FD68" s="380">
        <f t="shared" si="75"/>
        <v>0</v>
      </c>
      <c r="FE68" s="506">
        <v>41253</v>
      </c>
      <c r="FF68" s="53">
        <v>1</v>
      </c>
      <c r="FG68" s="507">
        <v>41253</v>
      </c>
      <c r="FH68" s="380">
        <f t="shared" si="76"/>
        <v>0</v>
      </c>
      <c r="FI68" s="506">
        <v>41253</v>
      </c>
      <c r="FJ68" s="53">
        <v>1</v>
      </c>
      <c r="FK68" s="507">
        <v>41253</v>
      </c>
      <c r="FL68" s="380">
        <f t="shared" si="77"/>
        <v>0</v>
      </c>
      <c r="FM68" s="506">
        <v>41253</v>
      </c>
      <c r="FN68" s="53">
        <v>1</v>
      </c>
      <c r="FO68" s="507">
        <v>41253</v>
      </c>
      <c r="FP68" s="380">
        <f t="shared" si="78"/>
        <v>0</v>
      </c>
      <c r="FQ68" s="506">
        <v>41253</v>
      </c>
      <c r="FR68" s="53">
        <v>1</v>
      </c>
      <c r="FS68" s="507">
        <v>41253</v>
      </c>
      <c r="FT68" s="380">
        <f t="shared" si="79"/>
        <v>0</v>
      </c>
      <c r="FU68" s="506">
        <v>41253</v>
      </c>
      <c r="FV68" s="53">
        <v>1</v>
      </c>
      <c r="FW68" s="507">
        <v>41253</v>
      </c>
      <c r="FX68" s="380">
        <f t="shared" si="80"/>
        <v>0</v>
      </c>
      <c r="FY68" s="506">
        <v>41253</v>
      </c>
      <c r="FZ68" s="53">
        <v>1</v>
      </c>
      <c r="GA68" s="507">
        <v>41253</v>
      </c>
      <c r="GB68" s="380">
        <f t="shared" si="81"/>
        <v>0</v>
      </c>
      <c r="GC68" s="506">
        <v>41171</v>
      </c>
      <c r="GD68" s="53">
        <v>1</v>
      </c>
      <c r="GE68" s="507">
        <v>41171</v>
      </c>
      <c r="GF68" s="380">
        <f t="shared" si="82"/>
        <v>-82</v>
      </c>
      <c r="GG68" s="506">
        <v>41171</v>
      </c>
      <c r="GH68" s="53">
        <v>1</v>
      </c>
      <c r="GI68" s="507">
        <v>41171</v>
      </c>
      <c r="GJ68" s="380">
        <f t="shared" si="83"/>
        <v>0</v>
      </c>
      <c r="GK68" s="506">
        <v>41171</v>
      </c>
      <c r="GL68" s="53">
        <v>1</v>
      </c>
      <c r="GM68" s="507">
        <v>41171</v>
      </c>
      <c r="GN68" s="380">
        <f t="shared" si="84"/>
        <v>0</v>
      </c>
      <c r="GO68" s="506">
        <v>41171</v>
      </c>
      <c r="GP68" s="53">
        <v>1</v>
      </c>
      <c r="GQ68" s="507">
        <v>41171</v>
      </c>
      <c r="GR68" s="380">
        <f t="shared" si="85"/>
        <v>0</v>
      </c>
      <c r="GS68" s="506">
        <v>41171</v>
      </c>
      <c r="GT68" s="53">
        <v>1</v>
      </c>
      <c r="GU68" s="507">
        <v>41171</v>
      </c>
      <c r="GV68" s="380">
        <f t="shared" si="86"/>
        <v>0</v>
      </c>
      <c r="GW68" s="506">
        <v>41171</v>
      </c>
      <c r="GX68" s="53">
        <v>1</v>
      </c>
      <c r="GY68" s="507">
        <v>41171</v>
      </c>
      <c r="GZ68" s="380">
        <f t="shared" si="87"/>
        <v>0</v>
      </c>
      <c r="HA68" s="506">
        <v>41171</v>
      </c>
      <c r="HB68" s="53">
        <v>1</v>
      </c>
      <c r="HC68" s="507">
        <v>41171</v>
      </c>
      <c r="HD68" s="380">
        <f t="shared" si="88"/>
        <v>0</v>
      </c>
      <c r="HE68" s="506">
        <v>41171</v>
      </c>
      <c r="HF68" s="53">
        <v>1</v>
      </c>
      <c r="HG68" s="507">
        <v>41171</v>
      </c>
      <c r="HH68" s="380">
        <f t="shared" si="89"/>
        <v>0</v>
      </c>
      <c r="HI68" s="506">
        <v>41171</v>
      </c>
      <c r="HJ68" s="53">
        <v>1</v>
      </c>
      <c r="HK68" s="507">
        <v>41171</v>
      </c>
      <c r="HL68" s="380">
        <f t="shared" si="90"/>
        <v>0</v>
      </c>
      <c r="HM68" s="506">
        <v>41171</v>
      </c>
      <c r="HN68" s="53">
        <v>1</v>
      </c>
      <c r="HO68" s="507">
        <v>41171</v>
      </c>
      <c r="HP68" s="380">
        <f t="shared" si="91"/>
        <v>0</v>
      </c>
      <c r="HQ68" s="506">
        <v>41171</v>
      </c>
      <c r="HR68" s="53">
        <v>1</v>
      </c>
      <c r="HS68" s="507">
        <v>41171</v>
      </c>
      <c r="HT68" s="380">
        <f t="shared" si="92"/>
        <v>0</v>
      </c>
      <c r="HU68" s="506">
        <v>41171</v>
      </c>
      <c r="HV68" s="53">
        <v>1</v>
      </c>
      <c r="HW68" s="507">
        <v>41171</v>
      </c>
      <c r="HX68" s="380">
        <f t="shared" si="93"/>
        <v>0</v>
      </c>
      <c r="HY68" s="506">
        <v>41171</v>
      </c>
      <c r="HZ68" s="53">
        <v>1</v>
      </c>
      <c r="IA68" s="507">
        <v>41171</v>
      </c>
      <c r="IB68" s="380">
        <f t="shared" si="94"/>
        <v>0</v>
      </c>
      <c r="IC68" s="506">
        <v>41171</v>
      </c>
      <c r="ID68" s="53">
        <v>1</v>
      </c>
      <c r="IE68" s="507">
        <v>41171</v>
      </c>
      <c r="IF68" s="380">
        <f t="shared" si="95"/>
        <v>0</v>
      </c>
      <c r="IG68" s="506">
        <v>41171</v>
      </c>
      <c r="IH68" s="53">
        <v>1</v>
      </c>
      <c r="II68" s="507">
        <v>41171</v>
      </c>
      <c r="IJ68" s="380">
        <f t="shared" si="96"/>
        <v>0</v>
      </c>
      <c r="IK68" s="506">
        <v>41171</v>
      </c>
      <c r="IL68" s="53">
        <v>1</v>
      </c>
      <c r="IM68" s="507">
        <v>41171</v>
      </c>
      <c r="IN68" s="380">
        <f t="shared" si="97"/>
        <v>0</v>
      </c>
      <c r="IO68" s="506">
        <v>41171</v>
      </c>
      <c r="IP68" s="53">
        <v>1</v>
      </c>
      <c r="IQ68" s="507">
        <v>41171</v>
      </c>
      <c r="IR68" s="380">
        <f t="shared" si="98"/>
        <v>0</v>
      </c>
      <c r="IS68" s="506">
        <v>41171</v>
      </c>
      <c r="IT68" s="53">
        <v>1</v>
      </c>
      <c r="IU68" s="507">
        <v>41171</v>
      </c>
      <c r="IV68" s="380">
        <f t="shared" si="99"/>
        <v>0</v>
      </c>
      <c r="IW68" s="506">
        <v>28461</v>
      </c>
      <c r="IX68" s="53">
        <v>1</v>
      </c>
      <c r="IY68" s="507">
        <v>28461</v>
      </c>
      <c r="IZ68" s="380">
        <f t="shared" si="100"/>
        <v>-12710</v>
      </c>
    </row>
    <row r="69" spans="1:260">
      <c r="A69" s="13" t="s">
        <v>628</v>
      </c>
      <c r="B69" s="13" t="s">
        <v>629</v>
      </c>
      <c r="C69" s="13" t="s">
        <v>193</v>
      </c>
      <c r="D69" s="13" t="s">
        <v>336</v>
      </c>
      <c r="E69" s="13" t="s">
        <v>2</v>
      </c>
      <c r="F69" s="13" t="s">
        <v>630</v>
      </c>
      <c r="G69" s="13" t="s">
        <v>196</v>
      </c>
      <c r="H69" s="49" t="s">
        <v>508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101"/>
        <v>0</v>
      </c>
      <c r="L69" s="506">
        <v>0</v>
      </c>
      <c r="M69" s="53">
        <v>1</v>
      </c>
      <c r="N69" s="507">
        <v>0</v>
      </c>
      <c r="O69" s="506">
        <v>0</v>
      </c>
      <c r="P69" s="53">
        <v>1</v>
      </c>
      <c r="Q69" s="507">
        <v>0</v>
      </c>
      <c r="R69" s="506">
        <v>0</v>
      </c>
      <c r="S69" s="53">
        <v>1</v>
      </c>
      <c r="T69" s="507">
        <v>0</v>
      </c>
      <c r="U69" s="506">
        <v>0</v>
      </c>
      <c r="V69" s="53">
        <v>1</v>
      </c>
      <c r="W69" s="507">
        <v>0</v>
      </c>
      <c r="X69" s="506">
        <v>0</v>
      </c>
      <c r="Y69" s="53">
        <v>1</v>
      </c>
      <c r="Z69" s="507">
        <v>0</v>
      </c>
      <c r="AA69" s="506">
        <v>0</v>
      </c>
      <c r="AB69" s="53">
        <v>1</v>
      </c>
      <c r="AC69" s="507">
        <v>0</v>
      </c>
      <c r="AD69" s="506">
        <v>0</v>
      </c>
      <c r="AE69" s="53">
        <v>1</v>
      </c>
      <c r="AF69" s="507">
        <v>0</v>
      </c>
      <c r="AG69" s="506">
        <v>0</v>
      </c>
      <c r="AH69" s="53">
        <v>1</v>
      </c>
      <c r="AI69" s="507">
        <v>0</v>
      </c>
      <c r="AJ69" s="506">
        <v>0</v>
      </c>
      <c r="AK69" s="53">
        <v>1</v>
      </c>
      <c r="AL69" s="507">
        <v>0</v>
      </c>
      <c r="AM69" s="506">
        <v>0</v>
      </c>
      <c r="AN69" s="53">
        <v>1</v>
      </c>
      <c r="AO69" s="507">
        <v>0</v>
      </c>
      <c r="AP69" s="506">
        <v>0</v>
      </c>
      <c r="AQ69" s="53">
        <v>1</v>
      </c>
      <c r="AR69" s="507">
        <v>0</v>
      </c>
      <c r="AS69" s="506">
        <v>0</v>
      </c>
      <c r="AT69" s="53">
        <v>1</v>
      </c>
      <c r="AU69" s="507">
        <v>0</v>
      </c>
      <c r="AV69" s="506">
        <v>0</v>
      </c>
      <c r="AW69" s="53">
        <v>1</v>
      </c>
      <c r="AX69" s="507">
        <v>0</v>
      </c>
      <c r="AY69" s="506">
        <v>0</v>
      </c>
      <c r="AZ69" s="53">
        <v>1</v>
      </c>
      <c r="BA69" s="507">
        <v>0</v>
      </c>
      <c r="BB69" s="506">
        <v>0</v>
      </c>
      <c r="BC69" s="53">
        <v>1</v>
      </c>
      <c r="BD69" s="507">
        <v>0</v>
      </c>
      <c r="BE69" s="506">
        <v>0</v>
      </c>
      <c r="BF69" s="53">
        <v>1</v>
      </c>
      <c r="BG69" s="507">
        <v>0</v>
      </c>
      <c r="BH69" s="380">
        <f t="shared" si="51"/>
        <v>-1</v>
      </c>
      <c r="BI69" s="506">
        <v>0</v>
      </c>
      <c r="BJ69" s="53">
        <v>1</v>
      </c>
      <c r="BK69" s="507">
        <v>0</v>
      </c>
      <c r="BL69" s="380">
        <f t="shared" si="52"/>
        <v>0</v>
      </c>
      <c r="BM69" s="506">
        <v>0</v>
      </c>
      <c r="BN69" s="53">
        <v>1</v>
      </c>
      <c r="BO69" s="507">
        <v>0</v>
      </c>
      <c r="BP69">
        <v>0</v>
      </c>
      <c r="BQ69" s="506">
        <v>0</v>
      </c>
      <c r="BR69" s="53">
        <v>1</v>
      </c>
      <c r="BS69" s="507">
        <v>0</v>
      </c>
      <c r="BT69" s="380">
        <f t="shared" si="53"/>
        <v>0</v>
      </c>
      <c r="BU69" s="506">
        <v>0</v>
      </c>
      <c r="BV69" s="53">
        <v>1</v>
      </c>
      <c r="BW69" s="507">
        <v>0</v>
      </c>
      <c r="BX69" s="380">
        <f t="shared" si="54"/>
        <v>0</v>
      </c>
      <c r="BY69" s="506">
        <v>0</v>
      </c>
      <c r="BZ69" s="53">
        <v>1</v>
      </c>
      <c r="CA69" s="507">
        <v>0</v>
      </c>
      <c r="CB69" s="380">
        <f t="shared" si="55"/>
        <v>0</v>
      </c>
      <c r="CC69" s="506">
        <v>0</v>
      </c>
      <c r="CD69" s="53">
        <v>1</v>
      </c>
      <c r="CE69" s="507">
        <v>0</v>
      </c>
      <c r="CF69" s="380">
        <f t="shared" si="56"/>
        <v>0</v>
      </c>
      <c r="CG69" s="506">
        <v>0</v>
      </c>
      <c r="CH69" s="53">
        <v>1</v>
      </c>
      <c r="CI69" s="507">
        <v>0</v>
      </c>
      <c r="CJ69" s="380">
        <f t="shared" si="57"/>
        <v>0</v>
      </c>
      <c r="CK69" s="506">
        <v>0</v>
      </c>
      <c r="CL69" s="53">
        <v>1</v>
      </c>
      <c r="CM69" s="507">
        <v>0</v>
      </c>
      <c r="CN69" s="380">
        <f t="shared" si="58"/>
        <v>0</v>
      </c>
      <c r="CO69" s="506">
        <v>0</v>
      </c>
      <c r="CP69" s="53">
        <v>1</v>
      </c>
      <c r="CQ69" s="507">
        <v>0</v>
      </c>
      <c r="CR69" s="380">
        <f t="shared" si="59"/>
        <v>0</v>
      </c>
      <c r="CS69" s="506">
        <v>0</v>
      </c>
      <c r="CT69" s="53">
        <v>1</v>
      </c>
      <c r="CU69" s="507">
        <v>0</v>
      </c>
      <c r="CV69" s="380">
        <f t="shared" si="60"/>
        <v>0</v>
      </c>
      <c r="CW69" s="506">
        <v>0</v>
      </c>
      <c r="CX69" s="53">
        <v>1</v>
      </c>
      <c r="CY69" s="507">
        <v>0</v>
      </c>
      <c r="CZ69" s="380">
        <f t="shared" si="61"/>
        <v>0</v>
      </c>
      <c r="DA69" s="506">
        <v>0</v>
      </c>
      <c r="DB69" s="53">
        <v>1</v>
      </c>
      <c r="DC69" s="507">
        <v>0</v>
      </c>
      <c r="DD69" s="380">
        <f t="shared" si="62"/>
        <v>0</v>
      </c>
      <c r="DE69" s="506">
        <v>-256985.99</v>
      </c>
      <c r="DF69" s="53">
        <v>1</v>
      </c>
      <c r="DG69" s="507">
        <v>-256985.99</v>
      </c>
      <c r="DH69" s="380">
        <f t="shared" si="63"/>
        <v>-256985.99</v>
      </c>
      <c r="DI69" s="506">
        <v>0</v>
      </c>
      <c r="DJ69" s="53">
        <v>1</v>
      </c>
      <c r="DK69" s="507">
        <v>0</v>
      </c>
      <c r="DL69" s="380">
        <f t="shared" si="64"/>
        <v>256985.99</v>
      </c>
      <c r="DM69" s="506">
        <v>0</v>
      </c>
      <c r="DN69" s="53">
        <v>1</v>
      </c>
      <c r="DO69" s="507">
        <v>0</v>
      </c>
      <c r="DP69" s="380">
        <f t="shared" si="65"/>
        <v>0</v>
      </c>
      <c r="DQ69" s="506">
        <v>0</v>
      </c>
      <c r="DR69" s="53">
        <v>1</v>
      </c>
      <c r="DS69" s="507">
        <v>0</v>
      </c>
      <c r="DT69" s="380">
        <f t="shared" si="66"/>
        <v>0</v>
      </c>
      <c r="DU69" s="506">
        <v>0</v>
      </c>
      <c r="DV69" s="53">
        <v>1</v>
      </c>
      <c r="DW69" s="507">
        <v>0</v>
      </c>
      <c r="DX69" s="380">
        <f t="shared" si="67"/>
        <v>0</v>
      </c>
      <c r="DY69" s="506">
        <v>0</v>
      </c>
      <c r="DZ69" s="53">
        <v>1</v>
      </c>
      <c r="EA69" s="507">
        <v>0</v>
      </c>
      <c r="EB69" s="380">
        <f t="shared" si="68"/>
        <v>0</v>
      </c>
      <c r="EC69" s="506">
        <v>0</v>
      </c>
      <c r="ED69" s="53">
        <v>1</v>
      </c>
      <c r="EE69" s="507">
        <v>0</v>
      </c>
      <c r="EF69" s="380">
        <f t="shared" si="69"/>
        <v>0</v>
      </c>
      <c r="EG69" s="506">
        <v>0</v>
      </c>
      <c r="EH69" s="53">
        <v>1</v>
      </c>
      <c r="EI69" s="507">
        <v>0</v>
      </c>
      <c r="EJ69" s="380">
        <f t="shared" si="70"/>
        <v>0</v>
      </c>
      <c r="EK69" s="506">
        <v>0</v>
      </c>
      <c r="EL69" s="53">
        <v>1</v>
      </c>
      <c r="EM69" s="507">
        <v>0</v>
      </c>
      <c r="EN69" s="380">
        <f t="shared" si="71"/>
        <v>0</v>
      </c>
      <c r="EO69" s="506">
        <v>0</v>
      </c>
      <c r="EP69" s="53">
        <v>1</v>
      </c>
      <c r="EQ69" s="507">
        <v>0</v>
      </c>
      <c r="ER69" s="380">
        <f t="shared" si="72"/>
        <v>0</v>
      </c>
      <c r="ES69" s="506">
        <v>0</v>
      </c>
      <c r="ET69" s="53">
        <v>1</v>
      </c>
      <c r="EU69" s="507">
        <v>0</v>
      </c>
      <c r="EV69" s="380">
        <f t="shared" si="73"/>
        <v>0</v>
      </c>
      <c r="EW69" s="506">
        <v>0</v>
      </c>
      <c r="EX69" s="53">
        <v>1</v>
      </c>
      <c r="EY69" s="507">
        <v>0</v>
      </c>
      <c r="EZ69" s="380">
        <f t="shared" si="74"/>
        <v>0</v>
      </c>
      <c r="FA69" s="506">
        <v>0</v>
      </c>
      <c r="FB69" s="53">
        <v>1</v>
      </c>
      <c r="FC69" s="507">
        <v>0</v>
      </c>
      <c r="FD69" s="380">
        <f t="shared" si="75"/>
        <v>0</v>
      </c>
      <c r="FE69" s="506">
        <v>0</v>
      </c>
      <c r="FF69" s="53">
        <v>1</v>
      </c>
      <c r="FG69" s="507">
        <v>0</v>
      </c>
      <c r="FH69" s="380">
        <f t="shared" si="76"/>
        <v>0</v>
      </c>
      <c r="FI69" s="506">
        <v>0</v>
      </c>
      <c r="FJ69" s="53">
        <v>1</v>
      </c>
      <c r="FK69" s="507">
        <v>0</v>
      </c>
      <c r="FL69" s="380">
        <f t="shared" si="77"/>
        <v>0</v>
      </c>
      <c r="FM69" s="506">
        <v>0</v>
      </c>
      <c r="FN69" s="53">
        <v>1</v>
      </c>
      <c r="FO69" s="507">
        <v>0</v>
      </c>
      <c r="FP69" s="380">
        <f t="shared" si="78"/>
        <v>0</v>
      </c>
      <c r="FQ69" s="506">
        <v>0</v>
      </c>
      <c r="FR69" s="53">
        <v>1</v>
      </c>
      <c r="FS69" s="507">
        <v>0</v>
      </c>
      <c r="FT69" s="380">
        <f t="shared" si="79"/>
        <v>0</v>
      </c>
      <c r="FU69" s="506">
        <v>0</v>
      </c>
      <c r="FV69" s="53">
        <v>1</v>
      </c>
      <c r="FW69" s="507">
        <v>0</v>
      </c>
      <c r="FX69" s="380">
        <f t="shared" si="80"/>
        <v>0</v>
      </c>
      <c r="FY69" s="506">
        <v>0</v>
      </c>
      <c r="FZ69" s="53">
        <v>1</v>
      </c>
      <c r="GA69" s="507">
        <v>0</v>
      </c>
      <c r="GB69" s="380">
        <f t="shared" si="81"/>
        <v>0</v>
      </c>
      <c r="GC69" s="506">
        <v>0</v>
      </c>
      <c r="GD69" s="53">
        <v>1</v>
      </c>
      <c r="GE69" s="507">
        <v>0</v>
      </c>
      <c r="GF69" s="380">
        <f t="shared" si="82"/>
        <v>0</v>
      </c>
      <c r="GG69" s="506">
        <v>0</v>
      </c>
      <c r="GH69" s="53">
        <v>1</v>
      </c>
      <c r="GI69" s="507">
        <v>0</v>
      </c>
      <c r="GJ69" s="380">
        <f t="shared" si="83"/>
        <v>0</v>
      </c>
      <c r="GK69" s="506">
        <v>0</v>
      </c>
      <c r="GL69" s="53">
        <v>1</v>
      </c>
      <c r="GM69" s="507">
        <v>0</v>
      </c>
      <c r="GN69" s="380">
        <f t="shared" si="84"/>
        <v>0</v>
      </c>
      <c r="GO69" s="506">
        <v>0</v>
      </c>
      <c r="GP69" s="53">
        <v>1</v>
      </c>
      <c r="GQ69" s="507">
        <v>0</v>
      </c>
      <c r="GR69" s="380">
        <f t="shared" si="85"/>
        <v>0</v>
      </c>
      <c r="GS69" s="506">
        <v>0</v>
      </c>
      <c r="GT69" s="53">
        <v>1</v>
      </c>
      <c r="GU69" s="507">
        <v>0</v>
      </c>
      <c r="GV69" s="380">
        <f t="shared" si="86"/>
        <v>0</v>
      </c>
      <c r="GW69" s="506">
        <v>0</v>
      </c>
      <c r="GX69" s="53">
        <v>1</v>
      </c>
      <c r="GY69" s="507">
        <v>0</v>
      </c>
      <c r="GZ69" s="380">
        <f t="shared" si="87"/>
        <v>0</v>
      </c>
      <c r="HA69" s="506">
        <v>0</v>
      </c>
      <c r="HB69" s="53">
        <v>1</v>
      </c>
      <c r="HC69" s="507">
        <v>0</v>
      </c>
      <c r="HD69" s="380">
        <f t="shared" si="88"/>
        <v>0</v>
      </c>
      <c r="HE69" s="506">
        <v>0</v>
      </c>
      <c r="HF69" s="53">
        <v>1</v>
      </c>
      <c r="HG69" s="507">
        <v>0</v>
      </c>
      <c r="HH69" s="380">
        <f t="shared" si="89"/>
        <v>0</v>
      </c>
      <c r="HI69" s="506">
        <v>0</v>
      </c>
      <c r="HJ69" s="53">
        <v>1</v>
      </c>
      <c r="HK69" s="507">
        <v>0</v>
      </c>
      <c r="HL69" s="380">
        <f t="shared" si="90"/>
        <v>0</v>
      </c>
      <c r="HM69" s="506">
        <v>0</v>
      </c>
      <c r="HN69" s="53">
        <v>1</v>
      </c>
      <c r="HO69" s="507">
        <v>0</v>
      </c>
      <c r="HP69" s="380">
        <f t="shared" si="91"/>
        <v>0</v>
      </c>
      <c r="HQ69" s="506">
        <v>0</v>
      </c>
      <c r="HR69" s="53">
        <v>1</v>
      </c>
      <c r="HS69" s="507">
        <v>0</v>
      </c>
      <c r="HT69" s="380">
        <f t="shared" si="92"/>
        <v>0</v>
      </c>
      <c r="HU69" s="506">
        <v>0</v>
      </c>
      <c r="HV69" s="53">
        <v>1</v>
      </c>
      <c r="HW69" s="507">
        <v>0</v>
      </c>
      <c r="HX69" s="380">
        <f t="shared" si="93"/>
        <v>0</v>
      </c>
      <c r="HY69" s="506">
        <v>0</v>
      </c>
      <c r="HZ69" s="53">
        <v>1</v>
      </c>
      <c r="IA69" s="507">
        <v>0</v>
      </c>
      <c r="IB69" s="380">
        <f t="shared" si="94"/>
        <v>0</v>
      </c>
      <c r="IC69" s="506">
        <v>0</v>
      </c>
      <c r="ID69" s="53">
        <v>1</v>
      </c>
      <c r="IE69" s="507">
        <v>0</v>
      </c>
      <c r="IF69" s="380">
        <f t="shared" si="95"/>
        <v>0</v>
      </c>
      <c r="IG69" s="506">
        <v>0</v>
      </c>
      <c r="IH69" s="53">
        <v>1</v>
      </c>
      <c r="II69" s="507">
        <v>0</v>
      </c>
      <c r="IJ69" s="380">
        <f t="shared" si="96"/>
        <v>0</v>
      </c>
      <c r="IK69" s="506">
        <v>0</v>
      </c>
      <c r="IL69" s="53">
        <v>1</v>
      </c>
      <c r="IM69" s="507">
        <v>0</v>
      </c>
      <c r="IN69" s="380">
        <f t="shared" si="97"/>
        <v>0</v>
      </c>
      <c r="IO69" s="506">
        <v>0</v>
      </c>
      <c r="IP69" s="53">
        <v>1</v>
      </c>
      <c r="IQ69" s="507">
        <v>0</v>
      </c>
      <c r="IR69" s="380">
        <f t="shared" si="98"/>
        <v>0</v>
      </c>
      <c r="IS69" s="506">
        <v>0</v>
      </c>
      <c r="IT69" s="53">
        <v>1</v>
      </c>
      <c r="IU69" s="507">
        <v>0</v>
      </c>
      <c r="IV69" s="380">
        <f t="shared" si="99"/>
        <v>0</v>
      </c>
      <c r="IW69" s="506">
        <v>0</v>
      </c>
      <c r="IX69" s="53">
        <v>1</v>
      </c>
      <c r="IY69" s="507">
        <v>0</v>
      </c>
      <c r="IZ69" s="380">
        <f t="shared" si="100"/>
        <v>0</v>
      </c>
    </row>
    <row r="70" spans="1:260">
      <c r="A70" s="13" t="s">
        <v>548</v>
      </c>
      <c r="B70" s="13" t="s">
        <v>549</v>
      </c>
      <c r="C70" s="13" t="s">
        <v>38</v>
      </c>
      <c r="D70" s="13" t="s">
        <v>336</v>
      </c>
      <c r="E70" s="13" t="s">
        <v>5</v>
      </c>
      <c r="F70" s="13">
        <v>20114060</v>
      </c>
      <c r="G70" s="13" t="s">
        <v>61</v>
      </c>
      <c r="H70" s="49" t="s">
        <v>508</v>
      </c>
      <c r="I70" s="14">
        <f>+'IBP export - Colar'!C12</f>
        <v>602660</v>
      </c>
      <c r="J70" s="14">
        <f>+VLOOKUP(E70,'Summary - Colar'!$M$39:$N$54,2,FALSE)</f>
        <v>1.1608000000000001</v>
      </c>
      <c r="K70" s="14">
        <f t="shared" si="101"/>
        <v>519176.43004824256</v>
      </c>
      <c r="L70" s="506">
        <v>242855.4</v>
      </c>
      <c r="M70" s="53">
        <v>1.0393499809660025</v>
      </c>
      <c r="N70" s="507">
        <v>233660.85000000003</v>
      </c>
      <c r="O70" s="506">
        <v>242855.4</v>
      </c>
      <c r="P70" s="53">
        <v>1.0296499958937868</v>
      </c>
      <c r="Q70" s="507">
        <v>235862.09000000003</v>
      </c>
      <c r="R70" s="506">
        <v>59944.21</v>
      </c>
      <c r="S70" s="53">
        <v>1.0305500350713117</v>
      </c>
      <c r="T70" s="507">
        <v>58167.199999999997</v>
      </c>
      <c r="U70" s="506">
        <v>58820.74</v>
      </c>
      <c r="V70" s="53">
        <v>1.0294499127813821</v>
      </c>
      <c r="W70" s="507">
        <v>57138.030000000006</v>
      </c>
      <c r="X70" s="506">
        <v>199850.08</v>
      </c>
      <c r="Y70" s="53">
        <v>1.0474500171045873</v>
      </c>
      <c r="Z70" s="507">
        <v>190796.77</v>
      </c>
      <c r="AA70" s="506">
        <v>179335.21</v>
      </c>
      <c r="AB70" s="53">
        <v>1.0384500241697678</v>
      </c>
      <c r="AC70" s="507">
        <v>172695.08</v>
      </c>
      <c r="AD70" s="506">
        <v>177542.82</v>
      </c>
      <c r="AE70" s="53">
        <v>1.0375500183032278</v>
      </c>
      <c r="AF70" s="507">
        <v>171117.36</v>
      </c>
      <c r="AG70" s="506">
        <v>624848.17000000004</v>
      </c>
      <c r="AH70" s="53">
        <v>1.047149991583058</v>
      </c>
      <c r="AI70" s="507">
        <v>596713.15</v>
      </c>
      <c r="AJ70" s="506">
        <v>465279.33</v>
      </c>
      <c r="AK70" s="53">
        <v>1.0461499902620313</v>
      </c>
      <c r="AL70" s="507">
        <v>444753.94</v>
      </c>
      <c r="AM70" s="506">
        <v>279214.05</v>
      </c>
      <c r="AN70" s="53">
        <v>1.0407499836552325</v>
      </c>
      <c r="AO70" s="507">
        <v>268281.58</v>
      </c>
      <c r="AP70" s="506">
        <v>277864.52</v>
      </c>
      <c r="AQ70" s="53">
        <v>1.0854500032344994</v>
      </c>
      <c r="AR70" s="507">
        <v>255990.16</v>
      </c>
      <c r="AS70" s="506">
        <v>163182</v>
      </c>
      <c r="AT70" s="53">
        <v>1.08935</v>
      </c>
      <c r="AU70" s="507">
        <v>149797.5857162528</v>
      </c>
      <c r="AV70" s="506">
        <v>157600.85</v>
      </c>
      <c r="AW70" s="53">
        <v>1.0830999858771673</v>
      </c>
      <c r="AX70" s="507">
        <v>145509.04999999999</v>
      </c>
      <c r="AY70" s="506">
        <v>14102.55</v>
      </c>
      <c r="AZ70" s="53">
        <v>1.0787497944244075</v>
      </c>
      <c r="BA70" s="507">
        <v>13073.049999999997</v>
      </c>
      <c r="BB70" s="506">
        <v>-35950.81</v>
      </c>
      <c r="BC70" s="53">
        <v>1.0820998826422146</v>
      </c>
      <c r="BD70" s="507">
        <v>-33223.19</v>
      </c>
      <c r="BE70" s="506">
        <v>213415.25</v>
      </c>
      <c r="BF70" s="53">
        <v>1.0781999853387405</v>
      </c>
      <c r="BG70" s="507">
        <v>197936.61000000002</v>
      </c>
      <c r="BH70" s="380">
        <f t="shared" si="51"/>
        <v>197935.52790011736</v>
      </c>
      <c r="BI70" s="506">
        <v>213888.43</v>
      </c>
      <c r="BJ70" s="53">
        <v>1.0803999989493438</v>
      </c>
      <c r="BK70" s="507">
        <v>197971.52</v>
      </c>
      <c r="BL70" s="380">
        <f t="shared" si="52"/>
        <v>34.909999999974389</v>
      </c>
      <c r="BM70" s="506">
        <v>213667.61</v>
      </c>
      <c r="BN70" s="53">
        <v>1.1088499954694768</v>
      </c>
      <c r="BO70" s="507">
        <v>192692.98</v>
      </c>
      <c r="BP70">
        <v>-176472.36</v>
      </c>
      <c r="BQ70" s="506">
        <v>213667.61</v>
      </c>
      <c r="BR70" s="53">
        <v>1.1058499740160905</v>
      </c>
      <c r="BS70" s="507">
        <v>193215.73</v>
      </c>
      <c r="BT70" s="380">
        <f t="shared" si="53"/>
        <v>522.75</v>
      </c>
      <c r="BU70" s="506">
        <v>213667.61</v>
      </c>
      <c r="BV70" s="53">
        <v>1.0967500172467883</v>
      </c>
      <c r="BW70" s="507">
        <v>194818.88</v>
      </c>
      <c r="BX70" s="380">
        <f t="shared" si="54"/>
        <v>1603.1499999999942</v>
      </c>
      <c r="BY70" s="506">
        <v>166474.26999999999</v>
      </c>
      <c r="BZ70" s="53">
        <v>1.0935500267747675</v>
      </c>
      <c r="CA70" s="507">
        <v>152232.88</v>
      </c>
      <c r="CB70" s="380">
        <f t="shared" si="55"/>
        <v>-42586</v>
      </c>
      <c r="CC70" s="506">
        <v>166474.26999999999</v>
      </c>
      <c r="CD70" s="53">
        <v>1.1035500028504495</v>
      </c>
      <c r="CE70" s="507">
        <v>150853.4</v>
      </c>
      <c r="CF70" s="380">
        <f t="shared" si="56"/>
        <v>-1379.4800000000105</v>
      </c>
      <c r="CG70" s="506">
        <v>131450.54</v>
      </c>
      <c r="CH70" s="53">
        <v>1.1071500373751093</v>
      </c>
      <c r="CI70" s="507">
        <v>118728.75</v>
      </c>
      <c r="CJ70" s="380">
        <f t="shared" si="57"/>
        <v>-32124.649999999994</v>
      </c>
      <c r="CK70" s="506">
        <v>131450.54</v>
      </c>
      <c r="CL70" s="53">
        <v>1.1331000481425468</v>
      </c>
      <c r="CM70" s="507">
        <v>116009.65</v>
      </c>
      <c r="CN70" s="380">
        <f t="shared" si="58"/>
        <v>-2719.1000000000058</v>
      </c>
      <c r="CO70" s="506">
        <v>331436.33</v>
      </c>
      <c r="CP70" s="53">
        <v>1.1381500166600167</v>
      </c>
      <c r="CQ70" s="507">
        <v>291206.19</v>
      </c>
      <c r="CR70" s="380">
        <f t="shared" si="59"/>
        <v>175196.54</v>
      </c>
      <c r="CS70" s="506">
        <v>303411.89</v>
      </c>
      <c r="CT70" s="53">
        <v>1.1324499897732652</v>
      </c>
      <c r="CU70" s="507">
        <v>267925.2</v>
      </c>
      <c r="CV70" s="380">
        <f t="shared" si="60"/>
        <v>-23280.989999999991</v>
      </c>
      <c r="CW70" s="506">
        <v>53397.73</v>
      </c>
      <c r="CX70" s="53">
        <v>1.1362500452178652</v>
      </c>
      <c r="CY70" s="507">
        <v>46994.7</v>
      </c>
      <c r="CZ70" s="380">
        <f t="shared" si="61"/>
        <v>-220930.5</v>
      </c>
      <c r="DA70" s="506">
        <v>53397.73</v>
      </c>
      <c r="DB70" s="53">
        <v>1.1363000964193748</v>
      </c>
      <c r="DC70" s="507">
        <v>46992.63</v>
      </c>
      <c r="DD70" s="380">
        <f t="shared" si="62"/>
        <v>-2.069999999999709</v>
      </c>
      <c r="DE70" s="506">
        <v>253383.36</v>
      </c>
      <c r="DF70" s="53">
        <v>1.1544499930632772</v>
      </c>
      <c r="DG70" s="507">
        <v>219484.05</v>
      </c>
      <c r="DH70" s="380">
        <f t="shared" si="63"/>
        <v>172491.41999999998</v>
      </c>
      <c r="DI70" s="506">
        <v>182167.1</v>
      </c>
      <c r="DJ70" s="53">
        <v>1.1486000091425401</v>
      </c>
      <c r="DK70" s="507">
        <v>158599.25</v>
      </c>
      <c r="DL70" s="380">
        <f t="shared" si="64"/>
        <v>-60884.799999999988</v>
      </c>
      <c r="DM70" s="506">
        <v>182167.1</v>
      </c>
      <c r="DN70" s="53">
        <v>1.1410499781207057</v>
      </c>
      <c r="DO70" s="507">
        <v>159648.66</v>
      </c>
      <c r="DP70" s="380">
        <f t="shared" si="65"/>
        <v>1049.4100000000035</v>
      </c>
      <c r="DQ70" s="506">
        <v>181107.71</v>
      </c>
      <c r="DR70" s="53">
        <v>1.135249966573922</v>
      </c>
      <c r="DS70" s="507">
        <v>159531.13</v>
      </c>
      <c r="DT70" s="380">
        <f t="shared" si="66"/>
        <v>-117.52999999999884</v>
      </c>
      <c r="DU70" s="506">
        <v>157151.74</v>
      </c>
      <c r="DV70" s="53">
        <v>1.1318500296229566</v>
      </c>
      <c r="DW70" s="507">
        <v>138845.01999999999</v>
      </c>
      <c r="DX70" s="380">
        <f t="shared" si="67"/>
        <v>-20686.110000000015</v>
      </c>
      <c r="DY70" s="506">
        <v>157152</v>
      </c>
      <c r="DZ70" s="53">
        <v>1.1345499999999999</v>
      </c>
      <c r="EA70" s="507">
        <v>138514.82966815037</v>
      </c>
      <c r="EB70" s="380">
        <f t="shared" si="68"/>
        <v>-330.19033184961881</v>
      </c>
      <c r="EC70" s="506">
        <v>157152</v>
      </c>
      <c r="ED70" s="53">
        <v>1.13425</v>
      </c>
      <c r="EE70" s="507">
        <v>138551.46572625084</v>
      </c>
      <c r="EF70" s="380">
        <f t="shared" si="69"/>
        <v>36.636058100470109</v>
      </c>
      <c r="EG70" s="506">
        <v>107901</v>
      </c>
      <c r="EH70" s="53">
        <v>1.1326499999999999</v>
      </c>
      <c r="EI70" s="507">
        <v>95264.203416766002</v>
      </c>
      <c r="EJ70" s="380">
        <f t="shared" si="70"/>
        <v>-43287.262309484839</v>
      </c>
      <c r="EK70" s="506">
        <v>105896</v>
      </c>
      <c r="EL70" s="53">
        <v>1.13575</v>
      </c>
      <c r="EM70" s="507">
        <v>93238.828967642519</v>
      </c>
      <c r="EN70" s="380">
        <f t="shared" si="71"/>
        <v>-2025.3744491234829</v>
      </c>
      <c r="EO70" s="506">
        <v>105896</v>
      </c>
      <c r="EP70" s="53">
        <v>1.1295500000000001</v>
      </c>
      <c r="EQ70" s="507">
        <v>93750.60864946217</v>
      </c>
      <c r="ER70" s="380">
        <f t="shared" si="72"/>
        <v>511.77968181965116</v>
      </c>
      <c r="ES70" s="506">
        <v>105883</v>
      </c>
      <c r="ET70" s="53">
        <v>1.1253500000000001</v>
      </c>
      <c r="EU70" s="507">
        <v>94088.950104411953</v>
      </c>
      <c r="EV70" s="380">
        <f t="shared" si="73"/>
        <v>338.34145494978293</v>
      </c>
      <c r="EW70" s="506">
        <v>105883</v>
      </c>
      <c r="EX70" s="53">
        <v>1.1109500000000001</v>
      </c>
      <c r="EY70" s="507">
        <v>95308.519735361624</v>
      </c>
      <c r="EZ70" s="380">
        <f t="shared" si="74"/>
        <v>1219.5696309496707</v>
      </c>
      <c r="FA70" s="506">
        <v>105883</v>
      </c>
      <c r="FB70" s="53">
        <v>1.1105499999999999</v>
      </c>
      <c r="FC70" s="507">
        <v>95342.848138309855</v>
      </c>
      <c r="FD70" s="380">
        <f t="shared" si="75"/>
        <v>34.328402948231087</v>
      </c>
      <c r="FE70" s="506">
        <v>105883</v>
      </c>
      <c r="FF70" s="53">
        <v>1.12155</v>
      </c>
      <c r="FG70" s="507">
        <v>94407.739289376303</v>
      </c>
      <c r="FH70" s="380">
        <f t="shared" si="76"/>
        <v>-935.10884893355251</v>
      </c>
      <c r="FI70" s="506">
        <v>55419</v>
      </c>
      <c r="FJ70" s="53">
        <v>1.1194</v>
      </c>
      <c r="FK70" s="507">
        <v>49507.772020725388</v>
      </c>
      <c r="FL70" s="380">
        <f t="shared" si="77"/>
        <v>-44899.967268650915</v>
      </c>
      <c r="FM70" s="506">
        <v>72292</v>
      </c>
      <c r="FN70" s="53">
        <v>1.1271500000000001</v>
      </c>
      <c r="FO70" s="507">
        <v>64136.982655369735</v>
      </c>
      <c r="FP70" s="380">
        <f t="shared" si="78"/>
        <v>14629.210634644347</v>
      </c>
      <c r="FQ70" s="506">
        <v>327596</v>
      </c>
      <c r="FR70" s="53">
        <v>1.1245499999999999</v>
      </c>
      <c r="FS70" s="507">
        <v>291312.96963229741</v>
      </c>
      <c r="FT70" s="380">
        <f t="shared" si="79"/>
        <v>227175.98697692767</v>
      </c>
      <c r="FU70" s="506">
        <v>310647</v>
      </c>
      <c r="FV70" s="53">
        <v>1.13215</v>
      </c>
      <c r="FW70" s="507">
        <v>274386.78620324162</v>
      </c>
      <c r="FX70" s="380">
        <f t="shared" si="80"/>
        <v>-16926.183429055789</v>
      </c>
      <c r="FY70" s="506">
        <v>110588</v>
      </c>
      <c r="FZ70" s="53">
        <v>1.1327499999999999</v>
      </c>
      <c r="GA70" s="507">
        <v>97627.896711542708</v>
      </c>
      <c r="GB70" s="380">
        <f t="shared" si="81"/>
        <v>-176758.88949169891</v>
      </c>
      <c r="GC70" s="506">
        <v>110588</v>
      </c>
      <c r="GD70" s="53">
        <v>1.13775</v>
      </c>
      <c r="GE70" s="507">
        <v>97198.857393979342</v>
      </c>
      <c r="GF70" s="380">
        <f t="shared" si="82"/>
        <v>-429.03931756336533</v>
      </c>
      <c r="GG70" s="506">
        <v>609992</v>
      </c>
      <c r="GH70" s="53">
        <v>1.1352500000000001</v>
      </c>
      <c r="GI70" s="507">
        <v>537319.5331424796</v>
      </c>
      <c r="GJ70" s="380">
        <f t="shared" si="83"/>
        <v>440120.67574850027</v>
      </c>
      <c r="GK70" s="506">
        <v>254010</v>
      </c>
      <c r="GL70" s="53">
        <v>1.1318999999999999</v>
      </c>
      <c r="GM70" s="507">
        <v>224410.28359395708</v>
      </c>
      <c r="GN70" s="380">
        <f t="shared" si="84"/>
        <v>-312909.24954852252</v>
      </c>
      <c r="GO70" s="506">
        <v>254010</v>
      </c>
      <c r="GP70" s="53">
        <v>1.1270500000000001</v>
      </c>
      <c r="GQ70" s="507">
        <v>225375.98154474067</v>
      </c>
      <c r="GR70" s="380">
        <f t="shared" si="85"/>
        <v>965.69795078359311</v>
      </c>
      <c r="GS70" s="506">
        <v>253884</v>
      </c>
      <c r="GT70" s="53">
        <v>1.13385</v>
      </c>
      <c r="GU70" s="507">
        <v>223913.21603386692</v>
      </c>
      <c r="GV70" s="380">
        <f t="shared" si="86"/>
        <v>-1462.7655108737526</v>
      </c>
      <c r="GW70" s="506">
        <v>253884</v>
      </c>
      <c r="GX70" s="53">
        <v>1.1415500000000001</v>
      </c>
      <c r="GY70" s="507">
        <v>222402.87328632121</v>
      </c>
      <c r="GZ70" s="380">
        <f t="shared" si="87"/>
        <v>-1510.3427475457138</v>
      </c>
      <c r="HA70" s="506">
        <v>228817</v>
      </c>
      <c r="HB70" s="53">
        <v>1.1389499999999999</v>
      </c>
      <c r="HC70" s="507">
        <v>200901.70771324466</v>
      </c>
      <c r="HD70" s="380">
        <f t="shared" si="88"/>
        <v>-21501.165573076549</v>
      </c>
      <c r="HE70" s="506">
        <v>222386</v>
      </c>
      <c r="HF70" s="53">
        <v>1.1379999999999999</v>
      </c>
      <c r="HG70" s="507">
        <v>195418.27768014063</v>
      </c>
      <c r="HH70" s="380">
        <f t="shared" si="89"/>
        <v>-5483.4300331040286</v>
      </c>
      <c r="HI70" s="506">
        <v>222386</v>
      </c>
      <c r="HJ70" s="53">
        <v>1.1426499999999999</v>
      </c>
      <c r="HK70" s="507">
        <v>194623.02542335799</v>
      </c>
      <c r="HL70" s="380">
        <f t="shared" si="90"/>
        <v>-795.25225678263814</v>
      </c>
      <c r="HM70" s="506">
        <v>222386</v>
      </c>
      <c r="HN70" s="53">
        <v>1.139869</v>
      </c>
      <c r="HO70" s="507">
        <v>195097.85773628374</v>
      </c>
      <c r="HP70" s="380">
        <f t="shared" si="91"/>
        <v>474.83231292574783</v>
      </c>
      <c r="HQ70" s="506">
        <v>45597</v>
      </c>
      <c r="HR70" s="53">
        <v>1.1428499999999999</v>
      </c>
      <c r="HS70" s="507">
        <v>39897.624360152251</v>
      </c>
      <c r="HT70" s="380">
        <f t="shared" si="92"/>
        <v>-155200.23337613148</v>
      </c>
      <c r="HU70" s="506">
        <v>45597</v>
      </c>
      <c r="HV70" s="53">
        <v>1.1433</v>
      </c>
      <c r="HW70" s="507">
        <v>39881.920755707164</v>
      </c>
      <c r="HX70" s="380">
        <f t="shared" si="93"/>
        <v>-15.703604445086967</v>
      </c>
      <c r="HY70" s="506">
        <v>45597</v>
      </c>
      <c r="HZ70" s="53">
        <v>1.1509499999999999</v>
      </c>
      <c r="IA70" s="507">
        <v>39616.838264042752</v>
      </c>
      <c r="IB70" s="380">
        <f t="shared" si="94"/>
        <v>-265.08249166441237</v>
      </c>
      <c r="IC70" s="506">
        <v>691203</v>
      </c>
      <c r="ID70" s="53">
        <v>1.1509499999999999</v>
      </c>
      <c r="IE70" s="507">
        <v>600549.98045093194</v>
      </c>
      <c r="IF70" s="380">
        <f t="shared" si="95"/>
        <v>560933.14218688919</v>
      </c>
      <c r="IG70" s="506">
        <v>691203</v>
      </c>
      <c r="IH70" s="53">
        <v>1.1509499999999999</v>
      </c>
      <c r="II70" s="507">
        <v>600549.98045093194</v>
      </c>
      <c r="IJ70" s="380">
        <f t="shared" si="96"/>
        <v>0</v>
      </c>
      <c r="IK70" s="506">
        <v>691203</v>
      </c>
      <c r="IL70" s="53">
        <v>1.1509499999999999</v>
      </c>
      <c r="IM70" s="507">
        <v>600549.98045093194</v>
      </c>
      <c r="IN70" s="380">
        <f t="shared" si="97"/>
        <v>0</v>
      </c>
      <c r="IO70" s="506">
        <v>691203</v>
      </c>
      <c r="IP70" s="53">
        <v>1.1509499999999999</v>
      </c>
      <c r="IQ70" s="507">
        <v>600549.98045093194</v>
      </c>
      <c r="IR70" s="380">
        <f t="shared" si="98"/>
        <v>0</v>
      </c>
      <c r="IS70" s="506">
        <v>602660</v>
      </c>
      <c r="IT70" s="53">
        <v>1.1509499999999999</v>
      </c>
      <c r="IU70" s="507">
        <v>523619.618575959</v>
      </c>
      <c r="IV70" s="380">
        <f t="shared" si="99"/>
        <v>-76930.361874972936</v>
      </c>
      <c r="IW70" s="506">
        <v>602660</v>
      </c>
      <c r="IX70" s="53">
        <v>1.1608000000000001</v>
      </c>
      <c r="IY70" s="507">
        <v>519176.43004824256</v>
      </c>
      <c r="IZ70" s="380">
        <f t="shared" si="100"/>
        <v>-4443.1885277164401</v>
      </c>
    </row>
    <row r="71" spans="1:260">
      <c r="A71" s="13" t="s">
        <v>548</v>
      </c>
      <c r="B71" s="13" t="s">
        <v>549</v>
      </c>
      <c r="C71" s="13" t="s">
        <v>38</v>
      </c>
      <c r="D71" s="13" t="s">
        <v>336</v>
      </c>
      <c r="E71" s="13" t="s">
        <v>16</v>
      </c>
      <c r="F71" s="13">
        <v>20157037</v>
      </c>
      <c r="G71" s="13" t="s">
        <v>83</v>
      </c>
      <c r="H71" s="49" t="s">
        <v>508</v>
      </c>
      <c r="I71" s="14">
        <f>+'IBP export - Colar'!G21</f>
        <v>548622</v>
      </c>
      <c r="J71" s="14">
        <f>+VLOOKUP(E71,'Summary - Colar'!$M$39:$N$54,2,FALSE)</f>
        <v>1.4857499999999999</v>
      </c>
      <c r="K71" s="14">
        <f t="shared" si="101"/>
        <v>369255.93134780414</v>
      </c>
      <c r="L71" s="506">
        <v>703.47</v>
      </c>
      <c r="M71" s="53">
        <v>1.4168580060422962</v>
      </c>
      <c r="N71" s="507">
        <v>496.5</v>
      </c>
      <c r="O71" s="506">
        <v>703.47</v>
      </c>
      <c r="P71" s="53">
        <v>1.411201829525166</v>
      </c>
      <c r="Q71" s="507">
        <v>498.49</v>
      </c>
      <c r="R71" s="506">
        <v>660.96</v>
      </c>
      <c r="S71" s="53">
        <v>1.4089959496908975</v>
      </c>
      <c r="T71" s="507">
        <v>469.1</v>
      </c>
      <c r="U71" s="506">
        <v>660.96</v>
      </c>
      <c r="V71" s="53">
        <v>1.4082454458293385</v>
      </c>
      <c r="W71" s="507">
        <v>469.35</v>
      </c>
      <c r="X71" s="506">
        <v>660.96</v>
      </c>
      <c r="Y71" s="53">
        <v>1.4129417046110435</v>
      </c>
      <c r="Z71" s="507">
        <v>467.79</v>
      </c>
      <c r="AA71" s="506">
        <v>660.96</v>
      </c>
      <c r="AB71" s="53">
        <v>1.4085455514118275</v>
      </c>
      <c r="AC71" s="507">
        <v>469.25</v>
      </c>
      <c r="AD71" s="506">
        <v>660.96</v>
      </c>
      <c r="AE71" s="53">
        <v>1.4017942355411339</v>
      </c>
      <c r="AF71" s="507">
        <v>471.51</v>
      </c>
      <c r="AG71" s="506">
        <v>660.96</v>
      </c>
      <c r="AH71" s="53">
        <v>1.4043855175930648</v>
      </c>
      <c r="AI71" s="507">
        <v>470.64</v>
      </c>
      <c r="AJ71" s="506">
        <v>570.04999999999995</v>
      </c>
      <c r="AK71" s="53">
        <v>1.3989986992907451</v>
      </c>
      <c r="AL71" s="507">
        <v>407.47</v>
      </c>
      <c r="AM71" s="506">
        <v>570.04999999999995</v>
      </c>
      <c r="AN71" s="53">
        <v>1.4035109316525505</v>
      </c>
      <c r="AO71" s="507">
        <v>406.16</v>
      </c>
      <c r="AP71" s="506">
        <v>570.04999999999995</v>
      </c>
      <c r="AQ71" s="53">
        <v>1.4448471637856743</v>
      </c>
      <c r="AR71" s="507">
        <v>394.54</v>
      </c>
      <c r="AS71" s="506">
        <v>570</v>
      </c>
      <c r="AT71" s="53">
        <v>1.4539500000000001</v>
      </c>
      <c r="AU71" s="507">
        <v>392.03548952852572</v>
      </c>
      <c r="AV71" s="506">
        <v>570.04999999999995</v>
      </c>
      <c r="AW71" s="53">
        <v>1.4452501077504245</v>
      </c>
      <c r="AX71" s="507">
        <v>394.43</v>
      </c>
      <c r="AY71" s="506">
        <v>570.04999999999995</v>
      </c>
      <c r="AZ71" s="53">
        <v>1.4473416950185343</v>
      </c>
      <c r="BA71" s="507">
        <v>393.86</v>
      </c>
      <c r="BB71" s="506">
        <v>570.04999999999995</v>
      </c>
      <c r="BC71" s="53">
        <v>1.4520977150571872</v>
      </c>
      <c r="BD71" s="507">
        <v>392.57</v>
      </c>
      <c r="BE71" s="506">
        <v>1000570.05</v>
      </c>
      <c r="BF71" s="53">
        <v>1.4486499954386285</v>
      </c>
      <c r="BG71" s="507">
        <v>690691.37</v>
      </c>
      <c r="BH71" s="380">
        <f t="shared" si="51"/>
        <v>690689.91790228488</v>
      </c>
      <c r="BI71" s="506">
        <v>570.04999999999995</v>
      </c>
      <c r="BJ71" s="53">
        <v>1.4508411595530781</v>
      </c>
      <c r="BK71" s="507">
        <v>392.91</v>
      </c>
      <c r="BL71" s="380">
        <f t="shared" si="52"/>
        <v>-690298.46</v>
      </c>
      <c r="BM71" s="506">
        <v>526.59</v>
      </c>
      <c r="BN71" s="53">
        <v>1.4796010115200902</v>
      </c>
      <c r="BO71" s="507">
        <v>355.9</v>
      </c>
      <c r="BP71">
        <v>-1.3100000000000023</v>
      </c>
      <c r="BQ71" s="506">
        <v>526.59</v>
      </c>
      <c r="BR71" s="53">
        <v>1.4811824932493252</v>
      </c>
      <c r="BS71" s="507">
        <v>355.52</v>
      </c>
      <c r="BT71" s="380">
        <f t="shared" si="53"/>
        <v>-0.37999999999999545</v>
      </c>
      <c r="BU71" s="506">
        <v>526.59</v>
      </c>
      <c r="BV71" s="53">
        <v>1.4764895555867099</v>
      </c>
      <c r="BW71" s="507">
        <v>356.65</v>
      </c>
      <c r="BX71" s="380">
        <f t="shared" si="54"/>
        <v>1.1299999999999955</v>
      </c>
      <c r="BY71" s="506">
        <v>526.59</v>
      </c>
      <c r="BZ71" s="53">
        <v>1.4759101992768855</v>
      </c>
      <c r="CA71" s="507">
        <v>356.79</v>
      </c>
      <c r="CB71" s="380">
        <f t="shared" si="55"/>
        <v>0.1400000000000432</v>
      </c>
      <c r="CC71" s="506">
        <v>526.59</v>
      </c>
      <c r="CD71" s="53">
        <v>1.4879206577943545</v>
      </c>
      <c r="CE71" s="507">
        <v>353.91</v>
      </c>
      <c r="CF71" s="380">
        <f t="shared" si="56"/>
        <v>-2.8799999999999955</v>
      </c>
      <c r="CG71" s="506">
        <v>526.59</v>
      </c>
      <c r="CH71" s="53">
        <v>1.4801416645585632</v>
      </c>
      <c r="CI71" s="507">
        <v>355.77</v>
      </c>
      <c r="CJ71" s="380">
        <f t="shared" si="57"/>
        <v>1.8599999999999568</v>
      </c>
      <c r="CK71" s="506">
        <v>526.59</v>
      </c>
      <c r="CL71" s="53">
        <v>1.4968447981807846</v>
      </c>
      <c r="CM71" s="507">
        <v>351.8</v>
      </c>
      <c r="CN71" s="380">
        <f t="shared" si="58"/>
        <v>-3.9699999999999704</v>
      </c>
      <c r="CO71" s="506">
        <v>526.59</v>
      </c>
      <c r="CP71" s="53">
        <v>1.4975684668543641</v>
      </c>
      <c r="CQ71" s="507">
        <v>351.63</v>
      </c>
      <c r="CR71" s="380">
        <f t="shared" si="59"/>
        <v>-0.17000000000001592</v>
      </c>
      <c r="CS71" s="506">
        <v>526.59</v>
      </c>
      <c r="CT71" s="53">
        <v>1.4914606168748408</v>
      </c>
      <c r="CU71" s="507">
        <v>353.07</v>
      </c>
      <c r="CV71" s="380">
        <f t="shared" si="60"/>
        <v>1.4399999999999977</v>
      </c>
      <c r="CW71" s="506">
        <v>526.59</v>
      </c>
      <c r="CX71" s="53">
        <v>1.4929829038019904</v>
      </c>
      <c r="CY71" s="507">
        <v>352.71</v>
      </c>
      <c r="CZ71" s="380">
        <f t="shared" si="61"/>
        <v>-0.36000000000001364</v>
      </c>
      <c r="DA71" s="506">
        <v>526.59</v>
      </c>
      <c r="DB71" s="53">
        <v>1.4898992756903577</v>
      </c>
      <c r="DC71" s="507">
        <v>353.44</v>
      </c>
      <c r="DD71" s="380">
        <f t="shared" si="62"/>
        <v>0.73000000000001819</v>
      </c>
      <c r="DE71" s="506">
        <v>526.59</v>
      </c>
      <c r="DF71" s="53">
        <v>1.5047578225460783</v>
      </c>
      <c r="DG71" s="507">
        <v>349.95</v>
      </c>
      <c r="DH71" s="380">
        <f t="shared" si="63"/>
        <v>-3.4900000000000091</v>
      </c>
      <c r="DI71" s="506">
        <v>-1378.04</v>
      </c>
      <c r="DJ71" s="53">
        <v>1.5021965443941787</v>
      </c>
      <c r="DK71" s="507">
        <v>-917.35000000000014</v>
      </c>
      <c r="DL71" s="380">
        <f t="shared" si="64"/>
        <v>-1267.3000000000002</v>
      </c>
      <c r="DM71" s="506">
        <v>-1378.04</v>
      </c>
      <c r="DN71" s="53">
        <v>1.4955936618189711</v>
      </c>
      <c r="DO71" s="507">
        <v>-921.4</v>
      </c>
      <c r="DP71" s="380">
        <f t="shared" si="65"/>
        <v>-4.0499999999998408</v>
      </c>
      <c r="DQ71" s="506">
        <v>48621.96</v>
      </c>
      <c r="DR71" s="53">
        <v>1.4919498710322392</v>
      </c>
      <c r="DS71" s="507">
        <v>32589.54</v>
      </c>
      <c r="DT71" s="380">
        <f t="shared" si="66"/>
        <v>33510.94</v>
      </c>
      <c r="DU71" s="506">
        <v>48621.96</v>
      </c>
      <c r="DV71" s="53">
        <v>1.4813999182855941</v>
      </c>
      <c r="DW71" s="507">
        <v>32821.629999999997</v>
      </c>
      <c r="DX71" s="380">
        <f t="shared" si="67"/>
        <v>232.08999999999651</v>
      </c>
      <c r="DY71" s="506">
        <v>48622</v>
      </c>
      <c r="DZ71" s="53">
        <v>1.4701500000000001</v>
      </c>
      <c r="EA71" s="507">
        <v>33072.815699078325</v>
      </c>
      <c r="EB71" s="380">
        <f t="shared" si="68"/>
        <v>251.18569907832716</v>
      </c>
      <c r="EC71" s="506">
        <v>48622</v>
      </c>
      <c r="ED71" s="53">
        <v>1.4619500000000001</v>
      </c>
      <c r="EE71" s="507">
        <v>33258.319367967437</v>
      </c>
      <c r="EF71" s="380">
        <f t="shared" si="69"/>
        <v>185.5036688891123</v>
      </c>
      <c r="EG71" s="506">
        <v>48622</v>
      </c>
      <c r="EH71" s="53">
        <v>1.4600500000000001</v>
      </c>
      <c r="EI71" s="507">
        <v>33301.599260299306</v>
      </c>
      <c r="EJ71" s="380">
        <f t="shared" si="70"/>
        <v>43.279892331869632</v>
      </c>
      <c r="EK71" s="506">
        <v>48622</v>
      </c>
      <c r="EL71" s="53">
        <v>1.4666999999999999</v>
      </c>
      <c r="EM71" s="507">
        <v>33150.610213404245</v>
      </c>
      <c r="EN71" s="380">
        <f t="shared" si="71"/>
        <v>-150.98904689506162</v>
      </c>
      <c r="EO71" s="506">
        <v>48622</v>
      </c>
      <c r="EP71" s="53">
        <v>1.46435</v>
      </c>
      <c r="EQ71" s="507">
        <v>33203.810564414242</v>
      </c>
      <c r="ER71" s="380">
        <f t="shared" si="72"/>
        <v>53.200351009996666</v>
      </c>
      <c r="ES71" s="506">
        <v>48622</v>
      </c>
      <c r="ET71" s="53">
        <v>1.4601999999999999</v>
      </c>
      <c r="EU71" s="507">
        <v>33298.178331735377</v>
      </c>
      <c r="EV71" s="380">
        <f t="shared" si="73"/>
        <v>94.367767321135034</v>
      </c>
      <c r="EW71" s="506">
        <v>48622</v>
      </c>
      <c r="EX71" s="53">
        <v>1.45035</v>
      </c>
      <c r="EY71" s="507">
        <v>33524.321715447993</v>
      </c>
      <c r="EZ71" s="380">
        <f t="shared" si="74"/>
        <v>226.14338371261692</v>
      </c>
      <c r="FA71" s="506">
        <v>48622</v>
      </c>
      <c r="FB71" s="53">
        <v>1.4494</v>
      </c>
      <c r="FC71" s="507">
        <v>33546.2950186284</v>
      </c>
      <c r="FD71" s="380">
        <f t="shared" si="75"/>
        <v>21.973303180406219</v>
      </c>
      <c r="FE71" s="506">
        <v>48622</v>
      </c>
      <c r="FF71" s="53">
        <v>1.4559500000000001</v>
      </c>
      <c r="FG71" s="507">
        <v>33395.377588516087</v>
      </c>
      <c r="FH71" s="380">
        <f t="shared" si="76"/>
        <v>-150.91743011231301</v>
      </c>
      <c r="FI71" s="506">
        <v>48622</v>
      </c>
      <c r="FJ71" s="53">
        <v>1.4536</v>
      </c>
      <c r="FK71" s="507">
        <v>33449.367088607592</v>
      </c>
      <c r="FL71" s="380">
        <f t="shared" si="77"/>
        <v>53.989500091505761</v>
      </c>
      <c r="FM71" s="506">
        <v>48622</v>
      </c>
      <c r="FN71" s="53">
        <v>1.45845</v>
      </c>
      <c r="FO71" s="507">
        <v>33338.132949364051</v>
      </c>
      <c r="FP71" s="380">
        <f t="shared" si="78"/>
        <v>-111.23413924354099</v>
      </c>
      <c r="FQ71" s="506">
        <v>48622</v>
      </c>
      <c r="FR71" s="53">
        <v>1.4572499999999999</v>
      </c>
      <c r="FS71" s="507">
        <v>33365.58586378453</v>
      </c>
      <c r="FT71" s="380">
        <f t="shared" si="79"/>
        <v>27.452914420478919</v>
      </c>
      <c r="FU71" s="506">
        <v>48622</v>
      </c>
      <c r="FV71" s="53">
        <v>1.4603999999999999</v>
      </c>
      <c r="FW71" s="507">
        <v>33293.618186798136</v>
      </c>
      <c r="FX71" s="380">
        <f t="shared" si="80"/>
        <v>-71.967676986394508</v>
      </c>
      <c r="FY71" s="506">
        <v>48622</v>
      </c>
      <c r="FZ71" s="53">
        <v>1.4576499999999999</v>
      </c>
      <c r="GA71" s="507">
        <v>33356.429869996231</v>
      </c>
      <c r="GB71" s="380">
        <f t="shared" si="81"/>
        <v>62.811683198095125</v>
      </c>
      <c r="GC71" s="506">
        <v>48622</v>
      </c>
      <c r="GD71" s="53">
        <v>1.4608000000000001</v>
      </c>
      <c r="GE71" s="507">
        <v>33284.501642935378</v>
      </c>
      <c r="GF71" s="380">
        <f t="shared" si="82"/>
        <v>-71.928227060852805</v>
      </c>
      <c r="GG71" s="506">
        <v>48622</v>
      </c>
      <c r="GH71" s="53">
        <v>1.4618</v>
      </c>
      <c r="GI71" s="507">
        <v>33261.732111095909</v>
      </c>
      <c r="GJ71" s="380">
        <f t="shared" si="83"/>
        <v>-22.769531839468982</v>
      </c>
      <c r="GK71" s="506">
        <v>48622</v>
      </c>
      <c r="GL71" s="53">
        <v>1.45875</v>
      </c>
      <c r="GM71" s="507">
        <v>33331.276778063409</v>
      </c>
      <c r="GN71" s="380">
        <f t="shared" si="84"/>
        <v>69.544666967500234</v>
      </c>
      <c r="GO71" s="506">
        <v>48622</v>
      </c>
      <c r="GP71" s="53">
        <v>1.4540999999999999</v>
      </c>
      <c r="GQ71" s="507">
        <v>33437.865346262297</v>
      </c>
      <c r="GR71" s="380">
        <f t="shared" si="85"/>
        <v>106.58856819888751</v>
      </c>
      <c r="GS71" s="506">
        <v>48622</v>
      </c>
      <c r="GT71" s="53">
        <v>1.4633</v>
      </c>
      <c r="GU71" s="507">
        <v>33227.636164832911</v>
      </c>
      <c r="GV71" s="380">
        <f t="shared" si="86"/>
        <v>-210.22918142938579</v>
      </c>
      <c r="GW71" s="506">
        <v>48622</v>
      </c>
      <c r="GX71" s="53">
        <v>1.4684999999999999</v>
      </c>
      <c r="GY71" s="507">
        <v>33109.976166155946</v>
      </c>
      <c r="GZ71" s="380">
        <f t="shared" si="87"/>
        <v>-117.65999867696519</v>
      </c>
      <c r="HA71" s="506">
        <v>48622</v>
      </c>
      <c r="HB71" s="53">
        <v>1.4674</v>
      </c>
      <c r="HC71" s="507">
        <v>33134.796238244511</v>
      </c>
      <c r="HD71" s="380">
        <f t="shared" si="88"/>
        <v>24.820072088565212</v>
      </c>
      <c r="HE71" s="506">
        <v>48622</v>
      </c>
      <c r="HF71" s="53">
        <v>1.4676</v>
      </c>
      <c r="HG71" s="507">
        <v>33130.280730444261</v>
      </c>
      <c r="HH71" s="380">
        <f t="shared" si="89"/>
        <v>-4.5155078002499067</v>
      </c>
      <c r="HI71" s="506">
        <v>48622</v>
      </c>
      <c r="HJ71" s="53">
        <v>1.4678</v>
      </c>
      <c r="HK71" s="507">
        <v>33125.766453195261</v>
      </c>
      <c r="HL71" s="380">
        <f t="shared" si="90"/>
        <v>-4.5142772489998606</v>
      </c>
      <c r="HM71" s="506">
        <v>48622</v>
      </c>
      <c r="HN71" s="53">
        <v>1.4688000000000001</v>
      </c>
      <c r="HO71" s="507">
        <v>33103.213507625267</v>
      </c>
      <c r="HP71" s="380">
        <f t="shared" si="91"/>
        <v>-22.552945569994336</v>
      </c>
      <c r="HQ71" s="506">
        <v>48622</v>
      </c>
      <c r="HR71" s="53">
        <v>1.4694</v>
      </c>
      <c r="HS71" s="507">
        <v>33089.696474751596</v>
      </c>
      <c r="HT71" s="380">
        <f t="shared" si="92"/>
        <v>-13.517032873671269</v>
      </c>
      <c r="HU71" s="506">
        <v>48622</v>
      </c>
      <c r="HV71" s="53">
        <v>1.4711000000000001</v>
      </c>
      <c r="HW71" s="507">
        <v>33051.45809258378</v>
      </c>
      <c r="HX71" s="380">
        <f t="shared" si="93"/>
        <v>-38.238382167815871</v>
      </c>
      <c r="HY71" s="506">
        <v>48622</v>
      </c>
      <c r="HZ71" s="53">
        <v>1.4773000000000001</v>
      </c>
      <c r="IA71" s="507">
        <v>32912.746226223513</v>
      </c>
      <c r="IB71" s="380">
        <f t="shared" si="94"/>
        <v>-138.71186636026687</v>
      </c>
      <c r="IC71" s="506">
        <v>48622</v>
      </c>
      <c r="ID71" s="53">
        <v>1.4773000000000001</v>
      </c>
      <c r="IE71" s="507">
        <v>32912.746226223513</v>
      </c>
      <c r="IF71" s="380">
        <f t="shared" si="95"/>
        <v>0</v>
      </c>
      <c r="IG71" s="506">
        <v>48622</v>
      </c>
      <c r="IH71" s="53">
        <v>1.4773000000000001</v>
      </c>
      <c r="II71" s="507">
        <v>32912.746226223513</v>
      </c>
      <c r="IJ71" s="380">
        <f t="shared" si="96"/>
        <v>0</v>
      </c>
      <c r="IK71" s="506">
        <v>48622</v>
      </c>
      <c r="IL71" s="53">
        <v>1.4773000000000001</v>
      </c>
      <c r="IM71" s="507">
        <v>32912.746226223513</v>
      </c>
      <c r="IN71" s="380">
        <f t="shared" si="97"/>
        <v>0</v>
      </c>
      <c r="IO71" s="506">
        <v>48622</v>
      </c>
      <c r="IP71" s="53">
        <v>1.4773000000000001</v>
      </c>
      <c r="IQ71" s="507">
        <v>32912.746226223513</v>
      </c>
      <c r="IR71" s="380">
        <f t="shared" si="98"/>
        <v>0</v>
      </c>
      <c r="IS71" s="506">
        <v>48622</v>
      </c>
      <c r="IT71" s="53">
        <v>1.4773000000000001</v>
      </c>
      <c r="IU71" s="507">
        <v>32912.746226223513</v>
      </c>
      <c r="IV71" s="380">
        <f t="shared" si="99"/>
        <v>0</v>
      </c>
      <c r="IW71" s="506">
        <v>548622</v>
      </c>
      <c r="IX71" s="53">
        <v>1.4857499999999999</v>
      </c>
      <c r="IY71" s="507">
        <v>369255.93134780414</v>
      </c>
      <c r="IZ71" s="380">
        <f t="shared" si="100"/>
        <v>336343.18512158061</v>
      </c>
    </row>
    <row r="72" spans="1:260">
      <c r="A72" s="13" t="s">
        <v>548</v>
      </c>
      <c r="B72" s="13" t="s">
        <v>549</v>
      </c>
      <c r="C72" s="13" t="s">
        <v>38</v>
      </c>
      <c r="D72" s="13" t="s">
        <v>336</v>
      </c>
      <c r="E72" s="13" t="s">
        <v>6</v>
      </c>
      <c r="F72" s="13">
        <v>20118988</v>
      </c>
      <c r="G72" s="13" t="s">
        <v>73</v>
      </c>
      <c r="H72" s="49" t="s">
        <v>508</v>
      </c>
      <c r="I72" s="14">
        <f>+'IBP export - Colar'!E17</f>
        <v>47808</v>
      </c>
      <c r="J72" s="14">
        <f>+VLOOKUP(E72,'Summary - Colar'!$M$39:$N$54,2,FALSE)</f>
        <v>11.064005</v>
      </c>
      <c r="K72" s="14">
        <f t="shared" si="101"/>
        <v>4321.0392620032262</v>
      </c>
      <c r="L72" s="506">
        <v>768788.92</v>
      </c>
      <c r="M72" s="53">
        <v>11.454999960514845</v>
      </c>
      <c r="N72" s="507">
        <v>67113.83</v>
      </c>
      <c r="O72" s="506">
        <v>768788.92</v>
      </c>
      <c r="P72" s="53">
        <v>11.435000500511592</v>
      </c>
      <c r="Q72" s="507">
        <v>67231.210000000006</v>
      </c>
      <c r="R72" s="506">
        <v>768445.27</v>
      </c>
      <c r="S72" s="53">
        <v>11.492499208105174</v>
      </c>
      <c r="T72" s="507">
        <v>66864.94</v>
      </c>
      <c r="U72" s="506">
        <v>768445.27</v>
      </c>
      <c r="V72" s="53">
        <v>11.502500793332414</v>
      </c>
      <c r="W72" s="507">
        <v>66806.8</v>
      </c>
      <c r="X72" s="506">
        <v>768445.27</v>
      </c>
      <c r="Y72" s="53">
        <v>11.456999868201573</v>
      </c>
      <c r="Z72" s="507">
        <v>67072.12</v>
      </c>
      <c r="AA72" s="506">
        <v>768445.27</v>
      </c>
      <c r="AB72" s="53">
        <v>11.473500522428596</v>
      </c>
      <c r="AC72" s="507">
        <v>66975.66</v>
      </c>
      <c r="AD72" s="506">
        <v>765703.31</v>
      </c>
      <c r="AE72" s="53">
        <v>11.284499921375806</v>
      </c>
      <c r="AF72" s="507">
        <v>67854.429999999993</v>
      </c>
      <c r="AG72" s="506">
        <v>765703.31</v>
      </c>
      <c r="AH72" s="53">
        <v>11.243500691464227</v>
      </c>
      <c r="AI72" s="507">
        <v>68101.86</v>
      </c>
      <c r="AJ72" s="506">
        <v>765703.31</v>
      </c>
      <c r="AK72" s="53">
        <v>11.138000053238743</v>
      </c>
      <c r="AL72" s="507">
        <v>68746.929999999993</v>
      </c>
      <c r="AM72" s="506">
        <v>765703.31</v>
      </c>
      <c r="AN72" s="53">
        <v>11.185000303105333</v>
      </c>
      <c r="AO72" s="507">
        <v>68458.05</v>
      </c>
      <c r="AP72" s="506">
        <v>5566.27</v>
      </c>
      <c r="AQ72" s="53">
        <v>10.963483090740779</v>
      </c>
      <c r="AR72" s="507">
        <v>507.71</v>
      </c>
      <c r="AS72" s="506">
        <v>5566</v>
      </c>
      <c r="AT72" s="53">
        <v>11.041558</v>
      </c>
      <c r="AU72" s="507">
        <v>504.0955270986214</v>
      </c>
      <c r="AV72" s="506">
        <v>5566.27</v>
      </c>
      <c r="AW72" s="53">
        <v>10.930543555101721</v>
      </c>
      <c r="AX72" s="507">
        <v>509.24</v>
      </c>
      <c r="AY72" s="506">
        <v>5566.27</v>
      </c>
      <c r="AZ72" s="53">
        <v>10.829951164464852</v>
      </c>
      <c r="BA72" s="507">
        <v>513.97</v>
      </c>
      <c r="BB72" s="506">
        <v>5566.27</v>
      </c>
      <c r="BC72" s="53">
        <v>10.849582878527992</v>
      </c>
      <c r="BD72" s="507">
        <v>513.04</v>
      </c>
      <c r="BE72" s="506">
        <v>5566.27</v>
      </c>
      <c r="BF72" s="53">
        <v>10.809970480851396</v>
      </c>
      <c r="BG72" s="507">
        <v>514.91999999999996</v>
      </c>
      <c r="BH72" s="380">
        <f t="shared" si="51"/>
        <v>504.07041712147196</v>
      </c>
      <c r="BI72" s="506">
        <v>5566.27</v>
      </c>
      <c r="BJ72" s="53">
        <v>10.75857203602768</v>
      </c>
      <c r="BK72" s="507">
        <v>517.38</v>
      </c>
      <c r="BL72" s="380">
        <f t="shared" si="52"/>
        <v>2.4600000000000364</v>
      </c>
      <c r="BM72" s="506">
        <v>5241.97</v>
      </c>
      <c r="BN72" s="53">
        <v>10.72196768255267</v>
      </c>
      <c r="BO72" s="507">
        <v>488.9</v>
      </c>
      <c r="BP72">
        <v>-288.8799999999901</v>
      </c>
      <c r="BQ72" s="506">
        <v>5241.97</v>
      </c>
      <c r="BR72" s="53">
        <v>10.994064597315436</v>
      </c>
      <c r="BS72" s="507">
        <v>476.8</v>
      </c>
      <c r="BT72" s="380">
        <f t="shared" si="53"/>
        <v>-12.099999999999966</v>
      </c>
      <c r="BU72" s="506">
        <v>5241.97</v>
      </c>
      <c r="BV72" s="53">
        <v>11.089187874172326</v>
      </c>
      <c r="BW72" s="507">
        <v>472.71</v>
      </c>
      <c r="BX72" s="380">
        <f t="shared" si="54"/>
        <v>-4.0900000000000318</v>
      </c>
      <c r="BY72" s="506">
        <v>5241.97</v>
      </c>
      <c r="BZ72" s="53">
        <v>10.970595621782262</v>
      </c>
      <c r="CA72" s="507">
        <v>477.82</v>
      </c>
      <c r="CB72" s="380">
        <f t="shared" si="55"/>
        <v>5.1100000000000136</v>
      </c>
      <c r="CC72" s="506">
        <v>5241.97</v>
      </c>
      <c r="CD72" s="53">
        <v>11.074428529175647</v>
      </c>
      <c r="CE72" s="507">
        <v>473.34</v>
      </c>
      <c r="CF72" s="380">
        <f t="shared" si="56"/>
        <v>-4.4800000000000182</v>
      </c>
      <c r="CG72" s="506">
        <v>5241.97</v>
      </c>
      <c r="CH72" s="53">
        <v>11.006530046613195</v>
      </c>
      <c r="CI72" s="507">
        <v>476.26</v>
      </c>
      <c r="CJ72" s="380">
        <f t="shared" si="57"/>
        <v>2.9200000000000159</v>
      </c>
      <c r="CK72" s="506">
        <v>5241.97</v>
      </c>
      <c r="CL72" s="53">
        <v>11.111047522150155</v>
      </c>
      <c r="CM72" s="507">
        <v>471.78000000000003</v>
      </c>
      <c r="CN72" s="380">
        <f t="shared" si="58"/>
        <v>-4.4799999999999613</v>
      </c>
      <c r="CO72" s="506">
        <v>5241.97</v>
      </c>
      <c r="CP72" s="53">
        <v>11.007454537818655</v>
      </c>
      <c r="CQ72" s="507">
        <v>476.22</v>
      </c>
      <c r="CR72" s="380">
        <f t="shared" si="59"/>
        <v>4.4399999999999977</v>
      </c>
      <c r="CS72" s="506">
        <v>5241.97</v>
      </c>
      <c r="CT72" s="53">
        <v>11.059941767237742</v>
      </c>
      <c r="CU72" s="507">
        <v>473.96</v>
      </c>
      <c r="CV72" s="380">
        <f t="shared" si="60"/>
        <v>-2.2600000000000477</v>
      </c>
      <c r="CW72" s="506">
        <v>5241.97</v>
      </c>
      <c r="CX72" s="53">
        <v>11.168573559177586</v>
      </c>
      <c r="CY72" s="507">
        <v>469.35</v>
      </c>
      <c r="CZ72" s="380">
        <f t="shared" si="61"/>
        <v>-4.6099999999999568</v>
      </c>
      <c r="DA72" s="506">
        <v>5241.97</v>
      </c>
      <c r="DB72" s="53">
        <v>10.944940911178854</v>
      </c>
      <c r="DC72" s="507">
        <v>478.94</v>
      </c>
      <c r="DD72" s="380">
        <f t="shared" si="62"/>
        <v>9.589999999999975</v>
      </c>
      <c r="DE72" s="506">
        <v>5241.97</v>
      </c>
      <c r="DF72" s="53">
        <v>10.963941352408442</v>
      </c>
      <c r="DG72" s="507">
        <v>478.11</v>
      </c>
      <c r="DH72" s="380">
        <f t="shared" si="63"/>
        <v>-0.82999999999998408</v>
      </c>
      <c r="DI72" s="506">
        <v>5241.97</v>
      </c>
      <c r="DJ72" s="53">
        <v>10.923046468014171</v>
      </c>
      <c r="DK72" s="507">
        <v>479.9</v>
      </c>
      <c r="DL72" s="380">
        <f t="shared" si="64"/>
        <v>1.7899999999999636</v>
      </c>
      <c r="DM72" s="506">
        <v>5241.97</v>
      </c>
      <c r="DN72" s="53">
        <v>10.933526614383448</v>
      </c>
      <c r="DO72" s="507">
        <v>479.44</v>
      </c>
      <c r="DP72" s="380">
        <f t="shared" si="65"/>
        <v>-0.45999999999997954</v>
      </c>
      <c r="DQ72" s="506">
        <v>5241.97</v>
      </c>
      <c r="DR72" s="53">
        <v>11.003988496336881</v>
      </c>
      <c r="DS72" s="507">
        <v>476.37000000000006</v>
      </c>
      <c r="DT72" s="380">
        <f t="shared" si="66"/>
        <v>-3.0699999999999363</v>
      </c>
      <c r="DU72" s="506">
        <v>-2055.1999999999998</v>
      </c>
      <c r="DV72" s="53">
        <v>10.999785913080709</v>
      </c>
      <c r="DW72" s="507">
        <v>-186.84</v>
      </c>
      <c r="DX72" s="380">
        <f t="shared" si="67"/>
        <v>-663.21</v>
      </c>
      <c r="DY72" s="506">
        <v>-2055</v>
      </c>
      <c r="DZ72" s="53">
        <v>10.948221</v>
      </c>
      <c r="EA72" s="507">
        <v>-187.7017279793676</v>
      </c>
      <c r="EB72" s="380">
        <f t="shared" si="68"/>
        <v>-0.86172797936760048</v>
      </c>
      <c r="EC72" s="506">
        <v>-2055</v>
      </c>
      <c r="ED72" s="53">
        <v>10.930171</v>
      </c>
      <c r="EE72" s="507">
        <v>-188.01169716374977</v>
      </c>
      <c r="EF72" s="380">
        <f t="shared" si="69"/>
        <v>-0.30996918438216881</v>
      </c>
      <c r="EG72" s="506">
        <v>47808</v>
      </c>
      <c r="EH72" s="53">
        <v>10.891002</v>
      </c>
      <c r="EI72" s="507">
        <v>4389.678745812369</v>
      </c>
      <c r="EJ72" s="380">
        <f t="shared" si="70"/>
        <v>4577.6904429761189</v>
      </c>
      <c r="EK72" s="506">
        <v>47808</v>
      </c>
      <c r="EL72" s="53">
        <v>10.897506</v>
      </c>
      <c r="EM72" s="507">
        <v>4387.0588371320928</v>
      </c>
      <c r="EN72" s="380">
        <f t="shared" si="71"/>
        <v>-2.6199086802762395</v>
      </c>
      <c r="EO72" s="506">
        <v>47808</v>
      </c>
      <c r="EP72" s="53">
        <v>10.906008</v>
      </c>
      <c r="EQ72" s="507">
        <v>4383.6388163294951</v>
      </c>
      <c r="ER72" s="380">
        <f t="shared" si="72"/>
        <v>-3.420020802597719</v>
      </c>
      <c r="ES72" s="506">
        <v>47808</v>
      </c>
      <c r="ET72" s="53">
        <v>10.917489</v>
      </c>
      <c r="EU72" s="507">
        <v>4379.0289140662289</v>
      </c>
      <c r="EV72" s="380">
        <f t="shared" si="73"/>
        <v>-4.6099022632661217</v>
      </c>
      <c r="EW72" s="506">
        <v>47808</v>
      </c>
      <c r="EX72" s="53">
        <v>10.880492</v>
      </c>
      <c r="EY72" s="507">
        <v>4393.9189514591799</v>
      </c>
      <c r="EZ72" s="380">
        <f t="shared" si="74"/>
        <v>14.890037392950944</v>
      </c>
      <c r="FA72" s="506">
        <v>47808</v>
      </c>
      <c r="FB72" s="53">
        <v>10.808491999999999</v>
      </c>
      <c r="FC72" s="507">
        <v>4423.1887297506446</v>
      </c>
      <c r="FD72" s="380">
        <f t="shared" si="75"/>
        <v>29.269778291464718</v>
      </c>
      <c r="FE72" s="506">
        <v>47808</v>
      </c>
      <c r="FF72" s="53">
        <v>10.851991</v>
      </c>
      <c r="FG72" s="507">
        <v>4405.4588692526559</v>
      </c>
      <c r="FH72" s="380">
        <f t="shared" si="76"/>
        <v>-17.729860497988739</v>
      </c>
      <c r="FI72" s="506">
        <v>47808</v>
      </c>
      <c r="FJ72" s="53">
        <v>10.924499000000001</v>
      </c>
      <c r="FK72" s="507">
        <v>4376.2189918274507</v>
      </c>
      <c r="FL72" s="380">
        <f t="shared" si="77"/>
        <v>-29.239877425205123</v>
      </c>
      <c r="FM72" s="506">
        <v>47808</v>
      </c>
      <c r="FN72" s="53">
        <v>10.902004</v>
      </c>
      <c r="FO72" s="507">
        <v>4385.2488037979074</v>
      </c>
      <c r="FP72" s="380">
        <f t="shared" si="78"/>
        <v>9.0298119704566489</v>
      </c>
      <c r="FQ72" s="506">
        <v>47808</v>
      </c>
      <c r="FR72" s="53">
        <v>10.874503000000001</v>
      </c>
      <c r="FS72" s="507">
        <v>4396.3388487731345</v>
      </c>
      <c r="FT72" s="380">
        <f t="shared" si="79"/>
        <v>11.090044975227102</v>
      </c>
      <c r="FU72" s="506">
        <v>47808</v>
      </c>
      <c r="FV72" s="53">
        <v>10.849996000000001</v>
      </c>
      <c r="FW72" s="507">
        <v>4406.2689055369237</v>
      </c>
      <c r="FX72" s="380">
        <f t="shared" si="80"/>
        <v>9.9300567637892527</v>
      </c>
      <c r="FY72" s="506">
        <v>47808</v>
      </c>
      <c r="FZ72" s="53">
        <v>10.817761000000001</v>
      </c>
      <c r="GA72" s="507">
        <v>4419.398801655906</v>
      </c>
      <c r="GB72" s="380">
        <f t="shared" si="81"/>
        <v>13.129896118982288</v>
      </c>
      <c r="GC72" s="506">
        <v>47808</v>
      </c>
      <c r="GD72" s="53">
        <v>10.825991999999999</v>
      </c>
      <c r="GE72" s="507">
        <v>4416.0387334481684</v>
      </c>
      <c r="GF72" s="380">
        <f t="shared" si="82"/>
        <v>-3.3600682077376405</v>
      </c>
      <c r="GG72" s="506">
        <v>47808</v>
      </c>
      <c r="GH72" s="53">
        <v>10.872005</v>
      </c>
      <c r="GI72" s="507">
        <v>4397.348971049958</v>
      </c>
      <c r="GJ72" s="380">
        <f t="shared" si="83"/>
        <v>-18.689762398210405</v>
      </c>
      <c r="GK72" s="506">
        <v>47808</v>
      </c>
      <c r="GL72" s="53">
        <v>10.876507</v>
      </c>
      <c r="GM72" s="507">
        <v>4395.5288218910719</v>
      </c>
      <c r="GN72" s="380">
        <f t="shared" si="84"/>
        <v>-1.8201491588861245</v>
      </c>
      <c r="GO72" s="506">
        <v>47808</v>
      </c>
      <c r="GP72" s="53">
        <v>10.873488999999999</v>
      </c>
      <c r="GQ72" s="507">
        <v>4396.748826434643</v>
      </c>
      <c r="GR72" s="380">
        <f t="shared" si="85"/>
        <v>1.2200045435711218</v>
      </c>
      <c r="GS72" s="506">
        <v>47808</v>
      </c>
      <c r="GT72" s="53">
        <v>10.866001000000001</v>
      </c>
      <c r="GU72" s="507">
        <v>4399.7787226413839</v>
      </c>
      <c r="GV72" s="380">
        <f t="shared" si="86"/>
        <v>3.0298962067408866</v>
      </c>
      <c r="GW72" s="506">
        <v>47808</v>
      </c>
      <c r="GX72" s="53">
        <v>10.858991</v>
      </c>
      <c r="GY72" s="507">
        <v>4402.6189910278035</v>
      </c>
      <c r="GZ72" s="380">
        <f t="shared" si="87"/>
        <v>2.8402683864196661</v>
      </c>
      <c r="HA72" s="506">
        <v>47808</v>
      </c>
      <c r="HB72" s="53">
        <v>10.91901</v>
      </c>
      <c r="HC72" s="507">
        <v>4378.4189225946311</v>
      </c>
      <c r="HD72" s="380">
        <f t="shared" si="88"/>
        <v>-24.200068433172419</v>
      </c>
      <c r="HE72" s="506">
        <v>47808</v>
      </c>
      <c r="HF72" s="53">
        <v>10.938496000000001</v>
      </c>
      <c r="HG72" s="507">
        <v>4370.6191417906075</v>
      </c>
      <c r="HH72" s="380">
        <f t="shared" si="89"/>
        <v>-7.7997808040236123</v>
      </c>
      <c r="HI72" s="506">
        <v>47808</v>
      </c>
      <c r="HJ72" s="53">
        <v>10.941000000000001</v>
      </c>
      <c r="HK72" s="507">
        <v>4369.6188648203997</v>
      </c>
      <c r="HL72" s="380">
        <f t="shared" si="90"/>
        <v>-1.0002769702077785</v>
      </c>
      <c r="HM72" s="506">
        <v>47808</v>
      </c>
      <c r="HN72" s="53">
        <v>10.9575</v>
      </c>
      <c r="HO72" s="507">
        <v>4363.0390143737168</v>
      </c>
      <c r="HP72" s="380">
        <f t="shared" si="91"/>
        <v>-6.5798504466829399</v>
      </c>
      <c r="HQ72" s="506">
        <v>47808</v>
      </c>
      <c r="HR72" s="53">
        <v>10.945007</v>
      </c>
      <c r="HS72" s="507">
        <v>4368.0191342042999</v>
      </c>
      <c r="HT72" s="380">
        <f t="shared" si="92"/>
        <v>4.9801198305831349</v>
      </c>
      <c r="HU72" s="506">
        <v>47808</v>
      </c>
      <c r="HV72" s="53">
        <v>10.984994</v>
      </c>
      <c r="HW72" s="507">
        <v>4352.1188996552928</v>
      </c>
      <c r="HX72" s="380">
        <f t="shared" si="93"/>
        <v>-15.900234549007109</v>
      </c>
      <c r="HY72" s="506">
        <v>47808</v>
      </c>
      <c r="HZ72" s="53">
        <v>10.968007999999999</v>
      </c>
      <c r="IA72" s="507">
        <v>4358.8589650919293</v>
      </c>
      <c r="IB72" s="380">
        <f t="shared" si="94"/>
        <v>6.7400654366365416</v>
      </c>
      <c r="IC72" s="506">
        <v>47808</v>
      </c>
      <c r="ID72" s="53">
        <v>10.968007999999999</v>
      </c>
      <c r="IE72" s="507">
        <v>4358.8589650919293</v>
      </c>
      <c r="IF72" s="380">
        <f t="shared" si="95"/>
        <v>0</v>
      </c>
      <c r="IG72" s="506">
        <v>47808</v>
      </c>
      <c r="IH72" s="53">
        <v>10.968007999999999</v>
      </c>
      <c r="II72" s="507">
        <v>4358.8589650919293</v>
      </c>
      <c r="IJ72" s="380">
        <f t="shared" si="96"/>
        <v>0</v>
      </c>
      <c r="IK72" s="506">
        <v>47808</v>
      </c>
      <c r="IL72" s="53">
        <v>10.968007999999999</v>
      </c>
      <c r="IM72" s="507">
        <v>4358.8589650919293</v>
      </c>
      <c r="IN72" s="380">
        <f t="shared" si="97"/>
        <v>0</v>
      </c>
      <c r="IO72" s="506">
        <v>47808</v>
      </c>
      <c r="IP72" s="53">
        <v>10.968007999999999</v>
      </c>
      <c r="IQ72" s="507">
        <v>4358.8589650919293</v>
      </c>
      <c r="IR72" s="380">
        <f t="shared" si="98"/>
        <v>0</v>
      </c>
      <c r="IS72" s="506">
        <v>47808</v>
      </c>
      <c r="IT72" s="53">
        <v>10.968007999999999</v>
      </c>
      <c r="IU72" s="507">
        <v>4358.8589650919293</v>
      </c>
      <c r="IV72" s="380">
        <f t="shared" si="99"/>
        <v>0</v>
      </c>
      <c r="IW72" s="506">
        <v>47808</v>
      </c>
      <c r="IX72" s="53">
        <v>11.064005</v>
      </c>
      <c r="IY72" s="507">
        <v>4321.0392620032262</v>
      </c>
      <c r="IZ72" s="380">
        <f t="shared" si="100"/>
        <v>-37.819703088703136</v>
      </c>
    </row>
    <row r="73" spans="1:260">
      <c r="A73" s="13" t="s">
        <v>548</v>
      </c>
      <c r="B73" s="13" t="s">
        <v>549</v>
      </c>
      <c r="C73" s="13" t="s">
        <v>38</v>
      </c>
      <c r="D73" s="13" t="s">
        <v>336</v>
      </c>
      <c r="E73" s="13" t="s">
        <v>15</v>
      </c>
      <c r="F73" s="13">
        <v>20035608</v>
      </c>
      <c r="G73" s="13" t="s">
        <v>78</v>
      </c>
      <c r="H73" s="13" t="s">
        <v>508</v>
      </c>
      <c r="I73" s="14">
        <f>+'IBP export - Colar'!F19</f>
        <v>169687</v>
      </c>
      <c r="J73" s="14">
        <f>+VLOOKUP(E73,'Summary - Colar'!$M$39:$N$54,2,FALSE)</f>
        <v>4.2567500000000003</v>
      </c>
      <c r="K73" s="14">
        <f t="shared" si="101"/>
        <v>39863.041052446111</v>
      </c>
      <c r="L73" s="506">
        <v>9804.74</v>
      </c>
      <c r="M73" s="53">
        <v>4.2752498697683077</v>
      </c>
      <c r="N73" s="507">
        <v>2293.3723872685264</v>
      </c>
      <c r="O73" s="506">
        <v>9804.74</v>
      </c>
      <c r="P73" s="53">
        <v>3.1965890823886927</v>
      </c>
      <c r="Q73" s="507">
        <v>3067.2506685386288</v>
      </c>
      <c r="R73" s="506">
        <v>6153.21</v>
      </c>
      <c r="S73" s="53">
        <v>3.6078577538932697</v>
      </c>
      <c r="T73" s="507">
        <v>1705.502383889725</v>
      </c>
      <c r="U73" s="506">
        <v>6153.21</v>
      </c>
      <c r="V73" s="53">
        <v>4.2592495171907769</v>
      </c>
      <c r="W73" s="507">
        <v>1444.67</v>
      </c>
      <c r="X73" s="506">
        <v>6153.21</v>
      </c>
      <c r="Y73" s="53">
        <v>4.2137481424668044</v>
      </c>
      <c r="Z73" s="507">
        <v>1460.27</v>
      </c>
      <c r="AA73" s="506">
        <v>6153.21</v>
      </c>
      <c r="AB73" s="53">
        <v>4.2142387507704955</v>
      </c>
      <c r="AC73" s="507">
        <v>1460.1</v>
      </c>
      <c r="AD73" s="506">
        <v>-18499.259999999998</v>
      </c>
      <c r="AE73" s="53">
        <v>4.1964992990431593</v>
      </c>
      <c r="AF73" s="507">
        <v>-4408.26</v>
      </c>
      <c r="AG73" s="506">
        <v>-18499.259999999998</v>
      </c>
      <c r="AH73" s="53">
        <v>4.1649990994236301</v>
      </c>
      <c r="AI73" s="507">
        <v>-4441.6000000000004</v>
      </c>
      <c r="AJ73" s="506">
        <v>191448.75</v>
      </c>
      <c r="AK73" s="53">
        <v>4.1680001306250407</v>
      </c>
      <c r="AL73" s="507">
        <v>45933</v>
      </c>
      <c r="AM73" s="506">
        <v>191448.75</v>
      </c>
      <c r="AN73" s="53">
        <v>4.1497498320689647</v>
      </c>
      <c r="AO73" s="507">
        <v>46135.009999999995</v>
      </c>
      <c r="AP73" s="506">
        <v>191448.75</v>
      </c>
      <c r="AQ73" s="53">
        <v>4.1780001160987501</v>
      </c>
      <c r="AR73" s="507">
        <v>45823.060000000005</v>
      </c>
      <c r="AS73" s="506">
        <v>191449</v>
      </c>
      <c r="AT73" s="53">
        <v>4.1702500000000002</v>
      </c>
      <c r="AU73" s="507">
        <v>45908.27888016306</v>
      </c>
      <c r="AV73" s="506">
        <v>191448.75</v>
      </c>
      <c r="AW73" s="53">
        <v>4.1987496438879992</v>
      </c>
      <c r="AX73" s="507">
        <v>45596.61</v>
      </c>
      <c r="AY73" s="506">
        <v>191448.75</v>
      </c>
      <c r="AZ73" s="53">
        <v>4.1804998552264561</v>
      </c>
      <c r="BA73" s="507">
        <v>45795.659999999996</v>
      </c>
      <c r="BB73" s="506">
        <v>191448.75</v>
      </c>
      <c r="BC73" s="53">
        <v>4.1837503343525624</v>
      </c>
      <c r="BD73" s="507">
        <v>45760.08</v>
      </c>
      <c r="BE73" s="506">
        <v>191448.75</v>
      </c>
      <c r="BF73" s="53">
        <v>4.1872503790858762</v>
      </c>
      <c r="BG73" s="507">
        <v>45721.83</v>
      </c>
      <c r="BH73" s="380">
        <f t="shared" si="51"/>
        <v>45717.646249665646</v>
      </c>
      <c r="BI73" s="506">
        <v>191448.75</v>
      </c>
      <c r="BJ73" s="53">
        <v>4.1772498657576511</v>
      </c>
      <c r="BK73" s="507">
        <v>45831.290000000008</v>
      </c>
      <c r="BL73" s="380">
        <f t="shared" si="52"/>
        <v>109.4600000000064</v>
      </c>
      <c r="BM73" s="506">
        <v>191233.59</v>
      </c>
      <c r="BN73" s="53">
        <v>4.1952499771846563</v>
      </c>
      <c r="BO73" s="507">
        <v>45583.360000000008</v>
      </c>
      <c r="BP73">
        <v>202.00999999999476</v>
      </c>
      <c r="BQ73" s="506">
        <v>191233.59</v>
      </c>
      <c r="BR73" s="53">
        <v>4.2557503737592732</v>
      </c>
      <c r="BS73" s="507">
        <v>44935.34</v>
      </c>
      <c r="BT73" s="380">
        <f t="shared" si="53"/>
        <v>-648.02000000001135</v>
      </c>
      <c r="BU73" s="506">
        <v>191233.59</v>
      </c>
      <c r="BV73" s="53">
        <v>4.2934996338144407</v>
      </c>
      <c r="BW73" s="507">
        <v>44540.26</v>
      </c>
      <c r="BX73" s="380">
        <f t="shared" si="54"/>
        <v>-395.07999999999447</v>
      </c>
      <c r="BY73" s="506">
        <v>191233.59</v>
      </c>
      <c r="BZ73" s="53">
        <v>4.2717497069272392</v>
      </c>
      <c r="CA73" s="507">
        <v>44767.040000000001</v>
      </c>
      <c r="CB73" s="380">
        <f t="shared" si="55"/>
        <v>226.77999999999884</v>
      </c>
      <c r="CC73" s="506">
        <v>191233.59</v>
      </c>
      <c r="CD73" s="53">
        <v>4.2947502531593544</v>
      </c>
      <c r="CE73" s="507">
        <v>44527.29</v>
      </c>
      <c r="CF73" s="380">
        <f t="shared" si="56"/>
        <v>-239.75</v>
      </c>
      <c r="CG73" s="506">
        <v>191233.59</v>
      </c>
      <c r="CH73" s="53">
        <v>4.2557503737592732</v>
      </c>
      <c r="CI73" s="507">
        <v>44935.34</v>
      </c>
      <c r="CJ73" s="380">
        <f t="shared" si="57"/>
        <v>408.04999999999563</v>
      </c>
      <c r="CK73" s="506">
        <v>191179.91</v>
      </c>
      <c r="CL73" s="53">
        <v>4.2942496829513397</v>
      </c>
      <c r="CM73" s="507">
        <v>44519.98</v>
      </c>
      <c r="CN73" s="380">
        <f t="shared" si="58"/>
        <v>-415.35999999999331</v>
      </c>
      <c r="CO73" s="506">
        <v>191179.91</v>
      </c>
      <c r="CP73" s="53">
        <v>4.2852498841157427</v>
      </c>
      <c r="CQ73" s="507">
        <v>44613.48</v>
      </c>
      <c r="CR73" s="380">
        <f t="shared" si="59"/>
        <v>93.5</v>
      </c>
      <c r="CS73" s="506">
        <v>191179.91</v>
      </c>
      <c r="CT73" s="53">
        <v>4.2824997373557228</v>
      </c>
      <c r="CU73" s="507">
        <v>44642.12999999999</v>
      </c>
      <c r="CV73" s="380">
        <f t="shared" si="60"/>
        <v>28.649999999986903</v>
      </c>
      <c r="CW73" s="506">
        <v>191179.91</v>
      </c>
      <c r="CX73" s="53">
        <v>4.2965002317027841</v>
      </c>
      <c r="CY73" s="507">
        <v>44496.66</v>
      </c>
      <c r="CZ73" s="380">
        <f t="shared" si="61"/>
        <v>-145.46999999998661</v>
      </c>
      <c r="DA73" s="506">
        <v>191179.91</v>
      </c>
      <c r="DB73" s="53">
        <v>4.2792501930005873</v>
      </c>
      <c r="DC73" s="507">
        <v>44676.029999999992</v>
      </c>
      <c r="DD73" s="380">
        <f t="shared" si="62"/>
        <v>179.36999999998807</v>
      </c>
      <c r="DE73" s="506">
        <v>191179.91</v>
      </c>
      <c r="DF73" s="53">
        <v>4.2747502071638213</v>
      </c>
      <c r="DG73" s="507">
        <v>44723.06</v>
      </c>
      <c r="DH73" s="380">
        <f t="shared" si="63"/>
        <v>47.030000000006112</v>
      </c>
      <c r="DI73" s="506">
        <v>191179.91</v>
      </c>
      <c r="DJ73" s="53">
        <v>4.280000313422077</v>
      </c>
      <c r="DK73" s="507">
        <v>44668.2</v>
      </c>
      <c r="DL73" s="380">
        <f t="shared" si="64"/>
        <v>-54.860000000000582</v>
      </c>
      <c r="DM73" s="506">
        <v>191179.91</v>
      </c>
      <c r="DN73" s="53">
        <v>4.2929999681134907</v>
      </c>
      <c r="DO73" s="507">
        <v>44532.94</v>
      </c>
      <c r="DP73" s="380">
        <f t="shared" si="65"/>
        <v>-135.25999999999476</v>
      </c>
      <c r="DQ73" s="506">
        <v>191179.91</v>
      </c>
      <c r="DR73" s="53">
        <v>4.2757502359513877</v>
      </c>
      <c r="DS73" s="507">
        <v>44712.6</v>
      </c>
      <c r="DT73" s="380">
        <f t="shared" si="66"/>
        <v>179.65999999999622</v>
      </c>
      <c r="DU73" s="506">
        <v>191179.91</v>
      </c>
      <c r="DV73" s="53">
        <v>4.2792501930005873</v>
      </c>
      <c r="DW73" s="507">
        <v>44676.029999999992</v>
      </c>
      <c r="DX73" s="380">
        <f t="shared" si="67"/>
        <v>-36.570000000006985</v>
      </c>
      <c r="DY73" s="506">
        <v>191180</v>
      </c>
      <c r="DZ73" s="53">
        <v>4.274</v>
      </c>
      <c r="EA73" s="507">
        <v>44730.931211979412</v>
      </c>
      <c r="EB73" s="380">
        <f t="shared" si="68"/>
        <v>54.901211979420623</v>
      </c>
      <c r="EC73" s="506">
        <v>191180</v>
      </c>
      <c r="ED73" s="53">
        <v>4.2774999999999999</v>
      </c>
      <c r="EE73" s="507">
        <v>44694.330800701347</v>
      </c>
      <c r="EF73" s="380">
        <f t="shared" si="69"/>
        <v>-36.600411278064712</v>
      </c>
      <c r="EG73" s="506">
        <v>191180</v>
      </c>
      <c r="EH73" s="53">
        <v>4.2752499999999998</v>
      </c>
      <c r="EI73" s="507">
        <v>44717.852757148707</v>
      </c>
      <c r="EJ73" s="380">
        <f t="shared" si="70"/>
        <v>23.521956447359116</v>
      </c>
      <c r="EK73" s="506">
        <v>191180</v>
      </c>
      <c r="EL73" s="53">
        <v>4.2774999999999999</v>
      </c>
      <c r="EM73" s="507">
        <v>44694.330800701347</v>
      </c>
      <c r="EN73" s="380">
        <f t="shared" si="71"/>
        <v>-23.521956447359116</v>
      </c>
      <c r="EO73" s="506">
        <v>191180</v>
      </c>
      <c r="EP73" s="53">
        <v>4.2707499999999996</v>
      </c>
      <c r="EQ73" s="507">
        <v>44764.971023824859</v>
      </c>
      <c r="ER73" s="380">
        <f t="shared" si="72"/>
        <v>70.640223123511532</v>
      </c>
      <c r="ES73" s="506">
        <v>191180</v>
      </c>
      <c r="ET73" s="53">
        <v>4.2389999999999999</v>
      </c>
      <c r="EU73" s="507">
        <v>45100.259495163955</v>
      </c>
      <c r="EV73" s="380">
        <f t="shared" si="73"/>
        <v>335.28847133909585</v>
      </c>
      <c r="EW73" s="506">
        <v>191180</v>
      </c>
      <c r="EX73" s="53">
        <v>4.2407500000000002</v>
      </c>
      <c r="EY73" s="507">
        <v>45081.648293344333</v>
      </c>
      <c r="EZ73" s="380">
        <f t="shared" si="74"/>
        <v>-18.611201819621783</v>
      </c>
      <c r="FA73" s="506">
        <v>191180</v>
      </c>
      <c r="FB73" s="53">
        <v>4.25</v>
      </c>
      <c r="FC73" s="507">
        <v>44983.529411764706</v>
      </c>
      <c r="FD73" s="380">
        <f t="shared" si="75"/>
        <v>-98.118881579626759</v>
      </c>
      <c r="FE73" s="506">
        <v>191180</v>
      </c>
      <c r="FF73" s="53">
        <v>4.2417499999999997</v>
      </c>
      <c r="FG73" s="507">
        <v>45071.020215712859</v>
      </c>
      <c r="FH73" s="380">
        <f t="shared" si="76"/>
        <v>87.490803948152461</v>
      </c>
      <c r="FI73" s="506">
        <v>191180</v>
      </c>
      <c r="FJ73" s="53">
        <v>4.2530000000000001</v>
      </c>
      <c r="FK73" s="507">
        <v>44951.798730308015</v>
      </c>
      <c r="FL73" s="380">
        <f t="shared" si="77"/>
        <v>-119.22148540484341</v>
      </c>
      <c r="FM73" s="506">
        <v>191180</v>
      </c>
      <c r="FN73" s="53">
        <v>4.2682500000000001</v>
      </c>
      <c r="FO73" s="507">
        <v>44791.190769050547</v>
      </c>
      <c r="FP73" s="380">
        <f t="shared" si="78"/>
        <v>-160.60796125746856</v>
      </c>
      <c r="FQ73" s="506">
        <v>191180</v>
      </c>
      <c r="FR73" s="53">
        <v>4.2474999999999996</v>
      </c>
      <c r="FS73" s="507">
        <v>45010.00588581519</v>
      </c>
      <c r="FT73" s="380">
        <f t="shared" si="79"/>
        <v>218.81511676464288</v>
      </c>
      <c r="FU73" s="506">
        <v>191180</v>
      </c>
      <c r="FV73" s="53">
        <v>4.2437500000000004</v>
      </c>
      <c r="FW73" s="507">
        <v>45049.779086892486</v>
      </c>
      <c r="FX73" s="380">
        <f t="shared" si="80"/>
        <v>39.773201077296108</v>
      </c>
      <c r="FY73" s="506">
        <v>191180</v>
      </c>
      <c r="FZ73" s="53">
        <v>4.2612500000000004</v>
      </c>
      <c r="GA73" s="507">
        <v>44864.769727192717</v>
      </c>
      <c r="GB73" s="380">
        <f t="shared" si="81"/>
        <v>-185.00935969976854</v>
      </c>
      <c r="GC73" s="506">
        <v>191180</v>
      </c>
      <c r="GD73" s="53">
        <v>4.2467499999999996</v>
      </c>
      <c r="GE73" s="507">
        <v>45017.954906693361</v>
      </c>
      <c r="GF73" s="380">
        <f t="shared" si="82"/>
        <v>153.18517950064415</v>
      </c>
      <c r="GG73" s="506">
        <v>191180</v>
      </c>
      <c r="GH73" s="53">
        <v>4.2480000000000002</v>
      </c>
      <c r="GI73" s="507">
        <v>45004.708097928436</v>
      </c>
      <c r="GJ73" s="380">
        <f t="shared" si="83"/>
        <v>-13.246808764924936</v>
      </c>
      <c r="GK73" s="506">
        <v>191180</v>
      </c>
      <c r="GL73" s="53">
        <v>4.2424999999999997</v>
      </c>
      <c r="GM73" s="507">
        <v>45063.052445492045</v>
      </c>
      <c r="GN73" s="380">
        <f t="shared" si="84"/>
        <v>58.344347563608608</v>
      </c>
      <c r="GO73" s="506">
        <v>191180</v>
      </c>
      <c r="GP73" s="53">
        <v>4.2357500000000003</v>
      </c>
      <c r="GQ73" s="507">
        <v>45134.863955615881</v>
      </c>
      <c r="GR73" s="380">
        <f t="shared" si="85"/>
        <v>71.811510123836342</v>
      </c>
      <c r="GS73" s="506">
        <v>191180</v>
      </c>
      <c r="GT73" s="53">
        <v>4.2482499999999996</v>
      </c>
      <c r="GU73" s="507">
        <v>45002.059671629497</v>
      </c>
      <c r="GV73" s="380">
        <f t="shared" si="86"/>
        <v>-132.80428398638469</v>
      </c>
      <c r="GW73" s="506">
        <v>191180</v>
      </c>
      <c r="GX73" s="53">
        <v>4.2595000000000001</v>
      </c>
      <c r="GY73" s="507">
        <v>44883.202253785654</v>
      </c>
      <c r="GZ73" s="380">
        <f t="shared" si="87"/>
        <v>-118.857417843843</v>
      </c>
      <c r="HA73" s="506">
        <v>169687</v>
      </c>
      <c r="HB73" s="53">
        <v>4.2759999999999998</v>
      </c>
      <c r="HC73" s="507">
        <v>39683.582787652012</v>
      </c>
      <c r="HD73" s="380">
        <f t="shared" si="88"/>
        <v>-5199.6194661336413</v>
      </c>
      <c r="HE73" s="506">
        <v>169687</v>
      </c>
      <c r="HF73" s="53">
        <v>4.2822500000000003</v>
      </c>
      <c r="HG73" s="507">
        <v>39625.664078463422</v>
      </c>
      <c r="HH73" s="380">
        <f t="shared" si="89"/>
        <v>-57.918709188590583</v>
      </c>
      <c r="HI73" s="506">
        <v>169687</v>
      </c>
      <c r="HJ73" s="53">
        <v>4.2850000000000001</v>
      </c>
      <c r="HK73" s="507">
        <v>39600.2333722287</v>
      </c>
      <c r="HL73" s="380">
        <f t="shared" si="90"/>
        <v>-25.430706234721583</v>
      </c>
      <c r="HM73" s="506">
        <v>169687</v>
      </c>
      <c r="HN73" s="53">
        <v>4.2880000000000003</v>
      </c>
      <c r="HO73" s="507">
        <v>39572.527985074623</v>
      </c>
      <c r="HP73" s="380">
        <f t="shared" si="91"/>
        <v>-27.705387154077471</v>
      </c>
      <c r="HQ73" s="506">
        <v>169687</v>
      </c>
      <c r="HR73" s="53">
        <v>4.2532500000000004</v>
      </c>
      <c r="HS73" s="507">
        <v>39895.844354317283</v>
      </c>
      <c r="HT73" s="380">
        <f t="shared" si="92"/>
        <v>323.31636924266058</v>
      </c>
      <c r="HU73" s="506">
        <v>169687</v>
      </c>
      <c r="HV73" s="53">
        <v>4.2614999999999998</v>
      </c>
      <c r="HW73" s="507">
        <v>39818.608471195592</v>
      </c>
      <c r="HX73" s="380">
        <f t="shared" si="93"/>
        <v>-77.235883121691586</v>
      </c>
      <c r="HY73" s="506">
        <v>169687</v>
      </c>
      <c r="HZ73" s="53">
        <v>4.2742500000000003</v>
      </c>
      <c r="IA73" s="507">
        <v>39699.830379598759</v>
      </c>
      <c r="IB73" s="380">
        <f t="shared" si="94"/>
        <v>-118.77809159683238</v>
      </c>
      <c r="IC73" s="506">
        <v>169687</v>
      </c>
      <c r="ID73" s="53">
        <v>4.2742500000000003</v>
      </c>
      <c r="IE73" s="507">
        <v>39699.830379598759</v>
      </c>
      <c r="IF73" s="380">
        <f t="shared" si="95"/>
        <v>0</v>
      </c>
      <c r="IG73" s="506">
        <v>169687</v>
      </c>
      <c r="IH73" s="53">
        <v>4.2742500000000003</v>
      </c>
      <c r="II73" s="507">
        <v>39699.830379598759</v>
      </c>
      <c r="IJ73" s="380">
        <f t="shared" si="96"/>
        <v>0</v>
      </c>
      <c r="IK73" s="506">
        <v>169687</v>
      </c>
      <c r="IL73" s="53">
        <v>4.2742500000000003</v>
      </c>
      <c r="IM73" s="507">
        <v>39699.830379598759</v>
      </c>
      <c r="IN73" s="380">
        <f t="shared" si="97"/>
        <v>0</v>
      </c>
      <c r="IO73" s="506">
        <v>169687</v>
      </c>
      <c r="IP73" s="53">
        <v>4.2742500000000003</v>
      </c>
      <c r="IQ73" s="507">
        <v>39699.830379598759</v>
      </c>
      <c r="IR73" s="380">
        <f t="shared" si="98"/>
        <v>0</v>
      </c>
      <c r="IS73" s="506">
        <v>169687</v>
      </c>
      <c r="IT73" s="53">
        <v>4.2742500000000003</v>
      </c>
      <c r="IU73" s="507">
        <v>39699.830379598759</v>
      </c>
      <c r="IV73" s="380">
        <f t="shared" si="99"/>
        <v>0</v>
      </c>
      <c r="IW73" s="506">
        <v>169687</v>
      </c>
      <c r="IX73" s="53">
        <v>4.2567500000000003</v>
      </c>
      <c r="IY73" s="507">
        <v>39863.041052446111</v>
      </c>
      <c r="IZ73" s="380">
        <f t="shared" si="100"/>
        <v>163.21067284735182</v>
      </c>
    </row>
    <row r="74" spans="1:260">
      <c r="A74" s="13" t="s">
        <v>548</v>
      </c>
      <c r="B74" s="13" t="s">
        <v>549</v>
      </c>
      <c r="C74" s="13" t="s">
        <v>38</v>
      </c>
      <c r="D74" s="13" t="s">
        <v>336</v>
      </c>
      <c r="E74" s="13" t="s">
        <v>19</v>
      </c>
      <c r="F74" s="13">
        <v>20118961</v>
      </c>
      <c r="G74" s="13" t="s">
        <v>105</v>
      </c>
      <c r="H74" s="49" t="s">
        <v>508</v>
      </c>
      <c r="I74" s="14">
        <f>+'IBP export - Colar'!K29</f>
        <v>123856</v>
      </c>
      <c r="J74" s="14">
        <f>+VLOOKUP(E74,'Summary - Colar'!$M$39:$N$54,2,FALSE)</f>
        <v>11.709999</v>
      </c>
      <c r="K74" s="14">
        <f t="shared" si="101"/>
        <v>10576.943687185627</v>
      </c>
      <c r="L74" s="506">
        <v>171132.24</v>
      </c>
      <c r="M74" s="53">
        <v>11.785999410466696</v>
      </c>
      <c r="N74" s="507">
        <v>14519.96</v>
      </c>
      <c r="O74" s="506">
        <v>171132.24</v>
      </c>
      <c r="P74" s="53">
        <v>11.703550411188427</v>
      </c>
      <c r="Q74" s="507">
        <v>14622.250000000002</v>
      </c>
      <c r="R74" s="506">
        <v>170778.66</v>
      </c>
      <c r="S74" s="53">
        <v>11.743499009792057</v>
      </c>
      <c r="T74" s="507">
        <v>14542.4</v>
      </c>
      <c r="U74" s="506">
        <v>170778.66</v>
      </c>
      <c r="V74" s="53">
        <v>11.747497669811418</v>
      </c>
      <c r="W74" s="507">
        <v>14537.45</v>
      </c>
      <c r="X74" s="506">
        <v>170778.66</v>
      </c>
      <c r="Y74" s="53">
        <v>11.749502062955756</v>
      </c>
      <c r="Z74" s="507">
        <v>14534.969999999998</v>
      </c>
      <c r="AA74" s="506">
        <v>170778.66</v>
      </c>
      <c r="AB74" s="53">
        <v>11.733002368191622</v>
      </c>
      <c r="AC74" s="507">
        <v>14555.409999999998</v>
      </c>
      <c r="AD74" s="506">
        <v>170778.66</v>
      </c>
      <c r="AE74" s="53">
        <v>11.627499067232772</v>
      </c>
      <c r="AF74" s="507">
        <v>14687.48</v>
      </c>
      <c r="AG74" s="506">
        <v>170778.66</v>
      </c>
      <c r="AH74" s="53">
        <v>11.643996899091613</v>
      </c>
      <c r="AI74" s="507">
        <v>14666.670000000002</v>
      </c>
      <c r="AJ74" s="506">
        <v>170778.66</v>
      </c>
      <c r="AK74" s="53">
        <v>11.62049709008984</v>
      </c>
      <c r="AL74" s="507">
        <v>14696.329999999998</v>
      </c>
      <c r="AM74" s="506">
        <v>170778.66</v>
      </c>
      <c r="AN74" s="53">
        <v>11.726500808872606</v>
      </c>
      <c r="AO74" s="507">
        <v>14563.48</v>
      </c>
      <c r="AP74" s="506">
        <v>170778.66</v>
      </c>
      <c r="AQ74" s="53">
        <v>11.756749444616933</v>
      </c>
      <c r="AR74" s="507">
        <v>14526.01</v>
      </c>
      <c r="AS74" s="506">
        <v>170779</v>
      </c>
      <c r="AT74" s="53">
        <v>11.610503</v>
      </c>
      <c r="AU74" s="507">
        <v>14709.009592435401</v>
      </c>
      <c r="AV74" s="506">
        <v>170778.66</v>
      </c>
      <c r="AW74" s="53">
        <v>11.392497223232125</v>
      </c>
      <c r="AX74" s="507">
        <v>14990.449999999999</v>
      </c>
      <c r="AY74" s="506">
        <v>170778.66</v>
      </c>
      <c r="AZ74" s="53">
        <v>11.295049266589858</v>
      </c>
      <c r="BA74" s="507">
        <v>15119.779999999999</v>
      </c>
      <c r="BB74" s="506">
        <v>170778.66</v>
      </c>
      <c r="BC74" s="53">
        <v>11.408997532863422</v>
      </c>
      <c r="BD74" s="507">
        <v>14968.77</v>
      </c>
      <c r="BE74" s="506">
        <v>170778.66</v>
      </c>
      <c r="BF74" s="53">
        <v>11.317002475075295</v>
      </c>
      <c r="BG74" s="507">
        <v>15090.45</v>
      </c>
      <c r="BH74" s="380">
        <f t="shared" si="51"/>
        <v>15079.041002467136</v>
      </c>
      <c r="BI74" s="506">
        <v>170778.66</v>
      </c>
      <c r="BJ74" s="53">
        <v>11.267000584532196</v>
      </c>
      <c r="BK74" s="507">
        <v>15157.42</v>
      </c>
      <c r="BL74" s="380">
        <f t="shared" si="52"/>
        <v>66.969999999999345</v>
      </c>
      <c r="BM74" s="506">
        <v>170439.15</v>
      </c>
      <c r="BN74" s="53">
        <v>11.417497717359922</v>
      </c>
      <c r="BO74" s="507">
        <v>14927.89</v>
      </c>
      <c r="BP74">
        <v>-132.84999999999854</v>
      </c>
      <c r="BQ74" s="506">
        <v>170439.15</v>
      </c>
      <c r="BR74" s="53">
        <v>11.696498238722574</v>
      </c>
      <c r="BS74" s="507">
        <v>14571.81</v>
      </c>
      <c r="BT74" s="380">
        <f t="shared" si="53"/>
        <v>-356.07999999999993</v>
      </c>
      <c r="BU74" s="506">
        <v>170439.15</v>
      </c>
      <c r="BV74" s="53">
        <v>11.945000441527094</v>
      </c>
      <c r="BW74" s="507">
        <v>14268.66</v>
      </c>
      <c r="BX74" s="380">
        <f t="shared" si="54"/>
        <v>-303.14999999999964</v>
      </c>
      <c r="BY74" s="506">
        <v>170439.15</v>
      </c>
      <c r="BZ74" s="53">
        <v>11.953000572967035</v>
      </c>
      <c r="CA74" s="507">
        <v>14259.11</v>
      </c>
      <c r="CB74" s="380">
        <f t="shared" si="55"/>
        <v>-9.5499999999992724</v>
      </c>
      <c r="CC74" s="506">
        <v>170439.15</v>
      </c>
      <c r="CD74" s="53">
        <v>12.138995899756635</v>
      </c>
      <c r="CE74" s="507">
        <v>14040.63</v>
      </c>
      <c r="CF74" s="380">
        <f t="shared" si="56"/>
        <v>-218.48000000000138</v>
      </c>
      <c r="CG74" s="506">
        <v>170439.15</v>
      </c>
      <c r="CH74" s="53">
        <v>11.969747513196003</v>
      </c>
      <c r="CI74" s="507">
        <v>14239.16</v>
      </c>
      <c r="CJ74" s="380">
        <f t="shared" si="57"/>
        <v>198.53000000000065</v>
      </c>
      <c r="CK74" s="506">
        <v>170439.15</v>
      </c>
      <c r="CL74" s="53">
        <v>12.073497534852091</v>
      </c>
      <c r="CM74" s="507">
        <v>14116.8</v>
      </c>
      <c r="CN74" s="380">
        <f t="shared" si="58"/>
        <v>-122.36000000000058</v>
      </c>
      <c r="CO74" s="506">
        <v>170439.15</v>
      </c>
      <c r="CP74" s="53">
        <v>12.007247076195393</v>
      </c>
      <c r="CQ74" s="507">
        <v>14194.69</v>
      </c>
      <c r="CR74" s="380">
        <f t="shared" si="59"/>
        <v>77.890000000001237</v>
      </c>
      <c r="CS74" s="506">
        <v>170439.15</v>
      </c>
      <c r="CT74" s="53">
        <v>11.980500309987502</v>
      </c>
      <c r="CU74" s="507">
        <v>14226.38</v>
      </c>
      <c r="CV74" s="380">
        <f t="shared" si="60"/>
        <v>31.68999999999869</v>
      </c>
      <c r="CW74" s="506">
        <v>170439.15</v>
      </c>
      <c r="CX74" s="53">
        <v>12.08250155250002</v>
      </c>
      <c r="CY74" s="507">
        <v>14106.28</v>
      </c>
      <c r="CZ74" s="380">
        <f t="shared" si="61"/>
        <v>-120.09999999999854</v>
      </c>
      <c r="DA74" s="506">
        <v>170439.15</v>
      </c>
      <c r="DB74" s="53">
        <v>11.912498890449054</v>
      </c>
      <c r="DC74" s="507">
        <v>14307.59</v>
      </c>
      <c r="DD74" s="380">
        <f t="shared" si="62"/>
        <v>201.30999999999949</v>
      </c>
      <c r="DE74" s="506">
        <v>170439.15</v>
      </c>
      <c r="DF74" s="53">
        <v>11.997501798507978</v>
      </c>
      <c r="DG74" s="507">
        <v>14206.22</v>
      </c>
      <c r="DH74" s="380">
        <f t="shared" si="63"/>
        <v>-101.3700000000008</v>
      </c>
      <c r="DI74" s="506">
        <v>170439.15</v>
      </c>
      <c r="DJ74" s="53">
        <v>11.888999411964532</v>
      </c>
      <c r="DK74" s="507">
        <v>14335.87</v>
      </c>
      <c r="DL74" s="380">
        <f t="shared" si="64"/>
        <v>129.65000000000146</v>
      </c>
      <c r="DM74" s="506">
        <v>170439.15</v>
      </c>
      <c r="DN74" s="53">
        <v>11.873999406436402</v>
      </c>
      <c r="DO74" s="507">
        <v>14353.98</v>
      </c>
      <c r="DP74" s="380">
        <f t="shared" si="65"/>
        <v>18.109999999998763</v>
      </c>
      <c r="DQ74" s="506">
        <v>170439.15</v>
      </c>
      <c r="DR74" s="53">
        <v>11.869500996558356</v>
      </c>
      <c r="DS74" s="507">
        <v>14359.42</v>
      </c>
      <c r="DT74" s="380">
        <f t="shared" si="66"/>
        <v>5.4400000000005093</v>
      </c>
      <c r="DU74" s="506">
        <v>170439.15</v>
      </c>
      <c r="DV74" s="53">
        <v>11.801499914140267</v>
      </c>
      <c r="DW74" s="507">
        <v>14442.16</v>
      </c>
      <c r="DX74" s="380">
        <f t="shared" si="67"/>
        <v>82.739999999999782</v>
      </c>
      <c r="DY74" s="506">
        <v>170439</v>
      </c>
      <c r="DZ74" s="53">
        <v>11.762504</v>
      </c>
      <c r="EA74" s="507">
        <v>14490.026953444607</v>
      </c>
      <c r="EB74" s="380">
        <f t="shared" si="68"/>
        <v>47.866953444607134</v>
      </c>
      <c r="EC74" s="506">
        <v>170439</v>
      </c>
      <c r="ED74" s="53">
        <v>11.773001000000001</v>
      </c>
      <c r="EE74" s="507">
        <v>14477.107408722721</v>
      </c>
      <c r="EF74" s="380">
        <f t="shared" si="69"/>
        <v>-12.919544721886268</v>
      </c>
      <c r="EG74" s="506">
        <v>170439</v>
      </c>
      <c r="EH74" s="53">
        <v>11.708503</v>
      </c>
      <c r="EI74" s="507">
        <v>14556.856670746038</v>
      </c>
      <c r="EJ74" s="380">
        <f t="shared" si="70"/>
        <v>79.749262023316987</v>
      </c>
      <c r="EK74" s="506">
        <v>170439</v>
      </c>
      <c r="EL74" s="53">
        <v>11.664</v>
      </c>
      <c r="EM74" s="507">
        <v>14612.397119341564</v>
      </c>
      <c r="EN74" s="380">
        <f t="shared" si="71"/>
        <v>55.540448595525959</v>
      </c>
      <c r="EO74" s="506">
        <v>170439</v>
      </c>
      <c r="EP74" s="53">
        <v>11.691001999999999</v>
      </c>
      <c r="EQ74" s="507">
        <v>14578.647749782269</v>
      </c>
      <c r="ER74" s="380">
        <f t="shared" si="72"/>
        <v>-33.749369559294792</v>
      </c>
      <c r="ES74" s="506">
        <v>170439</v>
      </c>
      <c r="ET74" s="53">
        <v>11.669549999999999</v>
      </c>
      <c r="EU74" s="507">
        <v>14605.447510829468</v>
      </c>
      <c r="EV74" s="380">
        <f t="shared" si="73"/>
        <v>26.799761047199354</v>
      </c>
      <c r="EW74" s="506">
        <v>170439</v>
      </c>
      <c r="EX74" s="53">
        <v>11.581996</v>
      </c>
      <c r="EY74" s="507">
        <v>14715.857266744006</v>
      </c>
      <c r="EZ74" s="380">
        <f t="shared" si="74"/>
        <v>110.40975591453753</v>
      </c>
      <c r="FA74" s="506">
        <v>170439</v>
      </c>
      <c r="FB74" s="53">
        <v>11.556098</v>
      </c>
      <c r="FC74" s="507">
        <v>14748.836501732678</v>
      </c>
      <c r="FD74" s="380">
        <f t="shared" si="75"/>
        <v>32.979234988672033</v>
      </c>
      <c r="FE74" s="506">
        <v>170439</v>
      </c>
      <c r="FF74" s="53">
        <v>11.556803</v>
      </c>
      <c r="FG74" s="507">
        <v>14747.936778017242</v>
      </c>
      <c r="FH74" s="380">
        <f t="shared" si="76"/>
        <v>-0.8997237154362665</v>
      </c>
      <c r="FI74" s="506">
        <v>170439</v>
      </c>
      <c r="FJ74" s="53">
        <v>11.626453</v>
      </c>
      <c r="FK74" s="507">
        <v>14659.587064085668</v>
      </c>
      <c r="FL74" s="380">
        <f t="shared" si="77"/>
        <v>-88.349713931573206</v>
      </c>
      <c r="FM74" s="506">
        <v>170439</v>
      </c>
      <c r="FN74" s="53">
        <v>11.591504</v>
      </c>
      <c r="FO74" s="507">
        <v>14703.78649742087</v>
      </c>
      <c r="FP74" s="380">
        <f t="shared" si="78"/>
        <v>44.19943333520132</v>
      </c>
      <c r="FQ74" s="506">
        <v>170439</v>
      </c>
      <c r="FR74" s="53">
        <v>11.586499999999999</v>
      </c>
      <c r="FS74" s="507">
        <v>14710.136797134597</v>
      </c>
      <c r="FT74" s="380">
        <f t="shared" si="79"/>
        <v>6.3502997137275088</v>
      </c>
      <c r="FU74" s="506">
        <v>170439</v>
      </c>
      <c r="FV74" s="53">
        <v>11.493002000000001</v>
      </c>
      <c r="FW74" s="507">
        <v>14829.806868562277</v>
      </c>
      <c r="FX74" s="380">
        <f t="shared" si="80"/>
        <v>119.67007142767943</v>
      </c>
      <c r="FY74" s="506">
        <v>170439</v>
      </c>
      <c r="FZ74" s="53">
        <v>11.503</v>
      </c>
      <c r="GA74" s="507">
        <v>14816.917325914979</v>
      </c>
      <c r="GB74" s="380">
        <f t="shared" si="81"/>
        <v>-12.889542647297276</v>
      </c>
      <c r="GC74" s="506">
        <v>170439</v>
      </c>
      <c r="GD74" s="53">
        <v>11.478999</v>
      </c>
      <c r="GE74" s="507">
        <v>14847.897451685465</v>
      </c>
      <c r="GF74" s="380">
        <f t="shared" si="82"/>
        <v>30.980125770485756</v>
      </c>
      <c r="GG74" s="506">
        <v>170439</v>
      </c>
      <c r="GH74" s="53">
        <v>11.500299</v>
      </c>
      <c r="GI74" s="507">
        <v>14820.397278366414</v>
      </c>
      <c r="GJ74" s="380">
        <f t="shared" si="83"/>
        <v>-27.5001733190511</v>
      </c>
      <c r="GK74" s="506">
        <v>170439</v>
      </c>
      <c r="GL74" s="53">
        <v>11.497498999999999</v>
      </c>
      <c r="GM74" s="507">
        <v>14824.006507850099</v>
      </c>
      <c r="GN74" s="380">
        <f t="shared" si="84"/>
        <v>3.6092294836853398</v>
      </c>
      <c r="GO74" s="506">
        <v>170439</v>
      </c>
      <c r="GP74" s="53">
        <v>11.486503000000001</v>
      </c>
      <c r="GQ74" s="507">
        <v>14838.197491438428</v>
      </c>
      <c r="GR74" s="380">
        <f t="shared" si="85"/>
        <v>14.190983588328891</v>
      </c>
      <c r="GS74" s="506">
        <v>170439</v>
      </c>
      <c r="GT74" s="53">
        <v>11.520502</v>
      </c>
      <c r="GU74" s="507">
        <v>14794.407396483242</v>
      </c>
      <c r="GV74" s="380">
        <f t="shared" si="86"/>
        <v>-43.79009495518585</v>
      </c>
      <c r="GW74" s="506">
        <v>170439</v>
      </c>
      <c r="GX74" s="53">
        <v>11.514502</v>
      </c>
      <c r="GY74" s="507">
        <v>14802.116496223631</v>
      </c>
      <c r="GZ74" s="380">
        <f t="shared" si="87"/>
        <v>7.7090997403884103</v>
      </c>
      <c r="HA74" s="506">
        <v>170439</v>
      </c>
      <c r="HB74" s="53">
        <v>11.531499999999999</v>
      </c>
      <c r="HC74" s="507">
        <v>14780.297446125831</v>
      </c>
      <c r="HD74" s="380">
        <f t="shared" si="88"/>
        <v>-21.819050097799845</v>
      </c>
      <c r="HE74" s="506">
        <v>170439</v>
      </c>
      <c r="HF74" s="53">
        <v>11.508001999999999</v>
      </c>
      <c r="HG74" s="507">
        <v>14810.477092374507</v>
      </c>
      <c r="HH74" s="380">
        <f t="shared" si="89"/>
        <v>30.179646248676363</v>
      </c>
      <c r="HI74" s="506">
        <v>170439</v>
      </c>
      <c r="HJ74" s="53">
        <v>11.519996000000001</v>
      </c>
      <c r="HK74" s="507">
        <v>14795.057220505978</v>
      </c>
      <c r="HL74" s="380">
        <f t="shared" si="90"/>
        <v>-15.419871868529299</v>
      </c>
      <c r="HM74" s="506">
        <v>170439</v>
      </c>
      <c r="HN74" s="53">
        <v>11.524997000000001</v>
      </c>
      <c r="HO74" s="507">
        <v>14788.637255176725</v>
      </c>
      <c r="HP74" s="380">
        <f t="shared" si="91"/>
        <v>-6.4199653292525909</v>
      </c>
      <c r="HQ74" s="506">
        <v>170439</v>
      </c>
      <c r="HR74" s="53">
        <v>11.505749</v>
      </c>
      <c r="HS74" s="507">
        <v>14813.377208211305</v>
      </c>
      <c r="HT74" s="380">
        <f t="shared" si="92"/>
        <v>24.73995303457923</v>
      </c>
      <c r="HU74" s="506">
        <v>170439</v>
      </c>
      <c r="HV74" s="53">
        <v>11.562754</v>
      </c>
      <c r="HW74" s="507">
        <v>14740.346460713425</v>
      </c>
      <c r="HX74" s="380">
        <f t="shared" si="93"/>
        <v>-73.030747497879929</v>
      </c>
      <c r="HY74" s="506">
        <v>170439</v>
      </c>
      <c r="HZ74" s="53">
        <v>11.441503000000001</v>
      </c>
      <c r="IA74" s="507">
        <v>14896.556859706281</v>
      </c>
      <c r="IB74" s="380">
        <f t="shared" si="94"/>
        <v>156.21039899285643</v>
      </c>
      <c r="IC74" s="506">
        <v>123856</v>
      </c>
      <c r="ID74" s="53">
        <v>11.4415</v>
      </c>
      <c r="IE74" s="507">
        <v>10825.154044487173</v>
      </c>
      <c r="IF74" s="380">
        <f t="shared" si="95"/>
        <v>-4071.4028152191077</v>
      </c>
      <c r="IG74" s="506">
        <v>123856</v>
      </c>
      <c r="IH74" s="53">
        <v>11.4415</v>
      </c>
      <c r="II74" s="507">
        <v>10825.154044487173</v>
      </c>
      <c r="IJ74" s="380">
        <f t="shared" si="96"/>
        <v>0</v>
      </c>
      <c r="IK74" s="506">
        <v>123856</v>
      </c>
      <c r="IL74" s="53">
        <v>11.4415</v>
      </c>
      <c r="IM74" s="507">
        <v>10825.154044487173</v>
      </c>
      <c r="IN74" s="380">
        <f t="shared" si="97"/>
        <v>0</v>
      </c>
      <c r="IO74" s="506">
        <v>123856</v>
      </c>
      <c r="IP74" s="53">
        <v>11.4415</v>
      </c>
      <c r="IQ74" s="507">
        <v>10825.154044487173</v>
      </c>
      <c r="IR74" s="380">
        <f t="shared" si="98"/>
        <v>0</v>
      </c>
      <c r="IS74" s="506">
        <v>123856</v>
      </c>
      <c r="IT74" s="53">
        <v>11.4415</v>
      </c>
      <c r="IU74" s="507">
        <v>10825.154044487173</v>
      </c>
      <c r="IV74" s="380">
        <f t="shared" si="99"/>
        <v>0</v>
      </c>
      <c r="IW74" s="506">
        <v>123856</v>
      </c>
      <c r="IX74" s="53">
        <v>11.709999</v>
      </c>
      <c r="IY74" s="507">
        <v>10576.943687185627</v>
      </c>
      <c r="IZ74" s="380">
        <f t="shared" si="100"/>
        <v>-248.21035730154654</v>
      </c>
    </row>
    <row r="75" spans="1:260">
      <c r="A75" s="13" t="s">
        <v>548</v>
      </c>
      <c r="B75" s="13" t="s">
        <v>549</v>
      </c>
      <c r="C75" s="13" t="s">
        <v>38</v>
      </c>
      <c r="D75" s="13" t="s">
        <v>336</v>
      </c>
      <c r="E75" s="13" t="s">
        <v>4</v>
      </c>
      <c r="F75" s="13">
        <v>20114079</v>
      </c>
      <c r="G75" s="13" t="s">
        <v>53</v>
      </c>
      <c r="H75" s="49" t="s">
        <v>508</v>
      </c>
      <c r="I75" s="14">
        <f>+'IBP export - Colar'!B9</f>
        <v>4286964</v>
      </c>
      <c r="J75" s="14">
        <f>+VLOOKUP(E75,'Summary - Colar'!$M$39:$N$54,2,FALSE)</f>
        <v>0.8528</v>
      </c>
      <c r="K75" s="14">
        <f t="shared" si="101"/>
        <v>5026927.7673545964</v>
      </c>
      <c r="L75" s="506">
        <v>827257.91</v>
      </c>
      <c r="M75" s="53">
        <v>0.82944999704118039</v>
      </c>
      <c r="N75" s="507">
        <v>997357.18</v>
      </c>
      <c r="O75" s="506">
        <v>1557644.81</v>
      </c>
      <c r="P75" s="53">
        <v>0.82985000194803504</v>
      </c>
      <c r="Q75" s="507">
        <v>1877019.71</v>
      </c>
      <c r="R75" s="506">
        <v>1804713.08</v>
      </c>
      <c r="S75" s="53">
        <v>0.83675000142339673</v>
      </c>
      <c r="T75" s="507">
        <v>2156812.7599999998</v>
      </c>
      <c r="U75" s="506">
        <v>2421908.27</v>
      </c>
      <c r="V75" s="53">
        <v>0.84450000060846753</v>
      </c>
      <c r="W75" s="507">
        <v>2867860.59</v>
      </c>
      <c r="X75" s="506">
        <v>4931587.5599999996</v>
      </c>
      <c r="Y75" s="53">
        <v>0.84404999960386917</v>
      </c>
      <c r="Z75" s="507">
        <v>5842767.0899999999</v>
      </c>
      <c r="AA75" s="506">
        <v>1897524.4</v>
      </c>
      <c r="AB75" s="53">
        <v>0.83594999940504033</v>
      </c>
      <c r="AC75" s="507">
        <v>2269901.79</v>
      </c>
      <c r="AD75" s="506">
        <v>1736332.58</v>
      </c>
      <c r="AE75" s="53">
        <v>0.83355000042005567</v>
      </c>
      <c r="AF75" s="507">
        <v>2083057.5</v>
      </c>
      <c r="AG75" s="506">
        <v>3349611.17</v>
      </c>
      <c r="AH75" s="53">
        <v>0.83210000018059904</v>
      </c>
      <c r="AI75" s="507">
        <v>4025491.13</v>
      </c>
      <c r="AJ75" s="506">
        <v>4229817.2</v>
      </c>
      <c r="AK75" s="53">
        <v>0.82765000030319136</v>
      </c>
      <c r="AL75" s="507">
        <v>5110635.17</v>
      </c>
      <c r="AM75" s="506">
        <v>1294462.32</v>
      </c>
      <c r="AN75" s="53">
        <v>0.82594999743944864</v>
      </c>
      <c r="AO75" s="507">
        <v>1567240.54</v>
      </c>
      <c r="AP75" s="506">
        <v>3553867.42</v>
      </c>
      <c r="AQ75" s="53">
        <v>0.84075000044594062</v>
      </c>
      <c r="AR75" s="507">
        <v>4227020.42</v>
      </c>
      <c r="AS75" s="506">
        <v>6890097</v>
      </c>
      <c r="AT75" s="53">
        <v>0.84175</v>
      </c>
      <c r="AU75" s="507">
        <v>8185443.4214434214</v>
      </c>
      <c r="AV75" s="506">
        <v>8489988.3800000008</v>
      </c>
      <c r="AW75" s="53">
        <v>0.83715000023255848</v>
      </c>
      <c r="AX75" s="507">
        <v>10141537.810000001</v>
      </c>
      <c r="AY75" s="506">
        <v>8062418.1900000004</v>
      </c>
      <c r="AZ75" s="53">
        <v>0.83345000011593484</v>
      </c>
      <c r="BA75" s="507">
        <v>9673547.5299999993</v>
      </c>
      <c r="BB75" s="506">
        <v>7151269.6100000003</v>
      </c>
      <c r="BC75" s="53">
        <v>0.8352999999595857</v>
      </c>
      <c r="BD75" s="507">
        <v>8561318.8200000003</v>
      </c>
      <c r="BE75" s="506">
        <v>6544253.3700000001</v>
      </c>
      <c r="BF75" s="53">
        <v>0.83619999978584703</v>
      </c>
      <c r="BG75" s="507">
        <v>7826181.9800000004</v>
      </c>
      <c r="BH75" s="380">
        <f t="shared" si="51"/>
        <v>7826181.1447000001</v>
      </c>
      <c r="BI75" s="506">
        <v>4743285.84</v>
      </c>
      <c r="BJ75" s="53">
        <v>0.83434999986719449</v>
      </c>
      <c r="BK75" s="507">
        <v>5685007.2999999998</v>
      </c>
      <c r="BL75" s="380">
        <f t="shared" si="52"/>
        <v>-2141174.6800000006</v>
      </c>
      <c r="BM75" s="506">
        <v>4822622.79</v>
      </c>
      <c r="BN75" s="53">
        <v>0.84160000070083552</v>
      </c>
      <c r="BO75" s="507">
        <v>5730302.7400000002</v>
      </c>
      <c r="BP75">
        <v>-3543394.63</v>
      </c>
      <c r="BQ75" s="506">
        <v>6512704.7199999997</v>
      </c>
      <c r="BR75" s="53">
        <v>0.84934999973825842</v>
      </c>
      <c r="BS75" s="507">
        <v>7667869.2199999997</v>
      </c>
      <c r="BT75" s="380">
        <f t="shared" si="53"/>
        <v>1937566.4799999995</v>
      </c>
      <c r="BU75" s="506">
        <v>7299207.9800000004</v>
      </c>
      <c r="BV75" s="53">
        <v>0.85520000047240285</v>
      </c>
      <c r="BW75" s="507">
        <v>8535088.8399999999</v>
      </c>
      <c r="BX75" s="380">
        <f t="shared" si="54"/>
        <v>867219.62000000011</v>
      </c>
      <c r="BY75" s="506">
        <v>5285808.05</v>
      </c>
      <c r="BZ75" s="53">
        <v>0.85570000024121062</v>
      </c>
      <c r="CA75" s="507">
        <v>6177174.2999999998</v>
      </c>
      <c r="CB75" s="380">
        <f t="shared" si="55"/>
        <v>-2357914.54</v>
      </c>
      <c r="CC75" s="506">
        <v>5342038.5999999996</v>
      </c>
      <c r="CD75" s="53">
        <v>0.86369999964947808</v>
      </c>
      <c r="CE75" s="507">
        <v>6185062.6399999997</v>
      </c>
      <c r="CF75" s="380">
        <f t="shared" si="56"/>
        <v>7888.339999999851</v>
      </c>
      <c r="CG75" s="506">
        <v>5941987.0499999998</v>
      </c>
      <c r="CH75" s="53">
        <v>0.85609999997089647</v>
      </c>
      <c r="CI75" s="507">
        <v>6940762.8200000003</v>
      </c>
      <c r="CJ75" s="380">
        <f t="shared" si="57"/>
        <v>755700.18000000063</v>
      </c>
      <c r="CK75" s="506">
        <v>6066567.0099999998</v>
      </c>
      <c r="CL75" s="53">
        <v>0.86570000046334739</v>
      </c>
      <c r="CM75" s="507">
        <v>7007701.29</v>
      </c>
      <c r="CN75" s="380">
        <f t="shared" si="58"/>
        <v>66938.469999999739</v>
      </c>
      <c r="CO75" s="506">
        <v>6410072.3499999996</v>
      </c>
      <c r="CP75" s="53">
        <v>0.86384999950164088</v>
      </c>
      <c r="CQ75" s="507">
        <v>7420353.4800000004</v>
      </c>
      <c r="CR75" s="380">
        <f t="shared" si="59"/>
        <v>412652.19000000041</v>
      </c>
      <c r="CS75" s="506">
        <v>3958696.4</v>
      </c>
      <c r="CT75" s="53">
        <v>0.85580000078257989</v>
      </c>
      <c r="CU75" s="507">
        <v>4625726.0999999996</v>
      </c>
      <c r="CV75" s="380">
        <f t="shared" si="60"/>
        <v>-2794627.3800000008</v>
      </c>
      <c r="CW75" s="506">
        <v>6111383.9199999999</v>
      </c>
      <c r="CX75" s="53">
        <v>0.85619999953234882</v>
      </c>
      <c r="CY75" s="507">
        <v>7137799.4900000002</v>
      </c>
      <c r="CZ75" s="380">
        <f t="shared" si="61"/>
        <v>2512073.3900000006</v>
      </c>
      <c r="DA75" s="506">
        <v>6481634.3799999999</v>
      </c>
      <c r="DB75" s="53">
        <v>0.85640000044870379</v>
      </c>
      <c r="DC75" s="507">
        <v>7568466.1100000003</v>
      </c>
      <c r="DD75" s="380">
        <f t="shared" si="62"/>
        <v>430666.62000000011</v>
      </c>
      <c r="DE75" s="506">
        <v>6481634.3799999999</v>
      </c>
      <c r="DF75" s="53">
        <v>0.86165000042925399</v>
      </c>
      <c r="DG75" s="507">
        <v>7522351.7400000002</v>
      </c>
      <c r="DH75" s="380">
        <f t="shared" si="63"/>
        <v>-46114.370000000112</v>
      </c>
      <c r="DI75" s="506">
        <v>4757186.4800000004</v>
      </c>
      <c r="DJ75" s="53">
        <v>0.85845000052737486</v>
      </c>
      <c r="DK75" s="507">
        <v>5541599.9500000002</v>
      </c>
      <c r="DL75" s="380">
        <f t="shared" si="64"/>
        <v>-1980751.79</v>
      </c>
      <c r="DM75" s="506">
        <v>5403508.29</v>
      </c>
      <c r="DN75" s="53">
        <v>0.85774999952894071</v>
      </c>
      <c r="DO75" s="507">
        <v>6299630.7699999996</v>
      </c>
      <c r="DP75" s="380">
        <f t="shared" si="65"/>
        <v>758030.81999999937</v>
      </c>
      <c r="DQ75" s="506">
        <v>5204258.58</v>
      </c>
      <c r="DR75" s="53">
        <v>0.85095000037133195</v>
      </c>
      <c r="DS75" s="507">
        <v>6115821.8200000003</v>
      </c>
      <c r="DT75" s="380">
        <f t="shared" si="66"/>
        <v>-183808.94999999925</v>
      </c>
      <c r="DU75" s="506">
        <v>2571913.42</v>
      </c>
      <c r="DV75" s="53">
        <v>0.84944999993097159</v>
      </c>
      <c r="DW75" s="507">
        <v>3027739.62</v>
      </c>
      <c r="DX75" s="380">
        <f t="shared" si="67"/>
        <v>-3088082.2</v>
      </c>
      <c r="DY75" s="506">
        <v>3213069</v>
      </c>
      <c r="DZ75" s="53">
        <v>0.85345000000000004</v>
      </c>
      <c r="EA75" s="507">
        <v>3764800.5155545138</v>
      </c>
      <c r="EB75" s="380">
        <f t="shared" si="68"/>
        <v>737060.89555451367</v>
      </c>
      <c r="EC75" s="506">
        <v>3213069</v>
      </c>
      <c r="ED75" s="53">
        <v>0.85175000000000001</v>
      </c>
      <c r="EE75" s="507">
        <v>3772314.6463164072</v>
      </c>
      <c r="EF75" s="380">
        <f t="shared" si="69"/>
        <v>7514.1307618934661</v>
      </c>
      <c r="EG75" s="506">
        <v>1214012</v>
      </c>
      <c r="EH75" s="53">
        <v>0.84724999999999995</v>
      </c>
      <c r="EI75" s="507">
        <v>1432885.2168781352</v>
      </c>
      <c r="EJ75" s="380">
        <f t="shared" si="70"/>
        <v>-2339429.429438272</v>
      </c>
      <c r="EK75" s="506">
        <v>1223220</v>
      </c>
      <c r="EL75" s="53">
        <v>0.85085</v>
      </c>
      <c r="EM75" s="507">
        <v>1437644.7082329434</v>
      </c>
      <c r="EN75" s="380">
        <f t="shared" si="71"/>
        <v>4759.4913548082113</v>
      </c>
      <c r="EO75" s="506">
        <v>1910950</v>
      </c>
      <c r="EP75" s="53">
        <v>0.84740000000000004</v>
      </c>
      <c r="EQ75" s="507">
        <v>2255074.3450554637</v>
      </c>
      <c r="ER75" s="380">
        <f t="shared" si="72"/>
        <v>817429.63682252029</v>
      </c>
      <c r="ES75" s="506">
        <v>2117884</v>
      </c>
      <c r="ET75" s="53">
        <v>0.84755000000000003</v>
      </c>
      <c r="EU75" s="507">
        <v>2498830.7474485282</v>
      </c>
      <c r="EV75" s="380">
        <f t="shared" si="73"/>
        <v>243756.40239306446</v>
      </c>
      <c r="EW75" s="506">
        <v>2225398</v>
      </c>
      <c r="EX75" s="53">
        <v>0.84325000000000006</v>
      </c>
      <c r="EY75" s="507">
        <v>2639072.6356359324</v>
      </c>
      <c r="EZ75" s="380">
        <f t="shared" si="74"/>
        <v>140241.88818740426</v>
      </c>
      <c r="FA75" s="506">
        <v>3622434</v>
      </c>
      <c r="FB75" s="53">
        <v>0.84045000000000003</v>
      </c>
      <c r="FC75" s="507">
        <v>4310112.4397644121</v>
      </c>
      <c r="FD75" s="380">
        <f t="shared" si="75"/>
        <v>1671039.8041284797</v>
      </c>
      <c r="FE75" s="506">
        <v>3619194</v>
      </c>
      <c r="FF75" s="53">
        <v>0.84119999999999995</v>
      </c>
      <c r="FG75" s="507">
        <v>4302417.9743223973</v>
      </c>
      <c r="FH75" s="380">
        <f t="shared" si="76"/>
        <v>-7694.4654420148581</v>
      </c>
      <c r="FI75" s="506">
        <v>3188344</v>
      </c>
      <c r="FJ75" s="53">
        <v>0.84275</v>
      </c>
      <c r="FK75" s="507">
        <v>3783261.9400771284</v>
      </c>
      <c r="FL75" s="380">
        <f t="shared" si="77"/>
        <v>-519156.03424526891</v>
      </c>
      <c r="FM75" s="506">
        <v>3479075</v>
      </c>
      <c r="FN75" s="53">
        <v>0.84235000000000004</v>
      </c>
      <c r="FO75" s="507">
        <v>4130201.2227696325</v>
      </c>
      <c r="FP75" s="380">
        <f t="shared" si="78"/>
        <v>346939.28269250412</v>
      </c>
      <c r="FQ75" s="506">
        <v>3361606</v>
      </c>
      <c r="FR75" s="53">
        <v>0.84150000000000003</v>
      </c>
      <c r="FS75" s="507">
        <v>3994778.3719548425</v>
      </c>
      <c r="FT75" s="380">
        <f t="shared" si="79"/>
        <v>-135422.85081479</v>
      </c>
      <c r="FU75" s="506">
        <v>3509127</v>
      </c>
      <c r="FV75" s="53">
        <v>0.84399999999999997</v>
      </c>
      <c r="FW75" s="507">
        <v>4157733.4123222749</v>
      </c>
      <c r="FX75" s="380">
        <f t="shared" si="80"/>
        <v>162955.0403674324</v>
      </c>
      <c r="FY75" s="506">
        <v>4085787</v>
      </c>
      <c r="FZ75" s="53">
        <v>0.83975</v>
      </c>
      <c r="GA75" s="507">
        <v>4865480.2024412025</v>
      </c>
      <c r="GB75" s="380">
        <f t="shared" si="81"/>
        <v>707746.7901189276</v>
      </c>
      <c r="GC75" s="506">
        <v>4085787</v>
      </c>
      <c r="GD75" s="53">
        <v>0.83904999999999996</v>
      </c>
      <c r="GE75" s="507">
        <v>4869539.3599904655</v>
      </c>
      <c r="GF75" s="380">
        <f t="shared" si="82"/>
        <v>4059.1575492629781</v>
      </c>
      <c r="GG75" s="506">
        <v>4376243</v>
      </c>
      <c r="GH75" s="53">
        <v>0.83779999999999999</v>
      </c>
      <c r="GI75" s="507">
        <v>5223493.6739078537</v>
      </c>
      <c r="GJ75" s="380">
        <f t="shared" si="83"/>
        <v>353954.31391738821</v>
      </c>
      <c r="GK75" s="506">
        <v>4512203</v>
      </c>
      <c r="GL75" s="53">
        <v>0.8397</v>
      </c>
      <c r="GM75" s="507">
        <v>5373589.3771585086</v>
      </c>
      <c r="GN75" s="380">
        <f t="shared" si="84"/>
        <v>150095.70325065497</v>
      </c>
      <c r="GO75" s="506">
        <v>3670706</v>
      </c>
      <c r="GP75" s="53">
        <v>0.83720000000000006</v>
      </c>
      <c r="GQ75" s="507">
        <v>4384503.1055900622</v>
      </c>
      <c r="GR75" s="380">
        <f t="shared" si="85"/>
        <v>-989086.27156844642</v>
      </c>
      <c r="GS75" s="506">
        <v>4058948</v>
      </c>
      <c r="GT75" s="53">
        <v>0.84130000000000005</v>
      </c>
      <c r="GU75" s="507">
        <v>4824614.287412338</v>
      </c>
      <c r="GV75" s="380">
        <f t="shared" si="86"/>
        <v>440111.18182227574</v>
      </c>
      <c r="GW75" s="506">
        <v>4703924</v>
      </c>
      <c r="GX75" s="53">
        <v>0.84325000000000006</v>
      </c>
      <c r="GY75" s="507">
        <v>5578326.7121257037</v>
      </c>
      <c r="GZ75" s="380">
        <f t="shared" si="87"/>
        <v>753712.42471336573</v>
      </c>
      <c r="HA75" s="506">
        <v>4582240</v>
      </c>
      <c r="HB75" s="53">
        <v>0.84345000000000003</v>
      </c>
      <c r="HC75" s="507">
        <v>5432734.6019325387</v>
      </c>
      <c r="HD75" s="380">
        <f t="shared" si="88"/>
        <v>-145592.11019316502</v>
      </c>
      <c r="HE75" s="506">
        <v>4347123</v>
      </c>
      <c r="HF75" s="53">
        <v>0.84189999999999998</v>
      </c>
      <c r="HG75" s="507">
        <v>5163467.15761967</v>
      </c>
      <c r="HH75" s="380">
        <f t="shared" si="89"/>
        <v>-269267.44431286864</v>
      </c>
      <c r="HI75" s="506">
        <v>3942277</v>
      </c>
      <c r="HJ75" s="53">
        <v>0.84194999999999998</v>
      </c>
      <c r="HK75" s="507">
        <v>4682317.2397410776</v>
      </c>
      <c r="HL75" s="380">
        <f t="shared" si="90"/>
        <v>-481149.91787859239</v>
      </c>
      <c r="HM75" s="506">
        <v>5367213</v>
      </c>
      <c r="HN75" s="53">
        <v>0.84260000000000002</v>
      </c>
      <c r="HO75" s="507">
        <v>6369823.1663897457</v>
      </c>
      <c r="HP75" s="380">
        <f t="shared" si="91"/>
        <v>1687505.926648668</v>
      </c>
      <c r="HQ75" s="506">
        <v>5831455</v>
      </c>
      <c r="HR75" s="53">
        <v>0.84609999999999996</v>
      </c>
      <c r="HS75" s="507">
        <v>6892158.1373360129</v>
      </c>
      <c r="HT75" s="380">
        <f t="shared" si="92"/>
        <v>522334.97094626725</v>
      </c>
      <c r="HU75" s="506">
        <v>5895046</v>
      </c>
      <c r="HV75" s="53">
        <v>0.84714999999999996</v>
      </c>
      <c r="HW75" s="507">
        <v>6958680.2809419818</v>
      </c>
      <c r="HX75" s="380">
        <f t="shared" si="93"/>
        <v>66522.143605968915</v>
      </c>
      <c r="HY75" s="506">
        <v>6863484</v>
      </c>
      <c r="HZ75" s="53">
        <v>0.85004999999999997</v>
      </c>
      <c r="IA75" s="507">
        <v>8074212.1051702844</v>
      </c>
      <c r="IB75" s="380">
        <f t="shared" si="94"/>
        <v>1115531.8242283026</v>
      </c>
      <c r="IC75" s="506">
        <v>4224052</v>
      </c>
      <c r="ID75" s="53">
        <v>0.85004999999999997</v>
      </c>
      <c r="IE75" s="507">
        <v>4969180.6364331516</v>
      </c>
      <c r="IF75" s="380">
        <f t="shared" si="95"/>
        <v>-3105031.4687371328</v>
      </c>
      <c r="IG75" s="506">
        <v>4044841</v>
      </c>
      <c r="IH75" s="53">
        <v>0.85004999999999997</v>
      </c>
      <c r="II75" s="507">
        <v>4758356.5672607496</v>
      </c>
      <c r="IJ75" s="380">
        <f t="shared" si="96"/>
        <v>-210824.06917240191</v>
      </c>
      <c r="IK75" s="506">
        <v>4182087</v>
      </c>
      <c r="IL75" s="53">
        <v>0.85004999999999997</v>
      </c>
      <c r="IM75" s="507">
        <v>4919812.9521792838</v>
      </c>
      <c r="IN75" s="380">
        <f t="shared" si="97"/>
        <v>161456.3849185342</v>
      </c>
      <c r="IO75" s="506">
        <v>4876487</v>
      </c>
      <c r="IP75" s="53">
        <v>0.85004999999999997</v>
      </c>
      <c r="IQ75" s="507">
        <v>5736706.07611317</v>
      </c>
      <c r="IR75" s="380">
        <f t="shared" si="98"/>
        <v>816893.12393388618</v>
      </c>
      <c r="IS75" s="506">
        <v>3887806</v>
      </c>
      <c r="IT75" s="53">
        <v>0.85004999999999997</v>
      </c>
      <c r="IU75" s="507">
        <v>4573620.375272043</v>
      </c>
      <c r="IV75" s="380">
        <f t="shared" si="99"/>
        <v>-1163085.700841127</v>
      </c>
      <c r="IW75" s="506">
        <v>4286964</v>
      </c>
      <c r="IX75" s="53">
        <v>0.8528</v>
      </c>
      <c r="IY75" s="507">
        <v>5026927.7673545964</v>
      </c>
      <c r="IZ75" s="380">
        <f t="shared" si="100"/>
        <v>453307.39208255336</v>
      </c>
    </row>
    <row r="76" spans="1:260">
      <c r="A76" s="13" t="s">
        <v>548</v>
      </c>
      <c r="B76" s="13" t="s">
        <v>549</v>
      </c>
      <c r="C76" s="13" t="s">
        <v>38</v>
      </c>
      <c r="D76" s="13" t="s">
        <v>336</v>
      </c>
      <c r="E76" s="13" t="s">
        <v>2</v>
      </c>
      <c r="F76" s="13">
        <v>682431478</v>
      </c>
      <c r="G76" s="13" t="s">
        <v>37</v>
      </c>
      <c r="H76" s="49" t="s">
        <v>508</v>
      </c>
      <c r="I76" s="14">
        <f>+'IBP export - Colar'!A4</f>
        <v>5484032</v>
      </c>
      <c r="J76" s="14">
        <f>+VLOOKUP(E76,'Summary - Colar'!$M$39:$N$54,2,FALSE)</f>
        <v>1</v>
      </c>
      <c r="K76" s="14">
        <f t="shared" si="101"/>
        <v>5484032</v>
      </c>
      <c r="L76" s="506">
        <v>5422171.1399999997</v>
      </c>
      <c r="M76" s="53">
        <v>1</v>
      </c>
      <c r="N76" s="507">
        <v>5422171.1399999997</v>
      </c>
      <c r="O76" s="506">
        <v>-28906.560000000001</v>
      </c>
      <c r="P76" s="53">
        <v>1</v>
      </c>
      <c r="Q76" s="507">
        <v>-28906.560000000001</v>
      </c>
      <c r="R76" s="506">
        <v>2143703.7599999998</v>
      </c>
      <c r="S76" s="53">
        <v>1</v>
      </c>
      <c r="T76" s="507">
        <v>2143703.7599999998</v>
      </c>
      <c r="U76" s="506">
        <v>3132395.17</v>
      </c>
      <c r="V76" s="53">
        <v>1</v>
      </c>
      <c r="W76" s="507">
        <v>3132395.17</v>
      </c>
      <c r="X76" s="506">
        <v>2661139.65</v>
      </c>
      <c r="Y76" s="53">
        <v>1</v>
      </c>
      <c r="Z76" s="507">
        <v>2661139.65</v>
      </c>
      <c r="AA76" s="506">
        <v>1463277.82</v>
      </c>
      <c r="AB76" s="53">
        <v>1</v>
      </c>
      <c r="AC76" s="507">
        <v>1463277.82</v>
      </c>
      <c r="AD76" s="506">
        <v>3648240.35</v>
      </c>
      <c r="AE76" s="53">
        <v>1</v>
      </c>
      <c r="AF76" s="507">
        <v>3648240.35</v>
      </c>
      <c r="AG76" s="506">
        <v>2207223.65</v>
      </c>
      <c r="AH76" s="53">
        <v>1</v>
      </c>
      <c r="AI76" s="507">
        <v>2207223.65</v>
      </c>
      <c r="AJ76" s="506">
        <v>3001874.63</v>
      </c>
      <c r="AK76" s="53">
        <v>1</v>
      </c>
      <c r="AL76" s="507">
        <v>3001874.63</v>
      </c>
      <c r="AM76" s="506">
        <v>840088.56</v>
      </c>
      <c r="AN76" s="53">
        <v>1</v>
      </c>
      <c r="AO76" s="507">
        <v>840088.56</v>
      </c>
      <c r="AP76" s="506">
        <v>3044460.14</v>
      </c>
      <c r="AQ76" s="53">
        <v>1</v>
      </c>
      <c r="AR76" s="507">
        <v>3044460.14</v>
      </c>
      <c r="AS76" s="506">
        <v>894142</v>
      </c>
      <c r="AT76" s="53">
        <v>1</v>
      </c>
      <c r="AU76" s="507">
        <v>894142</v>
      </c>
      <c r="AV76" s="506">
        <v>1185873.99</v>
      </c>
      <c r="AW76" s="53">
        <v>1</v>
      </c>
      <c r="AX76" s="507">
        <v>1185873.99</v>
      </c>
      <c r="AY76" s="506">
        <v>-658769.13</v>
      </c>
      <c r="AZ76" s="53">
        <v>1</v>
      </c>
      <c r="BA76" s="507">
        <v>-658769.13</v>
      </c>
      <c r="BB76" s="506">
        <v>247370.84</v>
      </c>
      <c r="BC76" s="53">
        <v>1</v>
      </c>
      <c r="BD76" s="507">
        <v>247370.84</v>
      </c>
      <c r="BE76" s="506">
        <v>-64144.91</v>
      </c>
      <c r="BF76" s="53">
        <v>1</v>
      </c>
      <c r="BG76" s="507">
        <v>-64144.91</v>
      </c>
      <c r="BH76" s="380">
        <f t="shared" si="51"/>
        <v>-64145.91</v>
      </c>
      <c r="BI76" s="506">
        <v>1227124.6499999999</v>
      </c>
      <c r="BJ76" s="53">
        <v>1</v>
      </c>
      <c r="BK76" s="507">
        <v>1227124.6499999999</v>
      </c>
      <c r="BL76" s="380">
        <f t="shared" si="52"/>
        <v>1291269.5599999998</v>
      </c>
      <c r="BM76" s="506">
        <v>2226025.4900000002</v>
      </c>
      <c r="BN76" s="53">
        <v>1</v>
      </c>
      <c r="BO76" s="507">
        <v>2226025.4900000002</v>
      </c>
      <c r="BP76">
        <v>-2161786.0699999998</v>
      </c>
      <c r="BQ76" s="506">
        <v>2368138</v>
      </c>
      <c r="BR76" s="53">
        <v>1</v>
      </c>
      <c r="BS76" s="507">
        <v>2368138</v>
      </c>
      <c r="BT76" s="380">
        <f t="shared" si="53"/>
        <v>142112.50999999978</v>
      </c>
      <c r="BU76" s="506">
        <v>2136741.75</v>
      </c>
      <c r="BV76" s="53">
        <v>1</v>
      </c>
      <c r="BW76" s="507">
        <v>2136741.75</v>
      </c>
      <c r="BX76" s="380">
        <f t="shared" si="54"/>
        <v>-231396.25</v>
      </c>
      <c r="BY76" s="506">
        <v>1881969.7</v>
      </c>
      <c r="BZ76" s="53">
        <v>1</v>
      </c>
      <c r="CA76" s="507">
        <v>1881969.7</v>
      </c>
      <c r="CB76" s="380">
        <f t="shared" si="55"/>
        <v>-254772.05000000005</v>
      </c>
      <c r="CC76" s="506">
        <v>2311806.31</v>
      </c>
      <c r="CD76" s="53">
        <v>1</v>
      </c>
      <c r="CE76" s="507">
        <v>2311806.31</v>
      </c>
      <c r="CF76" s="380">
        <f t="shared" si="56"/>
        <v>429836.6100000001</v>
      </c>
      <c r="CG76" s="506">
        <v>3091883.04</v>
      </c>
      <c r="CH76" s="53">
        <v>1</v>
      </c>
      <c r="CI76" s="507">
        <v>3091883.04</v>
      </c>
      <c r="CJ76" s="380">
        <f t="shared" si="57"/>
        <v>780076.73</v>
      </c>
      <c r="CK76" s="506">
        <v>3893878.69</v>
      </c>
      <c r="CL76" s="53">
        <v>1</v>
      </c>
      <c r="CM76" s="507">
        <v>3893878.69</v>
      </c>
      <c r="CN76" s="380">
        <f t="shared" si="58"/>
        <v>801995.64999999991</v>
      </c>
      <c r="CO76" s="506">
        <v>1753768.73</v>
      </c>
      <c r="CP76" s="53">
        <v>1</v>
      </c>
      <c r="CQ76" s="507">
        <v>1753768.73</v>
      </c>
      <c r="CR76" s="380">
        <f t="shared" si="59"/>
        <v>-2140109.96</v>
      </c>
      <c r="CS76" s="506">
        <v>975513.11</v>
      </c>
      <c r="CT76" s="53">
        <v>1</v>
      </c>
      <c r="CU76" s="507">
        <v>975513.11</v>
      </c>
      <c r="CV76" s="380">
        <f t="shared" si="60"/>
        <v>-778255.62</v>
      </c>
      <c r="CW76" s="506">
        <v>120239.88</v>
      </c>
      <c r="CX76" s="53">
        <v>1</v>
      </c>
      <c r="CY76" s="507">
        <v>120239.88</v>
      </c>
      <c r="CZ76" s="380">
        <f t="shared" si="61"/>
        <v>-855273.23</v>
      </c>
      <c r="DA76" s="506">
        <v>-63444.4</v>
      </c>
      <c r="DB76" s="53">
        <v>1</v>
      </c>
      <c r="DC76" s="507">
        <v>-63444.4</v>
      </c>
      <c r="DD76" s="380">
        <f t="shared" si="62"/>
        <v>-183684.28</v>
      </c>
      <c r="DE76" s="506">
        <v>-1023934.72</v>
      </c>
      <c r="DF76" s="53">
        <v>1</v>
      </c>
      <c r="DG76" s="507">
        <v>-1023934.72</v>
      </c>
      <c r="DH76" s="380">
        <f t="shared" si="63"/>
        <v>-960490.32</v>
      </c>
      <c r="DI76" s="506">
        <v>1556333.71</v>
      </c>
      <c r="DJ76" s="53">
        <v>1</v>
      </c>
      <c r="DK76" s="507">
        <v>1556333.71</v>
      </c>
      <c r="DL76" s="380">
        <f t="shared" si="64"/>
        <v>2580268.4299999997</v>
      </c>
      <c r="DM76" s="506">
        <v>454669.57</v>
      </c>
      <c r="DN76" s="53">
        <v>1</v>
      </c>
      <c r="DO76" s="507">
        <v>454669.57</v>
      </c>
      <c r="DP76" s="380">
        <f t="shared" si="65"/>
        <v>-1101664.1399999999</v>
      </c>
      <c r="DQ76" s="506">
        <v>3176479.9</v>
      </c>
      <c r="DR76" s="53">
        <v>1</v>
      </c>
      <c r="DS76" s="507">
        <v>3176479.9</v>
      </c>
      <c r="DT76" s="380">
        <f t="shared" si="66"/>
        <v>2721810.33</v>
      </c>
      <c r="DU76" s="506">
        <v>2922138.34</v>
      </c>
      <c r="DV76" s="53">
        <v>1</v>
      </c>
      <c r="DW76" s="507">
        <v>2922138.34</v>
      </c>
      <c r="DX76" s="380">
        <f t="shared" si="67"/>
        <v>-254341.56000000006</v>
      </c>
      <c r="DY76" s="506">
        <v>3317025</v>
      </c>
      <c r="DZ76" s="53">
        <v>1</v>
      </c>
      <c r="EA76" s="507">
        <v>3317025</v>
      </c>
      <c r="EB76" s="380">
        <f t="shared" si="68"/>
        <v>394886.66000000015</v>
      </c>
      <c r="EC76" s="506">
        <v>3240095</v>
      </c>
      <c r="ED76" s="53">
        <v>1</v>
      </c>
      <c r="EE76" s="507">
        <v>3240095</v>
      </c>
      <c r="EF76" s="380">
        <f t="shared" si="69"/>
        <v>-76930</v>
      </c>
      <c r="EG76" s="506">
        <v>3043570</v>
      </c>
      <c r="EH76" s="53">
        <v>1</v>
      </c>
      <c r="EI76" s="507">
        <v>3043570</v>
      </c>
      <c r="EJ76" s="380">
        <f t="shared" si="70"/>
        <v>-196525</v>
      </c>
      <c r="EK76" s="506">
        <v>813055</v>
      </c>
      <c r="EL76" s="53">
        <v>1</v>
      </c>
      <c r="EM76" s="507">
        <v>813055</v>
      </c>
      <c r="EN76" s="380">
        <f t="shared" si="71"/>
        <v>-2230515</v>
      </c>
      <c r="EO76" s="506">
        <v>1388907</v>
      </c>
      <c r="EP76" s="53">
        <v>1</v>
      </c>
      <c r="EQ76" s="507">
        <v>1388907</v>
      </c>
      <c r="ER76" s="380">
        <f t="shared" si="72"/>
        <v>575852</v>
      </c>
      <c r="ES76" s="506">
        <v>2052667</v>
      </c>
      <c r="ET76" s="53">
        <v>1</v>
      </c>
      <c r="EU76" s="507">
        <v>2052667</v>
      </c>
      <c r="EV76" s="380">
        <f t="shared" si="73"/>
        <v>663760</v>
      </c>
      <c r="EW76" s="506">
        <v>2518891</v>
      </c>
      <c r="EX76" s="53">
        <v>1</v>
      </c>
      <c r="EY76" s="507">
        <v>2518891</v>
      </c>
      <c r="EZ76" s="380">
        <f t="shared" si="74"/>
        <v>466224</v>
      </c>
      <c r="FA76" s="506">
        <v>2947827</v>
      </c>
      <c r="FB76" s="53">
        <v>1</v>
      </c>
      <c r="FC76" s="507">
        <v>2947827</v>
      </c>
      <c r="FD76" s="380">
        <f t="shared" si="75"/>
        <v>428936</v>
      </c>
      <c r="FE76" s="506">
        <v>3442761</v>
      </c>
      <c r="FF76" s="53">
        <v>1</v>
      </c>
      <c r="FG76" s="507">
        <v>3442761</v>
      </c>
      <c r="FH76" s="380">
        <f t="shared" si="76"/>
        <v>494934</v>
      </c>
      <c r="FI76" s="506">
        <v>13739890</v>
      </c>
      <c r="FJ76" s="53">
        <v>1</v>
      </c>
      <c r="FK76" s="507">
        <v>13739890</v>
      </c>
      <c r="FL76" s="380">
        <f t="shared" si="77"/>
        <v>10297129</v>
      </c>
      <c r="FM76" s="506">
        <v>1987695</v>
      </c>
      <c r="FN76" s="53">
        <v>1</v>
      </c>
      <c r="FO76" s="507">
        <v>1987695</v>
      </c>
      <c r="FP76" s="380">
        <f t="shared" si="78"/>
        <v>-11752195</v>
      </c>
      <c r="FQ76" s="506">
        <v>1823999</v>
      </c>
      <c r="FR76" s="53">
        <v>1</v>
      </c>
      <c r="FS76" s="507">
        <v>1823999</v>
      </c>
      <c r="FT76" s="380">
        <f t="shared" si="79"/>
        <v>-163696</v>
      </c>
      <c r="FU76" s="506">
        <v>913420</v>
      </c>
      <c r="FV76" s="53">
        <v>1</v>
      </c>
      <c r="FW76" s="507">
        <v>913420</v>
      </c>
      <c r="FX76" s="380">
        <f t="shared" si="80"/>
        <v>-910579</v>
      </c>
      <c r="FY76" s="506">
        <v>41923</v>
      </c>
      <c r="FZ76" s="53">
        <v>1</v>
      </c>
      <c r="GA76" s="507">
        <v>41923</v>
      </c>
      <c r="GB76" s="380">
        <f t="shared" si="81"/>
        <v>-871497</v>
      </c>
      <c r="GC76" s="506">
        <v>-350457</v>
      </c>
      <c r="GD76" s="53">
        <v>1</v>
      </c>
      <c r="GE76" s="507">
        <v>-350457</v>
      </c>
      <c r="GF76" s="380">
        <f t="shared" si="82"/>
        <v>-392380</v>
      </c>
      <c r="GG76" s="506">
        <v>-952248</v>
      </c>
      <c r="GH76" s="53">
        <v>1</v>
      </c>
      <c r="GI76" s="507">
        <v>-952248</v>
      </c>
      <c r="GJ76" s="380">
        <f t="shared" si="83"/>
        <v>-601791</v>
      </c>
      <c r="GK76" s="506">
        <v>-3348326</v>
      </c>
      <c r="GL76" s="53">
        <v>1</v>
      </c>
      <c r="GM76" s="507">
        <v>-3348326</v>
      </c>
      <c r="GN76" s="380">
        <f t="shared" si="84"/>
        <v>-2396078</v>
      </c>
      <c r="GO76" s="506">
        <v>-380535</v>
      </c>
      <c r="GP76" s="53">
        <v>1</v>
      </c>
      <c r="GQ76" s="507">
        <v>-380535</v>
      </c>
      <c r="GR76" s="380">
        <f t="shared" si="85"/>
        <v>2967791</v>
      </c>
      <c r="GS76" s="506">
        <v>4244636</v>
      </c>
      <c r="GT76" s="53">
        <v>1</v>
      </c>
      <c r="GU76" s="507">
        <v>4244636</v>
      </c>
      <c r="GV76" s="380">
        <f t="shared" si="86"/>
        <v>4625171</v>
      </c>
      <c r="GW76" s="506">
        <v>4666214</v>
      </c>
      <c r="GX76" s="53">
        <v>1</v>
      </c>
      <c r="GY76" s="507">
        <v>4666214</v>
      </c>
      <c r="GZ76" s="380">
        <f t="shared" si="87"/>
        <v>421578</v>
      </c>
      <c r="HA76" s="506">
        <v>3133709</v>
      </c>
      <c r="HB76" s="53">
        <v>1</v>
      </c>
      <c r="HC76" s="507">
        <v>3133709</v>
      </c>
      <c r="HD76" s="380">
        <f t="shared" si="88"/>
        <v>-1532505</v>
      </c>
      <c r="HE76" s="506">
        <v>3238911</v>
      </c>
      <c r="HF76" s="53">
        <v>1</v>
      </c>
      <c r="HG76" s="507">
        <v>3238911</v>
      </c>
      <c r="HH76" s="380">
        <f t="shared" si="89"/>
        <v>105202</v>
      </c>
      <c r="HI76" s="506">
        <v>3701499</v>
      </c>
      <c r="HJ76" s="53">
        <v>1</v>
      </c>
      <c r="HK76" s="507">
        <v>3701499</v>
      </c>
      <c r="HL76" s="380">
        <f t="shared" si="90"/>
        <v>462588</v>
      </c>
      <c r="HM76" s="506">
        <v>3492661</v>
      </c>
      <c r="HN76" s="53">
        <v>1</v>
      </c>
      <c r="HO76" s="507">
        <v>3492661</v>
      </c>
      <c r="HP76" s="380">
        <f t="shared" si="91"/>
        <v>-208838</v>
      </c>
      <c r="HQ76" s="506">
        <v>3266339</v>
      </c>
      <c r="HR76" s="53">
        <v>1</v>
      </c>
      <c r="HS76" s="507">
        <v>3266339</v>
      </c>
      <c r="HT76" s="380">
        <f t="shared" si="92"/>
        <v>-226322</v>
      </c>
      <c r="HU76" s="506">
        <v>3318992</v>
      </c>
      <c r="HV76" s="53">
        <v>1</v>
      </c>
      <c r="HW76" s="507">
        <v>3318992</v>
      </c>
      <c r="HX76" s="380">
        <f t="shared" si="93"/>
        <v>52653</v>
      </c>
      <c r="HY76" s="506">
        <v>3631757</v>
      </c>
      <c r="HZ76" s="53">
        <v>1</v>
      </c>
      <c r="IA76" s="507">
        <v>3631757</v>
      </c>
      <c r="IB76" s="380">
        <f t="shared" si="94"/>
        <v>312765</v>
      </c>
      <c r="IC76" s="506">
        <v>5722614</v>
      </c>
      <c r="ID76" s="53">
        <v>1</v>
      </c>
      <c r="IE76" s="507">
        <v>5722614</v>
      </c>
      <c r="IF76" s="380">
        <f t="shared" si="95"/>
        <v>2090857</v>
      </c>
      <c r="IG76" s="506">
        <v>5392069</v>
      </c>
      <c r="IH76" s="53">
        <v>1</v>
      </c>
      <c r="II76" s="507">
        <v>5392069</v>
      </c>
      <c r="IJ76" s="380">
        <f t="shared" si="96"/>
        <v>-330545</v>
      </c>
      <c r="IK76" s="506">
        <v>4249936</v>
      </c>
      <c r="IL76" s="53">
        <v>1</v>
      </c>
      <c r="IM76" s="507">
        <v>4249936</v>
      </c>
      <c r="IN76" s="380">
        <f t="shared" si="97"/>
        <v>-1142133</v>
      </c>
      <c r="IO76" s="506">
        <v>4014982</v>
      </c>
      <c r="IP76" s="53">
        <v>1</v>
      </c>
      <c r="IQ76" s="507">
        <v>4014982</v>
      </c>
      <c r="IR76" s="380">
        <f t="shared" si="98"/>
        <v>-234954</v>
      </c>
      <c r="IS76" s="506">
        <v>4388195</v>
      </c>
      <c r="IT76" s="53">
        <v>1</v>
      </c>
      <c r="IU76" s="507">
        <v>4388195</v>
      </c>
      <c r="IV76" s="380">
        <f t="shared" si="99"/>
        <v>373213</v>
      </c>
      <c r="IW76" s="506">
        <v>5484032</v>
      </c>
      <c r="IX76" s="53">
        <v>1</v>
      </c>
      <c r="IY76" s="507">
        <v>5484032</v>
      </c>
      <c r="IZ76" s="380">
        <f t="shared" si="100"/>
        <v>1095837</v>
      </c>
    </row>
    <row r="77" spans="1:260">
      <c r="A77" s="13" t="s">
        <v>548</v>
      </c>
      <c r="B77" s="13" t="s">
        <v>549</v>
      </c>
      <c r="C77" s="13" t="s">
        <v>38</v>
      </c>
      <c r="D77" s="13" t="s">
        <v>336</v>
      </c>
      <c r="E77" s="13" t="s">
        <v>2</v>
      </c>
      <c r="F77" s="13">
        <v>7041500</v>
      </c>
      <c r="G77" s="13" t="s">
        <v>42</v>
      </c>
      <c r="H77" s="49" t="s">
        <v>508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101"/>
        <v>0</v>
      </c>
      <c r="L77" s="506">
        <v>0</v>
      </c>
      <c r="M77" s="53">
        <v>1</v>
      </c>
      <c r="N77" s="507">
        <v>0</v>
      </c>
      <c r="O77" s="506">
        <v>0</v>
      </c>
      <c r="P77" s="53">
        <v>1</v>
      </c>
      <c r="Q77" s="507">
        <v>0</v>
      </c>
      <c r="R77" s="506">
        <v>0</v>
      </c>
      <c r="S77" s="53">
        <v>1</v>
      </c>
      <c r="T77" s="507">
        <v>0</v>
      </c>
      <c r="U77" s="506">
        <v>0</v>
      </c>
      <c r="V77" s="53">
        <v>1</v>
      </c>
      <c r="W77" s="507">
        <v>0</v>
      </c>
      <c r="X77" s="506">
        <v>0</v>
      </c>
      <c r="Y77" s="53">
        <v>1</v>
      </c>
      <c r="Z77" s="507">
        <v>0</v>
      </c>
      <c r="AA77" s="506">
        <v>0</v>
      </c>
      <c r="AB77" s="53">
        <v>1</v>
      </c>
      <c r="AC77" s="507">
        <v>0</v>
      </c>
      <c r="AD77" s="506">
        <v>0</v>
      </c>
      <c r="AE77" s="53">
        <v>1</v>
      </c>
      <c r="AF77" s="507">
        <v>0</v>
      </c>
      <c r="AG77" s="506">
        <v>0</v>
      </c>
      <c r="AH77" s="53">
        <v>1</v>
      </c>
      <c r="AI77" s="507">
        <v>0</v>
      </c>
      <c r="AJ77" s="506">
        <v>0</v>
      </c>
      <c r="AK77" s="53">
        <v>1</v>
      </c>
      <c r="AL77" s="507">
        <v>0</v>
      </c>
      <c r="AM77" s="506">
        <v>0</v>
      </c>
      <c r="AN77" s="53">
        <v>1</v>
      </c>
      <c r="AO77" s="507">
        <v>0</v>
      </c>
      <c r="AP77" s="506">
        <v>0</v>
      </c>
      <c r="AQ77" s="53">
        <v>1</v>
      </c>
      <c r="AR77" s="507">
        <v>0</v>
      </c>
      <c r="AS77" s="506">
        <v>0</v>
      </c>
      <c r="AT77" s="53">
        <v>1</v>
      </c>
      <c r="AU77" s="507">
        <v>0</v>
      </c>
      <c r="AV77" s="506">
        <v>0</v>
      </c>
      <c r="AW77" s="53">
        <v>1</v>
      </c>
      <c r="AX77" s="507">
        <v>0</v>
      </c>
      <c r="AY77" s="506">
        <v>0</v>
      </c>
      <c r="AZ77" s="53">
        <v>1</v>
      </c>
      <c r="BA77" s="507">
        <v>0</v>
      </c>
      <c r="BB77" s="506">
        <v>0</v>
      </c>
      <c r="BC77" s="53">
        <v>1</v>
      </c>
      <c r="BD77" s="507">
        <v>0</v>
      </c>
      <c r="BE77" s="506">
        <v>0</v>
      </c>
      <c r="BF77" s="53">
        <v>1</v>
      </c>
      <c r="BG77" s="507">
        <v>0</v>
      </c>
      <c r="BH77" s="380">
        <f t="shared" si="51"/>
        <v>-1</v>
      </c>
      <c r="BI77" s="506">
        <v>0</v>
      </c>
      <c r="BJ77" s="53">
        <v>1</v>
      </c>
      <c r="BK77" s="507">
        <v>0</v>
      </c>
      <c r="BL77" s="380">
        <f t="shared" si="52"/>
        <v>0</v>
      </c>
      <c r="BM77" s="506">
        <v>0</v>
      </c>
      <c r="BN77" s="53">
        <v>1</v>
      </c>
      <c r="BO77" s="507">
        <v>0</v>
      </c>
      <c r="BP77">
        <v>0</v>
      </c>
      <c r="BQ77" s="506">
        <v>0</v>
      </c>
      <c r="BR77" s="53">
        <v>1</v>
      </c>
      <c r="BS77" s="507">
        <v>0</v>
      </c>
      <c r="BT77" s="380">
        <f t="shared" si="53"/>
        <v>0</v>
      </c>
      <c r="BU77" s="506">
        <v>0</v>
      </c>
      <c r="BV77" s="53">
        <v>1</v>
      </c>
      <c r="BW77" s="507">
        <v>0</v>
      </c>
      <c r="BX77" s="380">
        <f t="shared" si="54"/>
        <v>0</v>
      </c>
      <c r="BY77" s="506">
        <v>0</v>
      </c>
      <c r="BZ77" s="53">
        <v>1</v>
      </c>
      <c r="CA77" s="507">
        <v>0</v>
      </c>
      <c r="CB77" s="380">
        <f t="shared" si="55"/>
        <v>0</v>
      </c>
      <c r="CC77" s="506">
        <v>0</v>
      </c>
      <c r="CD77" s="53">
        <v>1</v>
      </c>
      <c r="CE77" s="507">
        <v>0</v>
      </c>
      <c r="CF77" s="380">
        <f t="shared" si="56"/>
        <v>0</v>
      </c>
      <c r="CG77" s="506">
        <v>0</v>
      </c>
      <c r="CH77" s="53">
        <v>1</v>
      </c>
      <c r="CI77" s="507">
        <v>0</v>
      </c>
      <c r="CJ77" s="380">
        <f t="shared" si="57"/>
        <v>0</v>
      </c>
      <c r="CK77" s="506">
        <v>0</v>
      </c>
      <c r="CL77" s="53">
        <v>1</v>
      </c>
      <c r="CM77" s="507">
        <v>0</v>
      </c>
      <c r="CN77" s="380">
        <f t="shared" si="58"/>
        <v>0</v>
      </c>
      <c r="CO77" s="506">
        <v>0</v>
      </c>
      <c r="CP77" s="53">
        <v>1</v>
      </c>
      <c r="CQ77" s="507">
        <v>0</v>
      </c>
      <c r="CR77" s="380">
        <f t="shared" si="59"/>
        <v>0</v>
      </c>
      <c r="CS77" s="506">
        <v>0</v>
      </c>
      <c r="CT77" s="53">
        <v>1</v>
      </c>
      <c r="CU77" s="507">
        <v>0</v>
      </c>
      <c r="CV77" s="380">
        <f t="shared" si="60"/>
        <v>0</v>
      </c>
      <c r="CW77" s="506">
        <v>0</v>
      </c>
      <c r="CX77" s="53">
        <v>1</v>
      </c>
      <c r="CY77" s="507">
        <v>0</v>
      </c>
      <c r="CZ77" s="380">
        <f t="shared" si="61"/>
        <v>0</v>
      </c>
      <c r="DA77" s="506">
        <v>0</v>
      </c>
      <c r="DB77" s="53">
        <v>1</v>
      </c>
      <c r="DC77" s="507">
        <v>0</v>
      </c>
      <c r="DD77" s="380">
        <f t="shared" si="62"/>
        <v>0</v>
      </c>
      <c r="DE77" s="506">
        <v>0</v>
      </c>
      <c r="DF77" s="53">
        <v>1</v>
      </c>
      <c r="DG77" s="507">
        <v>0</v>
      </c>
      <c r="DH77" s="380">
        <f t="shared" si="63"/>
        <v>0</v>
      </c>
      <c r="DI77" s="506">
        <v>0</v>
      </c>
      <c r="DJ77" s="53">
        <v>1</v>
      </c>
      <c r="DK77" s="507">
        <v>0</v>
      </c>
      <c r="DL77" s="380">
        <f t="shared" si="64"/>
        <v>0</v>
      </c>
      <c r="DM77" s="506">
        <v>0</v>
      </c>
      <c r="DN77" s="53">
        <v>1</v>
      </c>
      <c r="DO77" s="507">
        <v>0</v>
      </c>
      <c r="DP77" s="380">
        <f t="shared" si="65"/>
        <v>0</v>
      </c>
      <c r="DQ77" s="506">
        <v>0</v>
      </c>
      <c r="DR77" s="53">
        <v>1</v>
      </c>
      <c r="DS77" s="507">
        <v>0</v>
      </c>
      <c r="DT77" s="380">
        <f t="shared" si="66"/>
        <v>0</v>
      </c>
      <c r="DU77" s="506">
        <v>0</v>
      </c>
      <c r="DV77" s="53">
        <v>1</v>
      </c>
      <c r="DW77" s="507">
        <v>0</v>
      </c>
      <c r="DX77" s="380">
        <f t="shared" si="67"/>
        <v>0</v>
      </c>
      <c r="DY77" s="506">
        <v>0</v>
      </c>
      <c r="DZ77" s="53">
        <v>1</v>
      </c>
      <c r="EA77" s="507">
        <v>0</v>
      </c>
      <c r="EB77" s="380">
        <f t="shared" si="68"/>
        <v>0</v>
      </c>
      <c r="EC77" s="506">
        <v>0</v>
      </c>
      <c r="ED77" s="53">
        <v>1</v>
      </c>
      <c r="EE77" s="507">
        <v>0</v>
      </c>
      <c r="EF77" s="380">
        <f t="shared" si="69"/>
        <v>0</v>
      </c>
      <c r="EG77" s="506">
        <v>0</v>
      </c>
      <c r="EH77" s="53">
        <v>1</v>
      </c>
      <c r="EI77" s="507">
        <v>0</v>
      </c>
      <c r="EJ77" s="380">
        <f t="shared" si="70"/>
        <v>0</v>
      </c>
      <c r="EK77" s="506">
        <v>0</v>
      </c>
      <c r="EL77" s="53">
        <v>1</v>
      </c>
      <c r="EM77" s="507">
        <v>0</v>
      </c>
      <c r="EN77" s="380">
        <f t="shared" si="71"/>
        <v>0</v>
      </c>
      <c r="EO77" s="506">
        <v>0</v>
      </c>
      <c r="EP77" s="53">
        <v>1</v>
      </c>
      <c r="EQ77" s="507">
        <v>0</v>
      </c>
      <c r="ER77" s="380">
        <f t="shared" si="72"/>
        <v>0</v>
      </c>
      <c r="ES77" s="506">
        <v>0</v>
      </c>
      <c r="ET77" s="53">
        <v>1</v>
      </c>
      <c r="EU77" s="507">
        <v>0</v>
      </c>
      <c r="EV77" s="380">
        <f t="shared" si="73"/>
        <v>0</v>
      </c>
      <c r="EW77" s="506">
        <v>0</v>
      </c>
      <c r="EX77" s="53">
        <v>1</v>
      </c>
      <c r="EY77" s="507">
        <v>0</v>
      </c>
      <c r="EZ77" s="380">
        <f t="shared" si="74"/>
        <v>0</v>
      </c>
      <c r="FA77" s="506">
        <v>0</v>
      </c>
      <c r="FB77" s="53">
        <v>1</v>
      </c>
      <c r="FC77" s="507">
        <v>0</v>
      </c>
      <c r="FD77" s="380">
        <f t="shared" si="75"/>
        <v>0</v>
      </c>
      <c r="FE77" s="506">
        <v>0</v>
      </c>
      <c r="FF77" s="53">
        <v>1</v>
      </c>
      <c r="FG77" s="507">
        <v>0</v>
      </c>
      <c r="FH77" s="380">
        <f t="shared" si="76"/>
        <v>0</v>
      </c>
      <c r="FI77" s="506">
        <v>0</v>
      </c>
      <c r="FJ77" s="53">
        <v>1</v>
      </c>
      <c r="FK77" s="507">
        <v>0</v>
      </c>
      <c r="FL77" s="380">
        <f t="shared" si="77"/>
        <v>0</v>
      </c>
      <c r="FM77" s="506">
        <v>0</v>
      </c>
      <c r="FN77" s="53">
        <v>1</v>
      </c>
      <c r="FO77" s="507">
        <v>0</v>
      </c>
      <c r="FP77" s="380">
        <f t="shared" si="78"/>
        <v>0</v>
      </c>
      <c r="FQ77" s="506">
        <v>0</v>
      </c>
      <c r="FR77" s="53">
        <v>1</v>
      </c>
      <c r="FS77" s="507">
        <v>0</v>
      </c>
      <c r="FT77" s="380">
        <f t="shared" si="79"/>
        <v>0</v>
      </c>
      <c r="FU77" s="506">
        <v>0</v>
      </c>
      <c r="FV77" s="53">
        <v>1</v>
      </c>
      <c r="FW77" s="507">
        <v>0</v>
      </c>
      <c r="FX77" s="380">
        <f t="shared" si="80"/>
        <v>0</v>
      </c>
      <c r="FY77" s="506">
        <v>0</v>
      </c>
      <c r="FZ77" s="53">
        <v>1</v>
      </c>
      <c r="GA77" s="507">
        <v>0</v>
      </c>
      <c r="GB77" s="380">
        <f t="shared" si="81"/>
        <v>0</v>
      </c>
      <c r="GC77" s="506">
        <v>0</v>
      </c>
      <c r="GD77" s="53">
        <v>1</v>
      </c>
      <c r="GE77" s="507">
        <v>0</v>
      </c>
      <c r="GF77" s="380">
        <f t="shared" si="82"/>
        <v>0</v>
      </c>
      <c r="GG77" s="506">
        <v>0</v>
      </c>
      <c r="GH77" s="53">
        <v>1</v>
      </c>
      <c r="GI77" s="507">
        <v>0</v>
      </c>
      <c r="GJ77" s="380">
        <f t="shared" si="83"/>
        <v>0</v>
      </c>
      <c r="GK77" s="506">
        <v>0</v>
      </c>
      <c r="GL77" s="53">
        <v>1</v>
      </c>
      <c r="GM77" s="507">
        <v>0</v>
      </c>
      <c r="GN77" s="380">
        <f t="shared" si="84"/>
        <v>0</v>
      </c>
      <c r="GO77" s="506">
        <v>0</v>
      </c>
      <c r="GP77" s="53">
        <v>1</v>
      </c>
      <c r="GQ77" s="507">
        <v>0</v>
      </c>
      <c r="GR77" s="380">
        <f t="shared" si="85"/>
        <v>0</v>
      </c>
      <c r="GS77" s="506">
        <v>0</v>
      </c>
      <c r="GT77" s="53">
        <v>1</v>
      </c>
      <c r="GU77" s="507">
        <v>0</v>
      </c>
      <c r="GV77" s="380">
        <f t="shared" si="86"/>
        <v>0</v>
      </c>
      <c r="GW77" s="506">
        <v>0</v>
      </c>
      <c r="GX77" s="53">
        <v>1</v>
      </c>
      <c r="GY77" s="507">
        <v>0</v>
      </c>
      <c r="GZ77" s="380">
        <f t="shared" si="87"/>
        <v>0</v>
      </c>
      <c r="HA77" s="506">
        <v>0</v>
      </c>
      <c r="HB77" s="53">
        <v>1</v>
      </c>
      <c r="HC77" s="507">
        <v>0</v>
      </c>
      <c r="HD77" s="380">
        <f t="shared" si="88"/>
        <v>0</v>
      </c>
      <c r="HE77" s="506">
        <v>0</v>
      </c>
      <c r="HF77" s="53">
        <v>1</v>
      </c>
      <c r="HG77" s="507">
        <v>0</v>
      </c>
      <c r="HH77" s="380">
        <f t="shared" si="89"/>
        <v>0</v>
      </c>
      <c r="HI77" s="506">
        <v>0</v>
      </c>
      <c r="HJ77" s="53">
        <v>1</v>
      </c>
      <c r="HK77" s="507">
        <v>0</v>
      </c>
      <c r="HL77" s="380">
        <f t="shared" si="90"/>
        <v>0</v>
      </c>
      <c r="HM77" s="506">
        <v>0</v>
      </c>
      <c r="HN77" s="53">
        <v>1</v>
      </c>
      <c r="HO77" s="507">
        <v>0</v>
      </c>
      <c r="HP77" s="380">
        <f t="shared" si="91"/>
        <v>0</v>
      </c>
      <c r="HQ77" s="506">
        <v>0</v>
      </c>
      <c r="HR77" s="53">
        <v>1</v>
      </c>
      <c r="HS77" s="507">
        <v>0</v>
      </c>
      <c r="HT77" s="380">
        <f t="shared" si="92"/>
        <v>0</v>
      </c>
      <c r="HU77" s="506">
        <v>0</v>
      </c>
      <c r="HV77" s="53">
        <v>1</v>
      </c>
      <c r="HW77" s="507">
        <v>0</v>
      </c>
      <c r="HX77" s="380">
        <f t="shared" si="93"/>
        <v>0</v>
      </c>
      <c r="HY77" s="506">
        <v>0</v>
      </c>
      <c r="HZ77" s="53">
        <v>1</v>
      </c>
      <c r="IA77" s="507">
        <v>0</v>
      </c>
      <c r="IB77" s="380">
        <f t="shared" si="94"/>
        <v>0</v>
      </c>
      <c r="IC77" s="506">
        <v>0</v>
      </c>
      <c r="ID77" s="53">
        <v>1</v>
      </c>
      <c r="IE77" s="507">
        <v>0</v>
      </c>
      <c r="IF77" s="380">
        <f t="shared" si="95"/>
        <v>0</v>
      </c>
      <c r="IG77" s="506">
        <v>0</v>
      </c>
      <c r="IH77" s="53">
        <v>1</v>
      </c>
      <c r="II77" s="507">
        <v>0</v>
      </c>
      <c r="IJ77" s="380">
        <f t="shared" si="96"/>
        <v>0</v>
      </c>
      <c r="IK77" s="506">
        <v>0</v>
      </c>
      <c r="IL77" s="53">
        <v>1</v>
      </c>
      <c r="IM77" s="507">
        <v>0</v>
      </c>
      <c r="IN77" s="380">
        <f t="shared" si="97"/>
        <v>0</v>
      </c>
      <c r="IO77" s="506">
        <v>0</v>
      </c>
      <c r="IP77" s="53">
        <v>1</v>
      </c>
      <c r="IQ77" s="507">
        <v>0</v>
      </c>
      <c r="IR77" s="380">
        <f t="shared" si="98"/>
        <v>0</v>
      </c>
      <c r="IS77" s="506">
        <v>0</v>
      </c>
      <c r="IT77" s="53">
        <v>1</v>
      </c>
      <c r="IU77" s="507">
        <v>0</v>
      </c>
      <c r="IV77" s="380">
        <f t="shared" si="99"/>
        <v>0</v>
      </c>
      <c r="IW77" s="506">
        <v>0</v>
      </c>
      <c r="IX77" s="53">
        <v>1</v>
      </c>
      <c r="IY77" s="507">
        <v>0</v>
      </c>
      <c r="IZ77" s="380">
        <f t="shared" si="100"/>
        <v>0</v>
      </c>
    </row>
    <row r="78" spans="1:260">
      <c r="A78" s="13" t="s">
        <v>548</v>
      </c>
      <c r="B78" s="13" t="s">
        <v>549</v>
      </c>
      <c r="C78" s="13" t="s">
        <v>38</v>
      </c>
      <c r="D78" s="13" t="s">
        <v>336</v>
      </c>
      <c r="E78" s="13" t="s">
        <v>2</v>
      </c>
      <c r="F78" s="13">
        <v>7204121</v>
      </c>
      <c r="G78" s="13" t="s">
        <v>631</v>
      </c>
      <c r="H78" s="14" t="s">
        <v>632</v>
      </c>
      <c r="I78" s="14" t="s">
        <v>494</v>
      </c>
      <c r="J78" s="14">
        <f>+VLOOKUP(E78,'Summary - Colar'!$M$39:$N$54,2,FALSE)</f>
        <v>1</v>
      </c>
      <c r="K78" s="14"/>
      <c r="L78" s="506" t="s">
        <v>494</v>
      </c>
      <c r="M78" s="53">
        <v>1</v>
      </c>
      <c r="N78" s="507"/>
      <c r="O78" s="506" t="s">
        <v>494</v>
      </c>
      <c r="P78" s="53">
        <v>1</v>
      </c>
      <c r="Q78" s="507"/>
      <c r="R78" s="506" t="s">
        <v>494</v>
      </c>
      <c r="S78" s="53">
        <v>1</v>
      </c>
      <c r="T78" s="507"/>
      <c r="U78" s="506" t="s">
        <v>494</v>
      </c>
      <c r="V78" s="53">
        <v>1</v>
      </c>
      <c r="W78" s="507"/>
      <c r="X78" s="506" t="s">
        <v>494</v>
      </c>
      <c r="Y78" s="53">
        <v>1</v>
      </c>
      <c r="Z78" s="507"/>
      <c r="AA78" s="506" t="s">
        <v>494</v>
      </c>
      <c r="AB78" s="53">
        <v>1</v>
      </c>
      <c r="AC78" s="507"/>
      <c r="AD78" s="506" t="s">
        <v>494</v>
      </c>
      <c r="AE78" s="53">
        <v>1</v>
      </c>
      <c r="AF78" s="507"/>
      <c r="AG78" s="506" t="s">
        <v>494</v>
      </c>
      <c r="AH78" s="53">
        <v>1</v>
      </c>
      <c r="AI78" s="507"/>
      <c r="AJ78" s="506" t="s">
        <v>494</v>
      </c>
      <c r="AK78" s="53">
        <v>1</v>
      </c>
      <c r="AL78" s="507"/>
      <c r="AM78" s="506" t="s">
        <v>494</v>
      </c>
      <c r="AN78" s="53">
        <v>1</v>
      </c>
      <c r="AO78" s="507"/>
      <c r="AP78" s="506" t="s">
        <v>494</v>
      </c>
      <c r="AQ78" s="53">
        <v>1</v>
      </c>
      <c r="AR78" s="507"/>
      <c r="AS78" s="506" t="s">
        <v>494</v>
      </c>
      <c r="AT78" s="53">
        <v>1</v>
      </c>
      <c r="AU78" s="507"/>
      <c r="AV78" s="506" t="s">
        <v>494</v>
      </c>
      <c r="AW78" s="53">
        <v>1</v>
      </c>
      <c r="AX78" s="507"/>
      <c r="AY78" s="506" t="s">
        <v>494</v>
      </c>
      <c r="AZ78" s="53">
        <v>1</v>
      </c>
      <c r="BA78" s="507"/>
      <c r="BB78" s="506" t="s">
        <v>494</v>
      </c>
      <c r="BC78" s="53">
        <v>1</v>
      </c>
      <c r="BD78" s="507"/>
      <c r="BE78" s="506" t="s">
        <v>494</v>
      </c>
      <c r="BF78" s="53">
        <v>1</v>
      </c>
      <c r="BG78" s="507"/>
      <c r="BH78" s="380">
        <f t="shared" si="51"/>
        <v>-1</v>
      </c>
      <c r="BI78" s="506" t="s">
        <v>494</v>
      </c>
      <c r="BJ78" s="53">
        <v>1</v>
      </c>
      <c r="BK78" s="507"/>
      <c r="BL78" s="380">
        <f t="shared" si="52"/>
        <v>0</v>
      </c>
      <c r="BM78" s="506" t="s">
        <v>494</v>
      </c>
      <c r="BN78" s="53">
        <v>1</v>
      </c>
      <c r="BO78" s="507"/>
      <c r="BP78">
        <v>0</v>
      </c>
      <c r="BQ78" s="506" t="s">
        <v>494</v>
      </c>
      <c r="BR78" s="53">
        <v>1</v>
      </c>
      <c r="BS78" s="507"/>
      <c r="BT78" s="380">
        <f t="shared" si="53"/>
        <v>0</v>
      </c>
      <c r="BU78" s="506" t="s">
        <v>494</v>
      </c>
      <c r="BV78" s="53">
        <v>1</v>
      </c>
      <c r="BW78" s="507"/>
      <c r="BX78" s="380">
        <f t="shared" si="54"/>
        <v>0</v>
      </c>
      <c r="BY78" s="506" t="s">
        <v>494</v>
      </c>
      <c r="BZ78" s="53">
        <v>1</v>
      </c>
      <c r="CA78" s="507"/>
      <c r="CB78" s="380">
        <f t="shared" si="55"/>
        <v>0</v>
      </c>
      <c r="CC78" s="506" t="s">
        <v>494</v>
      </c>
      <c r="CD78" s="53">
        <v>1</v>
      </c>
      <c r="CE78" s="507"/>
      <c r="CF78" s="380">
        <f t="shared" si="56"/>
        <v>0</v>
      </c>
      <c r="CG78" s="506" t="s">
        <v>494</v>
      </c>
      <c r="CH78" s="53">
        <v>1</v>
      </c>
      <c r="CI78" s="507"/>
      <c r="CJ78" s="380">
        <f t="shared" si="57"/>
        <v>0</v>
      </c>
      <c r="CK78" s="506" t="s">
        <v>494</v>
      </c>
      <c r="CL78" s="53">
        <v>1</v>
      </c>
      <c r="CM78" s="507"/>
      <c r="CN78" s="380">
        <f t="shared" si="58"/>
        <v>0</v>
      </c>
      <c r="CO78" s="506" t="s">
        <v>494</v>
      </c>
      <c r="CP78" s="53">
        <v>1</v>
      </c>
      <c r="CQ78" s="507"/>
      <c r="CR78" s="380">
        <f t="shared" si="59"/>
        <v>0</v>
      </c>
      <c r="CS78" s="506" t="s">
        <v>494</v>
      </c>
      <c r="CT78" s="53">
        <v>1</v>
      </c>
      <c r="CU78" s="507"/>
      <c r="CV78" s="380">
        <f t="shared" si="60"/>
        <v>0</v>
      </c>
      <c r="CW78" s="506" t="s">
        <v>494</v>
      </c>
      <c r="CX78" s="53">
        <v>1</v>
      </c>
      <c r="CY78" s="507"/>
      <c r="CZ78" s="380">
        <f t="shared" si="61"/>
        <v>0</v>
      </c>
      <c r="DA78" s="506" t="s">
        <v>494</v>
      </c>
      <c r="DB78" s="53">
        <v>1</v>
      </c>
      <c r="DC78" s="507"/>
      <c r="DD78" s="380">
        <f t="shared" si="62"/>
        <v>0</v>
      </c>
      <c r="DE78" s="506" t="s">
        <v>494</v>
      </c>
      <c r="DF78" s="53">
        <v>1</v>
      </c>
      <c r="DG78" s="507"/>
      <c r="DH78" s="380">
        <f t="shared" si="63"/>
        <v>0</v>
      </c>
      <c r="DI78" s="506" t="s">
        <v>494</v>
      </c>
      <c r="DJ78" s="53">
        <v>1</v>
      </c>
      <c r="DK78" s="507"/>
      <c r="DL78" s="380">
        <f t="shared" si="64"/>
        <v>0</v>
      </c>
      <c r="DM78" s="506" t="s">
        <v>494</v>
      </c>
      <c r="DN78" s="53">
        <v>1</v>
      </c>
      <c r="DO78" s="507"/>
      <c r="DP78" s="380">
        <f t="shared" si="65"/>
        <v>0</v>
      </c>
      <c r="DQ78" s="506" t="s">
        <v>494</v>
      </c>
      <c r="DR78" s="53">
        <v>1</v>
      </c>
      <c r="DS78" s="507"/>
      <c r="DT78" s="380">
        <f t="shared" si="66"/>
        <v>0</v>
      </c>
      <c r="DU78" s="506" t="s">
        <v>494</v>
      </c>
      <c r="DV78" s="53">
        <v>1</v>
      </c>
      <c r="DW78" s="507"/>
      <c r="DX78" s="380">
        <f t="shared" si="67"/>
        <v>0</v>
      </c>
      <c r="DY78" s="506" t="s">
        <v>494</v>
      </c>
      <c r="DZ78" s="53">
        <v>1</v>
      </c>
      <c r="EA78" s="507"/>
      <c r="EB78" s="380">
        <f t="shared" si="68"/>
        <v>0</v>
      </c>
      <c r="EC78" s="506" t="s">
        <v>494</v>
      </c>
      <c r="ED78" s="53">
        <v>1</v>
      </c>
      <c r="EE78" s="507"/>
      <c r="EF78" s="380">
        <f t="shared" si="69"/>
        <v>0</v>
      </c>
      <c r="EG78" s="506" t="s">
        <v>494</v>
      </c>
      <c r="EH78" s="53">
        <v>1</v>
      </c>
      <c r="EI78" s="507"/>
      <c r="EJ78" s="380">
        <f t="shared" si="70"/>
        <v>0</v>
      </c>
      <c r="EK78" s="506" t="s">
        <v>494</v>
      </c>
      <c r="EL78" s="53">
        <v>1</v>
      </c>
      <c r="EM78" s="507"/>
      <c r="EN78" s="380">
        <f t="shared" si="71"/>
        <v>0</v>
      </c>
      <c r="EO78" s="506" t="s">
        <v>494</v>
      </c>
      <c r="EP78" s="53">
        <v>1</v>
      </c>
      <c r="EQ78" s="507"/>
      <c r="ER78" s="380">
        <f t="shared" si="72"/>
        <v>0</v>
      </c>
      <c r="ES78" s="506" t="s">
        <v>494</v>
      </c>
      <c r="ET78" s="53">
        <v>1</v>
      </c>
      <c r="EU78" s="507"/>
      <c r="EV78" s="380">
        <f t="shared" si="73"/>
        <v>0</v>
      </c>
      <c r="EW78" s="506" t="s">
        <v>494</v>
      </c>
      <c r="EX78" s="53">
        <v>1</v>
      </c>
      <c r="EY78" s="507"/>
      <c r="EZ78" s="380">
        <f t="shared" si="74"/>
        <v>0</v>
      </c>
      <c r="FA78" s="506" t="s">
        <v>494</v>
      </c>
      <c r="FB78" s="53">
        <v>1</v>
      </c>
      <c r="FC78" s="507"/>
      <c r="FD78" s="380">
        <f t="shared" si="75"/>
        <v>0</v>
      </c>
      <c r="FE78" s="506" t="s">
        <v>494</v>
      </c>
      <c r="FF78" s="53">
        <v>1</v>
      </c>
      <c r="FG78" s="507"/>
      <c r="FH78" s="380">
        <f t="shared" si="76"/>
        <v>0</v>
      </c>
      <c r="FI78" s="506" t="s">
        <v>494</v>
      </c>
      <c r="FJ78" s="53">
        <v>1</v>
      </c>
      <c r="FK78" s="507"/>
      <c r="FL78" s="380">
        <f t="shared" si="77"/>
        <v>0</v>
      </c>
      <c r="FM78" s="506" t="s">
        <v>494</v>
      </c>
      <c r="FN78" s="53">
        <v>1</v>
      </c>
      <c r="FO78" s="507"/>
      <c r="FP78" s="380">
        <f t="shared" si="78"/>
        <v>0</v>
      </c>
      <c r="FQ78" s="506" t="s">
        <v>494</v>
      </c>
      <c r="FR78" s="53">
        <v>1</v>
      </c>
      <c r="FS78" s="507"/>
      <c r="FT78" s="380">
        <f t="shared" si="79"/>
        <v>0</v>
      </c>
      <c r="FU78" s="506" t="s">
        <v>494</v>
      </c>
      <c r="FV78" s="53">
        <v>1</v>
      </c>
      <c r="FW78" s="507"/>
      <c r="FX78" s="380">
        <f t="shared" si="80"/>
        <v>0</v>
      </c>
      <c r="FY78" s="506" t="s">
        <v>494</v>
      </c>
      <c r="FZ78" s="53">
        <v>1</v>
      </c>
      <c r="GA78" s="507"/>
      <c r="GB78" s="380">
        <f t="shared" si="81"/>
        <v>0</v>
      </c>
      <c r="GC78" s="506" t="s">
        <v>494</v>
      </c>
      <c r="GD78" s="53">
        <v>1</v>
      </c>
      <c r="GE78" s="507"/>
      <c r="GF78" s="380">
        <f t="shared" si="82"/>
        <v>0</v>
      </c>
      <c r="GG78" s="506" t="s">
        <v>494</v>
      </c>
      <c r="GH78" s="53">
        <v>1</v>
      </c>
      <c r="GI78" s="507"/>
      <c r="GJ78" s="380">
        <f t="shared" si="83"/>
        <v>0</v>
      </c>
      <c r="GK78" s="506" t="s">
        <v>494</v>
      </c>
      <c r="GL78" s="53">
        <v>1</v>
      </c>
      <c r="GM78" s="507"/>
      <c r="GN78" s="380">
        <f t="shared" si="84"/>
        <v>0</v>
      </c>
      <c r="GO78" s="506" t="s">
        <v>494</v>
      </c>
      <c r="GP78" s="53">
        <v>1</v>
      </c>
      <c r="GQ78" s="507"/>
      <c r="GR78" s="380">
        <f t="shared" si="85"/>
        <v>0</v>
      </c>
      <c r="GS78" s="506" t="s">
        <v>494</v>
      </c>
      <c r="GT78" s="53">
        <v>1</v>
      </c>
      <c r="GU78" s="507"/>
      <c r="GV78" s="380">
        <f t="shared" si="86"/>
        <v>0</v>
      </c>
      <c r="GW78" s="506" t="s">
        <v>494</v>
      </c>
      <c r="GX78" s="53">
        <v>1</v>
      </c>
      <c r="GY78" s="507"/>
      <c r="GZ78" s="380">
        <f t="shared" si="87"/>
        <v>0</v>
      </c>
      <c r="HA78" s="506" t="s">
        <v>494</v>
      </c>
      <c r="HB78" s="53">
        <v>1</v>
      </c>
      <c r="HC78" s="507"/>
      <c r="HD78" s="380">
        <f t="shared" si="88"/>
        <v>0</v>
      </c>
      <c r="HE78" s="506" t="s">
        <v>494</v>
      </c>
      <c r="HF78" s="53">
        <v>1</v>
      </c>
      <c r="HG78" s="507"/>
      <c r="HH78" s="380">
        <f t="shared" si="89"/>
        <v>0</v>
      </c>
      <c r="HI78" s="506" t="s">
        <v>494</v>
      </c>
      <c r="HJ78" s="53">
        <v>1</v>
      </c>
      <c r="HK78" s="507"/>
      <c r="HL78" s="380">
        <f t="shared" si="90"/>
        <v>0</v>
      </c>
      <c r="HM78" s="506" t="s">
        <v>494</v>
      </c>
      <c r="HN78" s="53">
        <v>1</v>
      </c>
      <c r="HO78" s="507"/>
      <c r="HP78" s="380">
        <f t="shared" si="91"/>
        <v>0</v>
      </c>
      <c r="HQ78" s="506" t="s">
        <v>494</v>
      </c>
      <c r="HR78" s="53">
        <v>1</v>
      </c>
      <c r="HS78" s="507"/>
      <c r="HT78" s="380">
        <f t="shared" si="92"/>
        <v>0</v>
      </c>
      <c r="HU78" s="506" t="s">
        <v>494</v>
      </c>
      <c r="HV78" s="53">
        <v>1</v>
      </c>
      <c r="HW78" s="507"/>
      <c r="HX78" s="380">
        <f t="shared" si="93"/>
        <v>0</v>
      </c>
      <c r="HY78" s="506" t="s">
        <v>494</v>
      </c>
      <c r="HZ78" s="53">
        <v>1</v>
      </c>
      <c r="IA78" s="507"/>
      <c r="IB78" s="380">
        <f t="shared" si="94"/>
        <v>0</v>
      </c>
      <c r="IC78" s="506" t="s">
        <v>494</v>
      </c>
      <c r="ID78" s="53">
        <v>1</v>
      </c>
      <c r="IE78" s="507"/>
      <c r="IF78" s="380">
        <f t="shared" si="95"/>
        <v>0</v>
      </c>
      <c r="IG78" s="506" t="s">
        <v>494</v>
      </c>
      <c r="IH78" s="53">
        <v>1</v>
      </c>
      <c r="II78" s="507"/>
      <c r="IJ78" s="380">
        <f t="shared" si="96"/>
        <v>0</v>
      </c>
      <c r="IK78" s="506" t="s">
        <v>494</v>
      </c>
      <c r="IL78" s="53">
        <v>1</v>
      </c>
      <c r="IM78" s="507"/>
      <c r="IN78" s="380">
        <f t="shared" si="97"/>
        <v>0</v>
      </c>
      <c r="IO78" s="506" t="s">
        <v>494</v>
      </c>
      <c r="IP78" s="53">
        <v>1</v>
      </c>
      <c r="IQ78" s="507"/>
      <c r="IR78" s="380">
        <f t="shared" si="98"/>
        <v>0</v>
      </c>
      <c r="IS78" s="506" t="s">
        <v>494</v>
      </c>
      <c r="IT78" s="53">
        <v>1</v>
      </c>
      <c r="IU78" s="507"/>
      <c r="IV78" s="380">
        <f t="shared" si="99"/>
        <v>0</v>
      </c>
      <c r="IW78" s="506" t="s">
        <v>494</v>
      </c>
      <c r="IX78" s="53">
        <v>1</v>
      </c>
      <c r="IY78" s="507"/>
      <c r="IZ78" s="380">
        <f t="shared" si="100"/>
        <v>0</v>
      </c>
    </row>
    <row r="79" spans="1:260">
      <c r="A79" s="13" t="s">
        <v>548</v>
      </c>
      <c r="B79" s="13" t="s">
        <v>549</v>
      </c>
      <c r="C79" s="13" t="s">
        <v>38</v>
      </c>
      <c r="D79" s="13" t="s">
        <v>336</v>
      </c>
      <c r="E79" s="13" t="s">
        <v>3</v>
      </c>
      <c r="F79" s="13">
        <v>20087918</v>
      </c>
      <c r="G79" s="13" t="s">
        <v>110</v>
      </c>
      <c r="H79" s="49" t="s">
        <v>508</v>
      </c>
      <c r="I79" s="14">
        <f>+'IBP export - Colar'!L31</f>
        <v>505677</v>
      </c>
      <c r="J79" s="14">
        <f>+VLOOKUP(E79,'Summary - Colar'!$M$39:$N$54,2,FALSE)</f>
        <v>7.4596999999999998</v>
      </c>
      <c r="K79" s="14">
        <f t="shared" si="101"/>
        <v>67787.846696247841</v>
      </c>
      <c r="L79" s="506">
        <v>7970.95</v>
      </c>
      <c r="M79" s="53">
        <v>7.4578000227644718</v>
      </c>
      <c r="N79" s="507">
        <v>1068.8071516625773</v>
      </c>
      <c r="O79" s="506">
        <v>7970.95</v>
      </c>
      <c r="P79" s="53">
        <v>7.4599000367386337</v>
      </c>
      <c r="Q79" s="507">
        <v>1068.5062749828469</v>
      </c>
      <c r="R79" s="506">
        <v>6460.13</v>
      </c>
      <c r="S79" s="53">
        <v>7.4604999812168193</v>
      </c>
      <c r="T79" s="507">
        <v>865.91113414175527</v>
      </c>
      <c r="U79" s="506">
        <v>3006366.86</v>
      </c>
      <c r="V79" s="53">
        <v>7.4608499551659859</v>
      </c>
      <c r="W79" s="507">
        <v>402952.32822881715</v>
      </c>
      <c r="X79" s="506">
        <v>3006366.86</v>
      </c>
      <c r="Y79" s="53">
        <v>7.4616000126947908</v>
      </c>
      <c r="Z79" s="507">
        <v>402911.82251596422</v>
      </c>
      <c r="AA79" s="506">
        <v>6366.86</v>
      </c>
      <c r="AB79" s="53">
        <v>7.4617499299525107</v>
      </c>
      <c r="AC79" s="507">
        <v>853.26633293385112</v>
      </c>
      <c r="AD79" s="506">
        <v>6366.86</v>
      </c>
      <c r="AE79" s="53">
        <v>7.4598500675691328</v>
      </c>
      <c r="AF79" s="507">
        <v>853.48364140443175</v>
      </c>
      <c r="AG79" s="506">
        <v>6366.86</v>
      </c>
      <c r="AH79" s="53">
        <v>7.4589500593778393</v>
      </c>
      <c r="AI79" s="507">
        <v>853.5866240309789</v>
      </c>
      <c r="AJ79" s="506">
        <v>6366.86</v>
      </c>
      <c r="AK79" s="53">
        <v>7.4586999951330943</v>
      </c>
      <c r="AL79" s="507">
        <v>853.61524181887785</v>
      </c>
      <c r="AM79" s="506">
        <v>6366.86</v>
      </c>
      <c r="AN79" s="53">
        <v>7.4580999574828022</v>
      </c>
      <c r="AO79" s="507">
        <v>853.68391900031475</v>
      </c>
      <c r="AP79" s="506">
        <v>6366.86</v>
      </c>
      <c r="AQ79" s="53">
        <v>7.4589500752281221</v>
      </c>
      <c r="AR79" s="507">
        <v>853.58662221710574</v>
      </c>
      <c r="AS79" s="506">
        <v>6367</v>
      </c>
      <c r="AT79" s="53">
        <v>7.4602000000000004</v>
      </c>
      <c r="AU79" s="507">
        <v>853.46237366290438</v>
      </c>
      <c r="AV79" s="506">
        <v>6366.86</v>
      </c>
      <c r="AW79" s="53">
        <v>7.4596499203654751</v>
      </c>
      <c r="AX79" s="507">
        <v>853.50654091929084</v>
      </c>
      <c r="AY79" s="506">
        <v>6273.6</v>
      </c>
      <c r="AZ79" s="53">
        <v>7.461600087896608</v>
      </c>
      <c r="BA79" s="507">
        <v>840.78480836521226</v>
      </c>
      <c r="BB79" s="506">
        <v>6273.6</v>
      </c>
      <c r="BC79" s="53">
        <v>7.461300259157241</v>
      </c>
      <c r="BD79" s="507">
        <v>840.81859489576527</v>
      </c>
      <c r="BE79" s="506">
        <v>6273.6</v>
      </c>
      <c r="BF79" s="53">
        <v>7.4615506843211987</v>
      </c>
      <c r="BG79" s="507">
        <v>840.79037527448361</v>
      </c>
      <c r="BH79" s="380">
        <f t="shared" si="51"/>
        <v>833.32907501532634</v>
      </c>
      <c r="BI79" s="506">
        <v>6273.6</v>
      </c>
      <c r="BJ79" s="53">
        <v>7.4610497754059075</v>
      </c>
      <c r="BK79" s="507">
        <v>840.84682301408372</v>
      </c>
      <c r="BL79" s="380">
        <f t="shared" si="52"/>
        <v>5.644773960011662E-2</v>
      </c>
      <c r="BM79" s="506">
        <v>6049.75</v>
      </c>
      <c r="BN79" s="53">
        <v>7.461299503822036</v>
      </c>
      <c r="BO79" s="507">
        <v>810.81720374594636</v>
      </c>
      <c r="BP79">
        <v>6.8677181436896717E-2</v>
      </c>
      <c r="BQ79" s="506">
        <v>6049.75</v>
      </c>
      <c r="BR79" s="53">
        <v>7.4617506681719297</v>
      </c>
      <c r="BS79" s="507">
        <v>810.76817881428099</v>
      </c>
      <c r="BT79" s="380">
        <f t="shared" si="53"/>
        <v>-4.9024931665371696E-2</v>
      </c>
      <c r="BU79" s="506">
        <v>6049.75</v>
      </c>
      <c r="BV79" s="53">
        <v>7.4637500907994205</v>
      </c>
      <c r="BW79" s="507">
        <v>810.55098662233331</v>
      </c>
      <c r="BX79" s="380">
        <f t="shared" si="54"/>
        <v>-0.21719219194767447</v>
      </c>
      <c r="BY79" s="506">
        <v>6049.75</v>
      </c>
      <c r="BZ79" s="53">
        <v>7.4648006228336596</v>
      </c>
      <c r="CA79" s="507">
        <v>810.43691662638105</v>
      </c>
      <c r="CB79" s="380">
        <f t="shared" si="55"/>
        <v>-0.11406999595226353</v>
      </c>
      <c r="CC79" s="506">
        <v>6049.75</v>
      </c>
      <c r="CD79" s="53">
        <v>7.4690003021903921</v>
      </c>
      <c r="CE79" s="507">
        <v>809.98122308628422</v>
      </c>
      <c r="CF79" s="380">
        <f t="shared" si="56"/>
        <v>-0.45569354009683138</v>
      </c>
      <c r="CG79" s="506">
        <v>6049.75</v>
      </c>
      <c r="CH79" s="53">
        <v>7.4653997129273453</v>
      </c>
      <c r="CI79" s="507">
        <v>810.37187995761872</v>
      </c>
      <c r="CJ79" s="380">
        <f t="shared" si="57"/>
        <v>0.39065687133449956</v>
      </c>
      <c r="CK79" s="506">
        <v>6049.75</v>
      </c>
      <c r="CL79" s="53">
        <v>7.4675995432937077</v>
      </c>
      <c r="CM79" s="507">
        <v>810.13315790788351</v>
      </c>
      <c r="CN79" s="380">
        <f t="shared" si="58"/>
        <v>-0.23872204973520184</v>
      </c>
      <c r="CO79" s="506">
        <v>6049.75</v>
      </c>
      <c r="CP79" s="53">
        <v>7.4676002177606442</v>
      </c>
      <c r="CQ79" s="507">
        <v>810.13308473738516</v>
      </c>
      <c r="CR79" s="380">
        <f t="shared" si="59"/>
        <v>-7.3170498353647417E-5</v>
      </c>
      <c r="CS79" s="506">
        <v>6049.75</v>
      </c>
      <c r="CT79" s="53">
        <v>7.4661999511468373</v>
      </c>
      <c r="CU79" s="507">
        <v>810.2850231155054</v>
      </c>
      <c r="CV79" s="380">
        <f t="shared" si="60"/>
        <v>0.15193837812023503</v>
      </c>
      <c r="CW79" s="506">
        <v>6049.75</v>
      </c>
      <c r="CX79" s="53">
        <v>7.4671001485065602</v>
      </c>
      <c r="CY79" s="507">
        <v>810.18733908503509</v>
      </c>
      <c r="CZ79" s="380">
        <f t="shared" si="61"/>
        <v>-9.7684030470304606E-2</v>
      </c>
      <c r="DA79" s="506">
        <v>6049.75</v>
      </c>
      <c r="DB79" s="53">
        <v>7.4664002142367627</v>
      </c>
      <c r="DC79" s="507">
        <v>810.26328972621559</v>
      </c>
      <c r="DD79" s="380">
        <f t="shared" si="62"/>
        <v>7.5950641180497769E-2</v>
      </c>
      <c r="DE79" s="506">
        <v>6049.75</v>
      </c>
      <c r="DF79" s="53">
        <v>7.4662497481843646</v>
      </c>
      <c r="DG79" s="507">
        <v>810.2796188235161</v>
      </c>
      <c r="DH79" s="380">
        <f t="shared" si="63"/>
        <v>1.632909730051324E-2</v>
      </c>
      <c r="DI79" s="506">
        <v>6049.75</v>
      </c>
      <c r="DJ79" s="53">
        <v>7.4655001856203178</v>
      </c>
      <c r="DK79" s="507">
        <v>810.36097375668589</v>
      </c>
      <c r="DL79" s="380">
        <f t="shared" si="64"/>
        <v>8.1354933169791366E-2</v>
      </c>
      <c r="DM79" s="506">
        <v>5863.11</v>
      </c>
      <c r="DN79" s="53">
        <v>14.637048620993989</v>
      </c>
      <c r="DO79" s="507">
        <v>400.56640869461302</v>
      </c>
      <c r="DP79" s="380">
        <f t="shared" si="65"/>
        <v>-409.79456506207288</v>
      </c>
      <c r="DQ79" s="506">
        <v>5863.11</v>
      </c>
      <c r="DR79" s="53">
        <v>7.4644001348009938</v>
      </c>
      <c r="DS79" s="507">
        <v>785.47638043473057</v>
      </c>
      <c r="DT79" s="380">
        <f t="shared" si="66"/>
        <v>384.90997174011756</v>
      </c>
      <c r="DU79" s="506">
        <v>5863.11</v>
      </c>
      <c r="DV79" s="53">
        <v>7.462950004502602</v>
      </c>
      <c r="DW79" s="507">
        <v>785.62900682205088</v>
      </c>
      <c r="DX79" s="380">
        <f t="shared" si="67"/>
        <v>0.15262638732031064</v>
      </c>
      <c r="DY79" s="506">
        <v>5863</v>
      </c>
      <c r="DZ79" s="53">
        <v>7.4618000000000002</v>
      </c>
      <c r="EA79" s="507">
        <v>785.73534535902866</v>
      </c>
      <c r="EB79" s="380">
        <f t="shared" si="68"/>
        <v>0.1063385369777734</v>
      </c>
      <c r="EC79" s="506">
        <v>5863</v>
      </c>
      <c r="ED79" s="53">
        <v>7.4621500000000003</v>
      </c>
      <c r="EE79" s="507">
        <v>785.69849172155477</v>
      </c>
      <c r="EF79" s="380">
        <f t="shared" si="69"/>
        <v>-3.6853637473882372E-2</v>
      </c>
      <c r="EG79" s="506">
        <v>5863</v>
      </c>
      <c r="EH79" s="53">
        <v>7.4611999999999998</v>
      </c>
      <c r="EI79" s="507">
        <v>785.79853106738869</v>
      </c>
      <c r="EJ79" s="380">
        <f t="shared" si="70"/>
        <v>0.10003934583392038</v>
      </c>
      <c r="EK79" s="506">
        <v>5863</v>
      </c>
      <c r="EL79" s="53">
        <v>7.4615</v>
      </c>
      <c r="EM79" s="507">
        <v>785.76693694297398</v>
      </c>
      <c r="EN79" s="380">
        <f t="shared" si="71"/>
        <v>-3.1594124414709768E-2</v>
      </c>
      <c r="EO79" s="506">
        <v>5863</v>
      </c>
      <c r="EP79" s="53">
        <v>7.4603000000000002</v>
      </c>
      <c r="EQ79" s="507">
        <v>785.89332868651388</v>
      </c>
      <c r="ER79" s="380">
        <f t="shared" si="72"/>
        <v>0.12639174353989802</v>
      </c>
      <c r="ES79" s="506">
        <v>5863</v>
      </c>
      <c r="ET79" s="53">
        <v>7.4603999999999999</v>
      </c>
      <c r="EU79" s="507">
        <v>785.88279448823118</v>
      </c>
      <c r="EV79" s="380">
        <f t="shared" si="73"/>
        <v>-1.0534198282698526E-2</v>
      </c>
      <c r="EW79" s="506">
        <v>5863</v>
      </c>
      <c r="EX79" s="53">
        <v>7.4592999999999998</v>
      </c>
      <c r="EY79" s="507">
        <v>785.99868620379925</v>
      </c>
      <c r="EZ79" s="380">
        <f t="shared" si="74"/>
        <v>0.11589171556806832</v>
      </c>
      <c r="FA79" s="506">
        <v>5863</v>
      </c>
      <c r="FB79" s="53">
        <v>7.4596</v>
      </c>
      <c r="FC79" s="507">
        <v>785.9670759826264</v>
      </c>
      <c r="FD79" s="380">
        <f t="shared" si="75"/>
        <v>-3.1610221172854835E-2</v>
      </c>
      <c r="FE79" s="506">
        <v>5863</v>
      </c>
      <c r="FF79" s="53">
        <v>7.4592999999999998</v>
      </c>
      <c r="FG79" s="507">
        <v>785.99868620379925</v>
      </c>
      <c r="FH79" s="380">
        <f t="shared" si="76"/>
        <v>3.1610221172854835E-2</v>
      </c>
      <c r="FI79" s="506">
        <v>5863</v>
      </c>
      <c r="FJ79" s="53">
        <v>7.4600999999999997</v>
      </c>
      <c r="FK79" s="507">
        <v>785.91439793032271</v>
      </c>
      <c r="FL79" s="380">
        <f t="shared" si="77"/>
        <v>-8.4288273476545328E-2</v>
      </c>
      <c r="FM79" s="506">
        <v>5863</v>
      </c>
      <c r="FN79" s="53">
        <v>7.4608999999999996</v>
      </c>
      <c r="FO79" s="507">
        <v>785.83012773257917</v>
      </c>
      <c r="FP79" s="380">
        <f t="shared" si="78"/>
        <v>-8.4270197743535391E-2</v>
      </c>
      <c r="FQ79" s="506">
        <v>5770</v>
      </c>
      <c r="FR79" s="53">
        <v>7.4595000000000002</v>
      </c>
      <c r="FS79" s="507">
        <v>773.51028889335748</v>
      </c>
      <c r="FT79" s="380">
        <f t="shared" si="79"/>
        <v>-12.319838839221688</v>
      </c>
      <c r="FU79" s="506">
        <v>5770</v>
      </c>
      <c r="FV79" s="53">
        <v>7.4591500000000002</v>
      </c>
      <c r="FW79" s="507">
        <v>773.54658372602773</v>
      </c>
      <c r="FX79" s="380">
        <f t="shared" si="80"/>
        <v>3.6294832670250798E-2</v>
      </c>
      <c r="FY79" s="506">
        <v>5770</v>
      </c>
      <c r="FZ79" s="53">
        <v>7.4593999999999996</v>
      </c>
      <c r="GA79" s="507">
        <v>773.5206584980026</v>
      </c>
      <c r="GB79" s="380">
        <f t="shared" si="81"/>
        <v>-2.5925228025130309E-2</v>
      </c>
      <c r="GC79" s="506">
        <v>5770</v>
      </c>
      <c r="GD79" s="53">
        <v>7.4590500000000004</v>
      </c>
      <c r="GE79" s="507">
        <v>773.55695430383219</v>
      </c>
      <c r="GF79" s="380">
        <f t="shared" si="82"/>
        <v>3.6295805829581695E-2</v>
      </c>
      <c r="GG79" s="506">
        <v>5770</v>
      </c>
      <c r="GH79" s="53">
        <v>7.4592000000000001</v>
      </c>
      <c r="GI79" s="507">
        <v>773.54139854139851</v>
      </c>
      <c r="GJ79" s="380">
        <f t="shared" si="83"/>
        <v>-1.5555762433677955E-2</v>
      </c>
      <c r="GK79" s="506">
        <v>5770</v>
      </c>
      <c r="GL79" s="53">
        <v>7.4588000000000001</v>
      </c>
      <c r="GM79" s="507">
        <v>773.58288196492731</v>
      </c>
      <c r="GN79" s="380">
        <f t="shared" si="84"/>
        <v>4.1483423528802632E-2</v>
      </c>
      <c r="GO79" s="506">
        <v>5770</v>
      </c>
      <c r="GP79" s="53">
        <v>7.4592499999999999</v>
      </c>
      <c r="GQ79" s="507">
        <v>773.53621342628276</v>
      </c>
      <c r="GR79" s="380">
        <f t="shared" si="85"/>
        <v>-4.6668538644553337E-2</v>
      </c>
      <c r="GS79" s="506">
        <v>5770</v>
      </c>
      <c r="GT79" s="53">
        <v>7.4587500000000002</v>
      </c>
      <c r="GU79" s="507">
        <v>773.58806770571471</v>
      </c>
      <c r="GV79" s="380">
        <f t="shared" si="86"/>
        <v>5.185427943195009E-2</v>
      </c>
      <c r="GW79" s="506">
        <v>5770</v>
      </c>
      <c r="GX79" s="53">
        <v>7.4606000000000003</v>
      </c>
      <c r="GY79" s="507">
        <v>773.3962415891483</v>
      </c>
      <c r="GZ79" s="380">
        <f t="shared" si="87"/>
        <v>-0.19182611656640347</v>
      </c>
      <c r="HA79" s="506">
        <v>5770</v>
      </c>
      <c r="HB79" s="53">
        <v>7.46075</v>
      </c>
      <c r="HC79" s="507">
        <v>773.38069228964912</v>
      </c>
      <c r="HD79" s="380">
        <f t="shared" si="88"/>
        <v>-1.5549299499184599E-2</v>
      </c>
      <c r="HE79" s="506">
        <v>5770</v>
      </c>
      <c r="HF79" s="53">
        <v>7.4597499999999997</v>
      </c>
      <c r="HG79" s="507">
        <v>773.48436609805958</v>
      </c>
      <c r="HH79" s="380">
        <f t="shared" si="89"/>
        <v>0.1036738084104627</v>
      </c>
      <c r="HI79" s="506">
        <v>5770</v>
      </c>
      <c r="HJ79" s="53">
        <v>7.4594500000000004</v>
      </c>
      <c r="HK79" s="507">
        <v>773.51547366092666</v>
      </c>
      <c r="HL79" s="380">
        <f t="shared" si="90"/>
        <v>3.1107562867077831E-2</v>
      </c>
      <c r="HM79" s="506">
        <v>5770</v>
      </c>
      <c r="HN79" s="53">
        <v>7.4596499999999999</v>
      </c>
      <c r="HO79" s="507">
        <v>773.49473500767465</v>
      </c>
      <c r="HP79" s="380">
        <f t="shared" si="91"/>
        <v>-2.0738653252010408E-2</v>
      </c>
      <c r="HQ79" s="506">
        <v>5770</v>
      </c>
      <c r="HR79" s="53">
        <v>7.4595500000000001</v>
      </c>
      <c r="HS79" s="507">
        <v>773.50510419529326</v>
      </c>
      <c r="HT79" s="380">
        <f t="shared" si="92"/>
        <v>1.0369187618607612E-2</v>
      </c>
      <c r="HU79" s="506">
        <v>5770</v>
      </c>
      <c r="HV79" s="53">
        <v>7.4589999999999996</v>
      </c>
      <c r="HW79" s="507">
        <v>773.56213969701037</v>
      </c>
      <c r="HX79" s="380">
        <f t="shared" si="93"/>
        <v>5.7035501717109582E-2</v>
      </c>
      <c r="HY79" s="506">
        <v>5770</v>
      </c>
      <c r="HZ79" s="53">
        <v>7.4585999999999997</v>
      </c>
      <c r="IA79" s="507">
        <v>773.60362534523904</v>
      </c>
      <c r="IB79" s="380">
        <f t="shared" si="94"/>
        <v>4.1485648228672289E-2</v>
      </c>
      <c r="IC79" s="506">
        <v>2505770</v>
      </c>
      <c r="ID79" s="53">
        <v>7.4585999999999997</v>
      </c>
      <c r="IE79" s="507">
        <v>335957.15013541415</v>
      </c>
      <c r="IF79" s="380">
        <f t="shared" si="95"/>
        <v>335183.54651006893</v>
      </c>
      <c r="IG79" s="506">
        <v>505677</v>
      </c>
      <c r="IH79" s="53">
        <v>7.4585999999999997</v>
      </c>
      <c r="II79" s="507">
        <v>67797.844099428854</v>
      </c>
      <c r="IJ79" s="380">
        <f t="shared" si="96"/>
        <v>-268159.3060359853</v>
      </c>
      <c r="IK79" s="506">
        <v>505677</v>
      </c>
      <c r="IL79" s="53">
        <v>7.4585999999999997</v>
      </c>
      <c r="IM79" s="507">
        <v>67797.844099428854</v>
      </c>
      <c r="IN79" s="380">
        <f t="shared" si="97"/>
        <v>0</v>
      </c>
      <c r="IO79" s="506">
        <v>505677</v>
      </c>
      <c r="IP79" s="53">
        <v>7.4585999999999997</v>
      </c>
      <c r="IQ79" s="507">
        <v>67797.844099428854</v>
      </c>
      <c r="IR79" s="380">
        <f t="shared" si="98"/>
        <v>0</v>
      </c>
      <c r="IS79" s="506">
        <v>505677</v>
      </c>
      <c r="IT79" s="53">
        <v>7.4585999999999997</v>
      </c>
      <c r="IU79" s="507">
        <v>67797.844099428854</v>
      </c>
      <c r="IV79" s="380">
        <f t="shared" si="99"/>
        <v>0</v>
      </c>
      <c r="IW79" s="506">
        <v>505677</v>
      </c>
      <c r="IX79" s="53">
        <v>7.4596999999999998</v>
      </c>
      <c r="IY79" s="507">
        <v>67787.846696247841</v>
      </c>
      <c r="IZ79" s="380">
        <f t="shared" si="100"/>
        <v>-9.997403181012487</v>
      </c>
    </row>
    <row r="80" spans="1:260">
      <c r="A80" s="13" t="s">
        <v>548</v>
      </c>
      <c r="B80" s="13" t="s">
        <v>549</v>
      </c>
      <c r="C80" s="13" t="s">
        <v>38</v>
      </c>
      <c r="D80" s="13" t="s">
        <v>336</v>
      </c>
      <c r="E80" s="13" t="s">
        <v>9</v>
      </c>
      <c r="F80" s="13">
        <v>20000669</v>
      </c>
      <c r="G80" s="13" t="s">
        <v>115</v>
      </c>
      <c r="H80" s="49" t="s">
        <v>508</v>
      </c>
      <c r="I80" s="14">
        <f>+'IBP export - Colar'!M33</f>
        <v>35238</v>
      </c>
      <c r="J80" s="14">
        <f>+VLOOKUP(E80,'Summary - Colar'!$M$39:$N$54,2,FALSE)</f>
        <v>0.93874999999999997</v>
      </c>
      <c r="K80" s="14">
        <f t="shared" si="101"/>
        <v>37537.150466045277</v>
      </c>
      <c r="L80" s="506">
        <v>123289.58</v>
      </c>
      <c r="M80" s="53">
        <v>0.9412499680306784</v>
      </c>
      <c r="N80" s="507">
        <v>130984.95</v>
      </c>
      <c r="O80" s="506">
        <v>123289.58</v>
      </c>
      <c r="P80" s="53">
        <v>0.93609996904458936</v>
      </c>
      <c r="Q80" s="507">
        <v>131705.57</v>
      </c>
      <c r="R80" s="506">
        <v>123261.34</v>
      </c>
      <c r="S80" s="53">
        <v>0.94154998249985755</v>
      </c>
      <c r="T80" s="507">
        <v>130913.22</v>
      </c>
      <c r="U80" s="506">
        <v>123261.34</v>
      </c>
      <c r="V80" s="53">
        <v>0.93950001246199755</v>
      </c>
      <c r="W80" s="507">
        <v>131198.87</v>
      </c>
      <c r="X80" s="506">
        <v>123261.34</v>
      </c>
      <c r="Y80" s="53">
        <v>0.94989998646757867</v>
      </c>
      <c r="Z80" s="507">
        <v>129762.44</v>
      </c>
      <c r="AA80" s="506">
        <v>123261.34</v>
      </c>
      <c r="AB80" s="53">
        <v>0.9447499727906381</v>
      </c>
      <c r="AC80" s="507">
        <v>130469.8</v>
      </c>
      <c r="AD80" s="506">
        <v>123261.34</v>
      </c>
      <c r="AE80" s="53">
        <v>0.94145002196641914</v>
      </c>
      <c r="AF80" s="507">
        <v>130927.12</v>
      </c>
      <c r="AG80" s="506">
        <v>123261.34</v>
      </c>
      <c r="AH80" s="53">
        <v>0.94385003315614324</v>
      </c>
      <c r="AI80" s="507">
        <v>130594.2</v>
      </c>
      <c r="AJ80" s="506">
        <v>123261.34</v>
      </c>
      <c r="AK80" s="53">
        <v>0.94149999957989661</v>
      </c>
      <c r="AL80" s="507">
        <v>130920.17</v>
      </c>
      <c r="AM80" s="506">
        <v>45319.13</v>
      </c>
      <c r="AN80" s="53">
        <v>0.93840005930338399</v>
      </c>
      <c r="AO80" s="507">
        <v>48294.04</v>
      </c>
      <c r="AP80" s="506">
        <v>45319.13</v>
      </c>
      <c r="AQ80" s="53">
        <v>0.95524993903103506</v>
      </c>
      <c r="AR80" s="507">
        <v>47442.17</v>
      </c>
      <c r="AS80" s="506">
        <v>45319</v>
      </c>
      <c r="AT80" s="53">
        <v>0.96445000000000003</v>
      </c>
      <c r="AU80" s="507">
        <v>46989.4758670745</v>
      </c>
      <c r="AV80" s="506">
        <v>35266.410000000003</v>
      </c>
      <c r="AW80" s="53">
        <v>0.95460004628670969</v>
      </c>
      <c r="AX80" s="507">
        <v>36943.65</v>
      </c>
      <c r="AY80" s="506">
        <v>35266.410000000003</v>
      </c>
      <c r="AZ80" s="53">
        <v>0.95169988960021024</v>
      </c>
      <c r="BA80" s="507">
        <v>37056.230000000003</v>
      </c>
      <c r="BB80" s="506">
        <v>35266.410000000003</v>
      </c>
      <c r="BC80" s="53">
        <v>0.95369987765870579</v>
      </c>
      <c r="BD80" s="507">
        <v>36978.519999999997</v>
      </c>
      <c r="BE80" s="506">
        <v>35266.410000000003</v>
      </c>
      <c r="BF80" s="53">
        <v>0.95165006798770702</v>
      </c>
      <c r="BG80" s="507">
        <v>37058.17</v>
      </c>
      <c r="BH80" s="380">
        <f t="shared" si="51"/>
        <v>37057.216300122338</v>
      </c>
      <c r="BI80" s="506">
        <v>35266.410000000003</v>
      </c>
      <c r="BJ80" s="53">
        <v>0.95419996244501371</v>
      </c>
      <c r="BK80" s="507">
        <v>36959.14</v>
      </c>
      <c r="BL80" s="380">
        <f t="shared" si="52"/>
        <v>-99.029999999998836</v>
      </c>
      <c r="BM80" s="506">
        <v>35237.86</v>
      </c>
      <c r="BN80" s="53">
        <v>0.95360009958744285</v>
      </c>
      <c r="BO80" s="507">
        <v>36952.449999999997</v>
      </c>
      <c r="BP80">
        <v>-82626.13</v>
      </c>
      <c r="BQ80" s="506">
        <v>35237.86</v>
      </c>
      <c r="BR80" s="53">
        <v>0.94094993650071412</v>
      </c>
      <c r="BS80" s="507">
        <v>37449.24</v>
      </c>
      <c r="BT80" s="380">
        <f t="shared" si="53"/>
        <v>496.79000000000087</v>
      </c>
      <c r="BU80" s="506">
        <v>35237.86</v>
      </c>
      <c r="BV80" s="53">
        <v>0.93814995922633604</v>
      </c>
      <c r="BW80" s="507">
        <v>37561.01</v>
      </c>
      <c r="BX80" s="380">
        <f t="shared" si="54"/>
        <v>111.77000000000407</v>
      </c>
      <c r="BY80" s="506">
        <v>35237.86</v>
      </c>
      <c r="BZ80" s="53">
        <v>0.93449988490420532</v>
      </c>
      <c r="CA80" s="507">
        <v>37707.72</v>
      </c>
      <c r="CB80" s="380">
        <f t="shared" si="55"/>
        <v>146.70999999999913</v>
      </c>
      <c r="CC80" s="506">
        <v>35237.86</v>
      </c>
      <c r="CD80" s="53">
        <v>0.9272498819158187</v>
      </c>
      <c r="CE80" s="507">
        <v>38002.550000000003</v>
      </c>
      <c r="CF80" s="380">
        <f t="shared" si="56"/>
        <v>294.83000000000175</v>
      </c>
      <c r="CG80" s="506">
        <v>35237.86</v>
      </c>
      <c r="CH80" s="53">
        <v>0.9297500076516424</v>
      </c>
      <c r="CI80" s="507">
        <v>37900.36</v>
      </c>
      <c r="CJ80" s="380">
        <f t="shared" si="57"/>
        <v>-102.19000000000233</v>
      </c>
      <c r="CK80" s="506">
        <v>35237.86</v>
      </c>
      <c r="CL80" s="53">
        <v>0.92415005289795293</v>
      </c>
      <c r="CM80" s="507">
        <v>38130.019999999997</v>
      </c>
      <c r="CN80" s="380">
        <f t="shared" si="58"/>
        <v>229.65999999999622</v>
      </c>
      <c r="CO80" s="506">
        <v>35237.86</v>
      </c>
      <c r="CP80" s="53">
        <v>0.93365011536207365</v>
      </c>
      <c r="CQ80" s="507">
        <v>37742.04</v>
      </c>
      <c r="CR80" s="380">
        <f t="shared" si="59"/>
        <v>-387.97999999999593</v>
      </c>
      <c r="CS80" s="506">
        <v>35237.86</v>
      </c>
      <c r="CT80" s="53">
        <v>0.92355009685546685</v>
      </c>
      <c r="CU80" s="507">
        <v>38154.79</v>
      </c>
      <c r="CV80" s="380">
        <f t="shared" si="60"/>
        <v>412.75</v>
      </c>
      <c r="CW80" s="506">
        <v>35237.86</v>
      </c>
      <c r="CX80" s="53">
        <v>0.92679992635648722</v>
      </c>
      <c r="CY80" s="507">
        <v>38021</v>
      </c>
      <c r="CZ80" s="380">
        <f t="shared" si="61"/>
        <v>-133.79000000000087</v>
      </c>
      <c r="DA80" s="506">
        <v>35237.86</v>
      </c>
      <c r="DB80" s="53">
        <v>0.93120011077831821</v>
      </c>
      <c r="DC80" s="507">
        <v>37841.339999999997</v>
      </c>
      <c r="DD80" s="380">
        <f t="shared" si="62"/>
        <v>-179.66000000000349</v>
      </c>
      <c r="DE80" s="506">
        <v>35237.86</v>
      </c>
      <c r="DF80" s="53">
        <v>0.92994998180364785</v>
      </c>
      <c r="DG80" s="507">
        <v>37892.21</v>
      </c>
      <c r="DH80" s="380">
        <f t="shared" si="63"/>
        <v>50.870000000002619</v>
      </c>
      <c r="DI80" s="506">
        <v>35237.86</v>
      </c>
      <c r="DJ80" s="53">
        <v>0.93195002815326489</v>
      </c>
      <c r="DK80" s="507">
        <v>37810.89</v>
      </c>
      <c r="DL80" s="380">
        <f t="shared" si="64"/>
        <v>-81.319999999999709</v>
      </c>
      <c r="DM80" s="506">
        <v>35237.86</v>
      </c>
      <c r="DN80" s="53">
        <v>0.93824987665418513</v>
      </c>
      <c r="DO80" s="507">
        <v>37557.01</v>
      </c>
      <c r="DP80" s="380">
        <f t="shared" si="65"/>
        <v>-253.87999999999738</v>
      </c>
      <c r="DQ80" s="506">
        <v>35237.86</v>
      </c>
      <c r="DR80" s="53">
        <v>0.94195000839359433</v>
      </c>
      <c r="DS80" s="507">
        <v>37409.480000000003</v>
      </c>
      <c r="DT80" s="380">
        <f t="shared" si="66"/>
        <v>-147.52999999999884</v>
      </c>
      <c r="DU80" s="506">
        <v>35237.86</v>
      </c>
      <c r="DV80" s="53">
        <v>0.9373000236467175</v>
      </c>
      <c r="DW80" s="507">
        <v>37595.07</v>
      </c>
      <c r="DX80" s="380">
        <f t="shared" si="67"/>
        <v>185.58999999999651</v>
      </c>
      <c r="DY80" s="506">
        <v>35238</v>
      </c>
      <c r="DZ80" s="53">
        <v>0.93435000000000001</v>
      </c>
      <c r="EA80" s="507">
        <v>37713.918767057316</v>
      </c>
      <c r="EB80" s="380">
        <f t="shared" si="68"/>
        <v>118.84876705731585</v>
      </c>
      <c r="EC80" s="506">
        <v>35238</v>
      </c>
      <c r="ED80" s="53">
        <v>0.93379999999999996</v>
      </c>
      <c r="EE80" s="507">
        <v>37736.131934032986</v>
      </c>
      <c r="EF80" s="380">
        <f t="shared" si="69"/>
        <v>22.213166975670902</v>
      </c>
      <c r="EG80" s="506">
        <v>35238</v>
      </c>
      <c r="EH80" s="53">
        <v>0.93425000000000002</v>
      </c>
      <c r="EI80" s="507">
        <v>37717.955579341717</v>
      </c>
      <c r="EJ80" s="380">
        <f t="shared" si="70"/>
        <v>-18.176354691269808</v>
      </c>
      <c r="EK80" s="506">
        <v>35238</v>
      </c>
      <c r="EL80" s="53">
        <v>0.93684999999999996</v>
      </c>
      <c r="EM80" s="507">
        <v>37613.278539787585</v>
      </c>
      <c r="EN80" s="380">
        <f t="shared" si="71"/>
        <v>-104.67703955413162</v>
      </c>
      <c r="EO80" s="506">
        <v>35238</v>
      </c>
      <c r="EP80" s="53">
        <v>0.93189999999999995</v>
      </c>
      <c r="EQ80" s="507">
        <v>37813.070071896131</v>
      </c>
      <c r="ER80" s="380">
        <f t="shared" si="72"/>
        <v>199.79153210854565</v>
      </c>
      <c r="ES80" s="506">
        <v>35238</v>
      </c>
      <c r="ET80" s="53">
        <v>0.93494999999999995</v>
      </c>
      <c r="EU80" s="507">
        <v>37689.716027595059</v>
      </c>
      <c r="EV80" s="380">
        <f t="shared" si="73"/>
        <v>-123.35404430107155</v>
      </c>
      <c r="EW80" s="506">
        <v>35238</v>
      </c>
      <c r="EX80" s="53">
        <v>0.93610000000000004</v>
      </c>
      <c r="EY80" s="507">
        <v>37643.414165153292</v>
      </c>
      <c r="EZ80" s="380">
        <f t="shared" si="74"/>
        <v>-46.301862441767298</v>
      </c>
      <c r="FA80" s="506">
        <v>35238</v>
      </c>
      <c r="FB80" s="53">
        <v>0.93505000000000005</v>
      </c>
      <c r="FC80" s="507">
        <v>37685.685257472862</v>
      </c>
      <c r="FD80" s="380">
        <f t="shared" si="75"/>
        <v>42.271092319570016</v>
      </c>
      <c r="FE80" s="506">
        <v>35238</v>
      </c>
      <c r="FF80" s="53">
        <v>0.93874999999999997</v>
      </c>
      <c r="FG80" s="507">
        <v>37537.150466045277</v>
      </c>
      <c r="FH80" s="380">
        <f t="shared" si="76"/>
        <v>-148.53479142758442</v>
      </c>
      <c r="FI80" s="506">
        <v>35238</v>
      </c>
      <c r="FJ80" s="53">
        <v>0.93815000000000004</v>
      </c>
      <c r="FK80" s="507">
        <v>37561.157597399135</v>
      </c>
      <c r="FL80" s="380">
        <f t="shared" si="77"/>
        <v>24.007131353857403</v>
      </c>
      <c r="FM80" s="506">
        <v>35238</v>
      </c>
      <c r="FN80" s="53">
        <v>0.9395</v>
      </c>
      <c r="FO80" s="507">
        <v>37507.18467269824</v>
      </c>
      <c r="FP80" s="380">
        <f t="shared" si="78"/>
        <v>-53.972924700894509</v>
      </c>
      <c r="FQ80" s="506">
        <v>35238</v>
      </c>
      <c r="FR80" s="53">
        <v>0.93674999999999997</v>
      </c>
      <c r="FS80" s="507">
        <v>37617.293835068056</v>
      </c>
      <c r="FT80" s="380">
        <f t="shared" si="79"/>
        <v>110.10916236981575</v>
      </c>
      <c r="FU80" s="506">
        <v>35238</v>
      </c>
      <c r="FV80" s="53">
        <v>0.93479999999999996</v>
      </c>
      <c r="FW80" s="507">
        <v>37695.763799743261</v>
      </c>
      <c r="FX80" s="380">
        <f t="shared" si="80"/>
        <v>78.469964675205119</v>
      </c>
      <c r="FY80" s="506">
        <v>35238</v>
      </c>
      <c r="FZ80" s="53">
        <v>0.93189999999999995</v>
      </c>
      <c r="GA80" s="507">
        <v>37813.070071896131</v>
      </c>
      <c r="GB80" s="380">
        <f t="shared" si="81"/>
        <v>117.3062721528695</v>
      </c>
      <c r="GC80" s="506">
        <v>35238</v>
      </c>
      <c r="GD80" s="53">
        <v>0.93559999999999999</v>
      </c>
      <c r="GE80" s="507">
        <v>37663.531423685337</v>
      </c>
      <c r="GF80" s="380">
        <f t="shared" si="82"/>
        <v>-149.53864821079333</v>
      </c>
      <c r="GG80" s="506">
        <v>35238</v>
      </c>
      <c r="GH80" s="53">
        <v>0.93830000000000002</v>
      </c>
      <c r="GI80" s="507">
        <v>37555.152936161139</v>
      </c>
      <c r="GJ80" s="380">
        <f t="shared" si="83"/>
        <v>-108.37848752419814</v>
      </c>
      <c r="GK80" s="506">
        <v>35238</v>
      </c>
      <c r="GL80" s="53">
        <v>0.93625000000000003</v>
      </c>
      <c r="GM80" s="507">
        <v>37637.383177570089</v>
      </c>
      <c r="GN80" s="380">
        <f t="shared" si="84"/>
        <v>82.230241408949951</v>
      </c>
      <c r="GO80" s="506">
        <v>35238</v>
      </c>
      <c r="GP80" s="53">
        <v>0.93384999999999996</v>
      </c>
      <c r="GQ80" s="507">
        <v>37734.111474005462</v>
      </c>
      <c r="GR80" s="380">
        <f t="shared" si="85"/>
        <v>96.728296435372613</v>
      </c>
      <c r="GS80" s="506">
        <v>35238</v>
      </c>
      <c r="GT80" s="53">
        <v>0.93435000000000001</v>
      </c>
      <c r="GU80" s="507">
        <v>37713.918767057316</v>
      </c>
      <c r="GV80" s="380">
        <f t="shared" si="86"/>
        <v>-20.192706948146224</v>
      </c>
      <c r="GW80" s="506">
        <v>35238</v>
      </c>
      <c r="GX80" s="53">
        <v>0.93384999999999996</v>
      </c>
      <c r="GY80" s="507">
        <v>37734.111474005462</v>
      </c>
      <c r="GZ80" s="380">
        <f t="shared" si="87"/>
        <v>20.192706948146224</v>
      </c>
      <c r="HA80" s="506">
        <v>35238</v>
      </c>
      <c r="HB80" s="53">
        <v>0.93540000000000001</v>
      </c>
      <c r="HC80" s="507">
        <v>37671.584348941629</v>
      </c>
      <c r="HD80" s="380">
        <f t="shared" si="88"/>
        <v>-62.5271250638325</v>
      </c>
      <c r="HE80" s="506">
        <v>35238</v>
      </c>
      <c r="HF80" s="53">
        <v>0.93725000000000003</v>
      </c>
      <c r="HG80" s="507">
        <v>37597.225926913845</v>
      </c>
      <c r="HH80" s="380">
        <f t="shared" si="89"/>
        <v>-74.3584220277844</v>
      </c>
      <c r="HI80" s="506">
        <v>35238</v>
      </c>
      <c r="HJ80" s="53">
        <v>0.93635000000000002</v>
      </c>
      <c r="HK80" s="507">
        <v>37633.363592673682</v>
      </c>
      <c r="HL80" s="380">
        <f t="shared" si="90"/>
        <v>36.137665759837546</v>
      </c>
      <c r="HM80" s="506">
        <v>35238</v>
      </c>
      <c r="HN80" s="53">
        <v>0.93884999999999996</v>
      </c>
      <c r="HO80" s="507">
        <v>37533.152260744529</v>
      </c>
      <c r="HP80" s="380">
        <f t="shared" si="91"/>
        <v>-100.21133192915295</v>
      </c>
      <c r="HQ80" s="506">
        <v>35238</v>
      </c>
      <c r="HR80" s="53">
        <v>0.93855</v>
      </c>
      <c r="HS80" s="507">
        <v>37545.149432635451</v>
      </c>
      <c r="HT80" s="380">
        <f t="shared" si="92"/>
        <v>11.997171890921891</v>
      </c>
      <c r="HU80" s="506">
        <v>35238</v>
      </c>
      <c r="HV80" s="53">
        <v>0.94035000000000002</v>
      </c>
      <c r="HW80" s="507">
        <v>37473.281225075771</v>
      </c>
      <c r="HX80" s="380">
        <f t="shared" si="93"/>
        <v>-71.868207559680741</v>
      </c>
      <c r="HY80" s="506">
        <v>35238</v>
      </c>
      <c r="HZ80" s="53">
        <v>0.93579999999999997</v>
      </c>
      <c r="IA80" s="507">
        <v>37655.481940585596</v>
      </c>
      <c r="IB80" s="380">
        <f t="shared" si="94"/>
        <v>182.20071550982539</v>
      </c>
      <c r="IC80" s="506">
        <v>35238</v>
      </c>
      <c r="ID80" s="53">
        <v>0.93579999999999997</v>
      </c>
      <c r="IE80" s="507">
        <v>37655.481940585596</v>
      </c>
      <c r="IF80" s="380">
        <f t="shared" si="95"/>
        <v>0</v>
      </c>
      <c r="IG80" s="506">
        <v>35238</v>
      </c>
      <c r="IH80" s="53">
        <v>0.93579999999999997</v>
      </c>
      <c r="II80" s="507">
        <v>37655.481940585596</v>
      </c>
      <c r="IJ80" s="380">
        <f t="shared" si="96"/>
        <v>0</v>
      </c>
      <c r="IK80" s="506">
        <v>35238</v>
      </c>
      <c r="IL80" s="53">
        <v>0.93579999999999997</v>
      </c>
      <c r="IM80" s="507">
        <v>37655.481940585596</v>
      </c>
      <c r="IN80" s="380">
        <f t="shared" si="97"/>
        <v>0</v>
      </c>
      <c r="IO80" s="506">
        <v>35238</v>
      </c>
      <c r="IP80" s="53">
        <v>0.93579999999999997</v>
      </c>
      <c r="IQ80" s="507">
        <v>37655.481940585596</v>
      </c>
      <c r="IR80" s="380">
        <f t="shared" si="98"/>
        <v>0</v>
      </c>
      <c r="IS80" s="506">
        <v>35238</v>
      </c>
      <c r="IT80" s="53">
        <v>0.93579999999999997</v>
      </c>
      <c r="IU80" s="507">
        <v>37655.481940585596</v>
      </c>
      <c r="IV80" s="380">
        <f t="shared" si="99"/>
        <v>0</v>
      </c>
      <c r="IW80" s="506">
        <v>35238</v>
      </c>
      <c r="IX80" s="53">
        <v>0.93874999999999997</v>
      </c>
      <c r="IY80" s="507">
        <v>37537.150466045277</v>
      </c>
      <c r="IZ80" s="380">
        <f t="shared" si="100"/>
        <v>-118.3314745403186</v>
      </c>
    </row>
    <row r="81" spans="1:260">
      <c r="A81" s="13" t="s">
        <v>548</v>
      </c>
      <c r="B81" s="13" t="s">
        <v>549</v>
      </c>
      <c r="C81" s="13" t="s">
        <v>38</v>
      </c>
      <c r="D81" s="13" t="s">
        <v>336</v>
      </c>
      <c r="E81" s="13" t="s">
        <v>14</v>
      </c>
      <c r="F81" s="13">
        <v>20118937</v>
      </c>
      <c r="G81" s="13" t="s">
        <v>68</v>
      </c>
      <c r="H81" s="49" t="s">
        <v>508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101"/>
        <v>33195.211173927499</v>
      </c>
      <c r="L81" s="506">
        <v>0</v>
      </c>
      <c r="M81" s="53">
        <v>1.5132999926105561</v>
      </c>
      <c r="N81" s="507">
        <v>0</v>
      </c>
      <c r="O81" s="506">
        <v>0</v>
      </c>
      <c r="P81" s="53">
        <v>1.5132999926105561</v>
      </c>
      <c r="Q81" s="507">
        <v>0</v>
      </c>
      <c r="R81" s="506">
        <v>49955.14</v>
      </c>
      <c r="S81" s="53">
        <v>1.5132999926105561</v>
      </c>
      <c r="T81" s="507">
        <v>33010.7316751014</v>
      </c>
      <c r="U81" s="506">
        <v>49955.14</v>
      </c>
      <c r="V81" s="53">
        <v>1.5132999926105561</v>
      </c>
      <c r="W81" s="507">
        <v>33010.7316751014</v>
      </c>
      <c r="X81" s="506">
        <v>49955.14</v>
      </c>
      <c r="Y81" s="53">
        <v>1.5132999926105561</v>
      </c>
      <c r="Z81" s="507">
        <v>33010.7316751014</v>
      </c>
      <c r="AA81" s="506">
        <v>49955.14</v>
      </c>
      <c r="AB81" s="53">
        <v>1.5132999926105561</v>
      </c>
      <c r="AC81" s="507">
        <v>33010.7316751014</v>
      </c>
      <c r="AD81" s="506">
        <v>49955.14</v>
      </c>
      <c r="AE81" s="53">
        <v>1.5132999926105561</v>
      </c>
      <c r="AF81" s="507">
        <v>33010.7316751014</v>
      </c>
      <c r="AG81" s="506">
        <v>49955.14</v>
      </c>
      <c r="AH81" s="53">
        <v>1.5035000051795575</v>
      </c>
      <c r="AI81" s="507">
        <v>33225.899453212201</v>
      </c>
      <c r="AJ81" s="506">
        <v>49955.14</v>
      </c>
      <c r="AK81" s="53">
        <v>1.5035000051795575</v>
      </c>
      <c r="AL81" s="507">
        <v>33225.899453212201</v>
      </c>
      <c r="AM81" s="506">
        <v>49955.14</v>
      </c>
      <c r="AN81" s="53">
        <v>1.5035000051795575</v>
      </c>
      <c r="AO81" s="507">
        <v>33225.899453212201</v>
      </c>
      <c r="AP81" s="506">
        <v>49955.14</v>
      </c>
      <c r="AQ81" s="53">
        <v>1.5035000051795575</v>
      </c>
      <c r="AR81" s="507">
        <v>33225.899453212201</v>
      </c>
      <c r="AS81" s="506">
        <v>49955</v>
      </c>
      <c r="AT81" s="53">
        <v>1.5035000000000001</v>
      </c>
      <c r="AU81" s="507">
        <v>33225.806451612902</v>
      </c>
      <c r="AV81" s="506">
        <v>49955.14</v>
      </c>
      <c r="AW81" s="53">
        <v>1.5035000051795575</v>
      </c>
      <c r="AX81" s="507">
        <v>33225.899453212201</v>
      </c>
      <c r="AY81" s="506">
        <v>49955.14</v>
      </c>
      <c r="AZ81" s="53">
        <v>1.5035000051795575</v>
      </c>
      <c r="BA81" s="507">
        <v>33225.899453212201</v>
      </c>
      <c r="BB81" s="506">
        <v>49955.14</v>
      </c>
      <c r="BC81" s="53">
        <v>1.5035000051795575</v>
      </c>
      <c r="BD81" s="507">
        <v>33225.899453212201</v>
      </c>
      <c r="BE81" s="506">
        <v>49955.14</v>
      </c>
      <c r="BF81" s="53">
        <v>1.5035000051795575</v>
      </c>
      <c r="BG81" s="507">
        <v>33225.899453212201</v>
      </c>
      <c r="BH81" s="380">
        <f t="shared" si="51"/>
        <v>33224.395953207022</v>
      </c>
      <c r="BI81" s="506">
        <v>49955.14</v>
      </c>
      <c r="BJ81" s="53">
        <v>1.5035000051795575</v>
      </c>
      <c r="BK81" s="507">
        <v>33225.899453212201</v>
      </c>
      <c r="BL81" s="380">
        <f t="shared" si="52"/>
        <v>0</v>
      </c>
      <c r="BM81" s="506">
        <v>49908.54</v>
      </c>
      <c r="BN81" s="53">
        <v>1.5035000051795575</v>
      </c>
      <c r="BO81" s="507">
        <v>33194.905106794198</v>
      </c>
      <c r="BP81">
        <v>0</v>
      </c>
      <c r="BQ81" s="506">
        <v>49908.54</v>
      </c>
      <c r="BR81" s="53">
        <v>1.5035000051795575</v>
      </c>
      <c r="BS81" s="507">
        <v>33194.905106794198</v>
      </c>
      <c r="BT81" s="380">
        <f t="shared" si="53"/>
        <v>0</v>
      </c>
      <c r="BU81" s="506">
        <v>49908.54</v>
      </c>
      <c r="BV81" s="53">
        <v>1.5035000051795575</v>
      </c>
      <c r="BW81" s="507">
        <v>33194.905106794198</v>
      </c>
      <c r="BX81" s="380">
        <f t="shared" si="54"/>
        <v>0</v>
      </c>
      <c r="BY81" s="506">
        <v>49908.54</v>
      </c>
      <c r="BZ81" s="53">
        <v>1.5035000051795575</v>
      </c>
      <c r="CA81" s="507">
        <v>33194.905106794198</v>
      </c>
      <c r="CB81" s="380">
        <f t="shared" si="55"/>
        <v>0</v>
      </c>
      <c r="CC81" s="506">
        <v>49908.54</v>
      </c>
      <c r="CD81" s="53">
        <v>1.5035000051795575</v>
      </c>
      <c r="CE81" s="507">
        <v>33194.905106794198</v>
      </c>
      <c r="CF81" s="380">
        <f t="shared" si="56"/>
        <v>0</v>
      </c>
      <c r="CG81" s="506">
        <v>49908.54</v>
      </c>
      <c r="CH81" s="53">
        <v>1.5035000051795575</v>
      </c>
      <c r="CI81" s="507">
        <v>33194.905106794198</v>
      </c>
      <c r="CJ81" s="380">
        <f t="shared" si="57"/>
        <v>0</v>
      </c>
      <c r="CK81" s="506">
        <v>49908.54</v>
      </c>
      <c r="CL81" s="53">
        <v>1.5035000051795575</v>
      </c>
      <c r="CM81" s="507">
        <v>33194.905106794198</v>
      </c>
      <c r="CN81" s="380">
        <f t="shared" si="58"/>
        <v>0</v>
      </c>
      <c r="CO81" s="506">
        <v>49908.54</v>
      </c>
      <c r="CP81" s="53">
        <v>1.5035000051795575</v>
      </c>
      <c r="CQ81" s="507">
        <v>33194.905106794198</v>
      </c>
      <c r="CR81" s="380">
        <f t="shared" si="59"/>
        <v>0</v>
      </c>
      <c r="CS81" s="506">
        <v>49908.54</v>
      </c>
      <c r="CT81" s="53">
        <v>1.5035000051795575</v>
      </c>
      <c r="CU81" s="507">
        <v>33194.905106794198</v>
      </c>
      <c r="CV81" s="380">
        <f t="shared" si="60"/>
        <v>0</v>
      </c>
      <c r="CW81" s="506">
        <v>49908.54</v>
      </c>
      <c r="CX81" s="53">
        <v>1.5035000051795575</v>
      </c>
      <c r="CY81" s="507">
        <v>33194.905106794198</v>
      </c>
      <c r="CZ81" s="380">
        <f t="shared" si="61"/>
        <v>0</v>
      </c>
      <c r="DA81" s="506">
        <v>49908.54</v>
      </c>
      <c r="DB81" s="53">
        <v>1.5035000051795575</v>
      </c>
      <c r="DC81" s="507">
        <v>33194.905106794198</v>
      </c>
      <c r="DD81" s="380">
        <f t="shared" si="62"/>
        <v>0</v>
      </c>
      <c r="DE81" s="506">
        <v>49908.54</v>
      </c>
      <c r="DF81" s="53">
        <v>1.5035000051795575</v>
      </c>
      <c r="DG81" s="507">
        <v>33194.905106794198</v>
      </c>
      <c r="DH81" s="380">
        <f t="shared" si="63"/>
        <v>0</v>
      </c>
      <c r="DI81" s="506">
        <v>49908.54</v>
      </c>
      <c r="DJ81" s="53">
        <v>1.5035000051795575</v>
      </c>
      <c r="DK81" s="507">
        <v>33194.905106794198</v>
      </c>
      <c r="DL81" s="380">
        <f t="shared" si="64"/>
        <v>0</v>
      </c>
      <c r="DM81" s="506">
        <v>49908.54</v>
      </c>
      <c r="DN81" s="53">
        <v>1.5035000051795575</v>
      </c>
      <c r="DO81" s="507">
        <v>33194.905106794198</v>
      </c>
      <c r="DP81" s="380">
        <f t="shared" si="65"/>
        <v>0</v>
      </c>
      <c r="DQ81" s="506">
        <v>49908.54</v>
      </c>
      <c r="DR81" s="53">
        <v>1.5035000051795575</v>
      </c>
      <c r="DS81" s="507">
        <v>33194.905106794198</v>
      </c>
      <c r="DT81" s="380">
        <f t="shared" si="66"/>
        <v>0</v>
      </c>
      <c r="DU81" s="506">
        <v>49908.54</v>
      </c>
      <c r="DV81" s="53">
        <v>1.5035000051795575</v>
      </c>
      <c r="DW81" s="507">
        <v>33194.905106794198</v>
      </c>
      <c r="DX81" s="380">
        <f t="shared" si="67"/>
        <v>0</v>
      </c>
      <c r="DY81" s="506">
        <v>49909</v>
      </c>
      <c r="DZ81" s="53">
        <v>1.5035000000000001</v>
      </c>
      <c r="EA81" s="507">
        <v>33195.211173927499</v>
      </c>
      <c r="EB81" s="380">
        <f t="shared" si="68"/>
        <v>0.30606713330053026</v>
      </c>
      <c r="EC81" s="506">
        <v>49909</v>
      </c>
      <c r="ED81" s="53">
        <v>1.5035000000000001</v>
      </c>
      <c r="EE81" s="507">
        <v>33195.211173927499</v>
      </c>
      <c r="EF81" s="380">
        <f t="shared" si="69"/>
        <v>0</v>
      </c>
      <c r="EG81" s="506">
        <v>49909</v>
      </c>
      <c r="EH81" s="53">
        <v>1.5035000000000001</v>
      </c>
      <c r="EI81" s="507">
        <v>33195.211173927499</v>
      </c>
      <c r="EJ81" s="380">
        <f t="shared" si="70"/>
        <v>0</v>
      </c>
      <c r="EK81" s="506">
        <v>49909</v>
      </c>
      <c r="EL81" s="53">
        <v>1.5035000000000001</v>
      </c>
      <c r="EM81" s="507">
        <v>33195.211173927499</v>
      </c>
      <c r="EN81" s="380">
        <f t="shared" si="71"/>
        <v>0</v>
      </c>
      <c r="EO81" s="506">
        <v>49909</v>
      </c>
      <c r="EP81" s="53">
        <v>1.5035000000000001</v>
      </c>
      <c r="EQ81" s="507">
        <v>33195.211173927499</v>
      </c>
      <c r="ER81" s="380">
        <f t="shared" si="72"/>
        <v>0</v>
      </c>
      <c r="ES81" s="506">
        <v>49909</v>
      </c>
      <c r="ET81" s="53">
        <v>1.5035000000000001</v>
      </c>
      <c r="EU81" s="507">
        <v>33195.211173927499</v>
      </c>
      <c r="EV81" s="380">
        <f t="shared" si="73"/>
        <v>0</v>
      </c>
      <c r="EW81" s="506">
        <v>49909</v>
      </c>
      <c r="EX81" s="53">
        <v>1.5035000000000001</v>
      </c>
      <c r="EY81" s="507">
        <v>33195.211173927499</v>
      </c>
      <c r="EZ81" s="380">
        <f t="shared" si="74"/>
        <v>0</v>
      </c>
      <c r="FA81" s="506">
        <v>49909</v>
      </c>
      <c r="FB81" s="53">
        <v>1.5035000000000001</v>
      </c>
      <c r="FC81" s="507">
        <v>33195.211173927499</v>
      </c>
      <c r="FD81" s="380">
        <f t="shared" si="75"/>
        <v>0</v>
      </c>
      <c r="FE81" s="506">
        <v>49909</v>
      </c>
      <c r="FF81" s="53">
        <v>1.5035000000000001</v>
      </c>
      <c r="FG81" s="507">
        <v>33195.211173927499</v>
      </c>
      <c r="FH81" s="380">
        <f t="shared" si="76"/>
        <v>0</v>
      </c>
      <c r="FI81" s="506">
        <v>49909</v>
      </c>
      <c r="FJ81" s="53">
        <v>1.5035000000000001</v>
      </c>
      <c r="FK81" s="507">
        <v>33195.211173927499</v>
      </c>
      <c r="FL81" s="380">
        <f t="shared" si="77"/>
        <v>0</v>
      </c>
      <c r="FM81" s="506">
        <v>49909</v>
      </c>
      <c r="FN81" s="53">
        <v>1.5035000000000001</v>
      </c>
      <c r="FO81" s="507">
        <v>33195.211173927499</v>
      </c>
      <c r="FP81" s="380">
        <f t="shared" si="78"/>
        <v>0</v>
      </c>
      <c r="FQ81" s="506">
        <v>49909</v>
      </c>
      <c r="FR81" s="53">
        <v>1.5035000000000001</v>
      </c>
      <c r="FS81" s="507">
        <v>33195.211173927499</v>
      </c>
      <c r="FT81" s="380">
        <f t="shared" si="79"/>
        <v>0</v>
      </c>
      <c r="FU81" s="506">
        <v>49909</v>
      </c>
      <c r="FV81" s="53">
        <v>1.5035000000000001</v>
      </c>
      <c r="FW81" s="507">
        <v>33195.211173927499</v>
      </c>
      <c r="FX81" s="380">
        <f t="shared" si="80"/>
        <v>0</v>
      </c>
      <c r="FY81" s="506">
        <v>49909</v>
      </c>
      <c r="FZ81" s="53">
        <v>1.5035000000000001</v>
      </c>
      <c r="GA81" s="507">
        <v>33195.211173927499</v>
      </c>
      <c r="GB81" s="380">
        <f t="shared" si="81"/>
        <v>0</v>
      </c>
      <c r="GC81" s="506">
        <v>49909</v>
      </c>
      <c r="GD81" s="53">
        <v>1.5035000000000001</v>
      </c>
      <c r="GE81" s="507">
        <v>33195.211173927499</v>
      </c>
      <c r="GF81" s="380">
        <f t="shared" si="82"/>
        <v>0</v>
      </c>
      <c r="GG81" s="506">
        <v>49909</v>
      </c>
      <c r="GH81" s="53">
        <v>1.5035000000000001</v>
      </c>
      <c r="GI81" s="507">
        <v>33195.211173927499</v>
      </c>
      <c r="GJ81" s="380">
        <f t="shared" si="83"/>
        <v>0</v>
      </c>
      <c r="GK81" s="506">
        <v>49909</v>
      </c>
      <c r="GL81" s="53">
        <v>1.5035000000000001</v>
      </c>
      <c r="GM81" s="507">
        <v>33195.211173927499</v>
      </c>
      <c r="GN81" s="380">
        <f t="shared" si="84"/>
        <v>0</v>
      </c>
      <c r="GO81" s="506">
        <v>49909</v>
      </c>
      <c r="GP81" s="53">
        <v>1.5035000000000001</v>
      </c>
      <c r="GQ81" s="507">
        <v>33195.211173927499</v>
      </c>
      <c r="GR81" s="380">
        <f t="shared" si="85"/>
        <v>0</v>
      </c>
      <c r="GS81" s="506">
        <v>49909</v>
      </c>
      <c r="GT81" s="53">
        <v>1.5035000000000001</v>
      </c>
      <c r="GU81" s="507">
        <v>33195.211173927499</v>
      </c>
      <c r="GV81" s="380">
        <f t="shared" si="86"/>
        <v>0</v>
      </c>
      <c r="GW81" s="506">
        <v>49909</v>
      </c>
      <c r="GX81" s="53">
        <v>1.5035000000000001</v>
      </c>
      <c r="GY81" s="507">
        <v>33195.211173927499</v>
      </c>
      <c r="GZ81" s="380">
        <f t="shared" si="87"/>
        <v>0</v>
      </c>
      <c r="HA81" s="506">
        <v>49909</v>
      </c>
      <c r="HB81" s="53">
        <v>1.5035000000000001</v>
      </c>
      <c r="HC81" s="507">
        <v>33195.211173927499</v>
      </c>
      <c r="HD81" s="380">
        <f t="shared" si="88"/>
        <v>0</v>
      </c>
      <c r="HE81" s="506">
        <v>49909</v>
      </c>
      <c r="HF81" s="53">
        <v>1.5035000000000001</v>
      </c>
      <c r="HG81" s="507">
        <v>33195.211173927499</v>
      </c>
      <c r="HH81" s="380">
        <f t="shared" si="89"/>
        <v>0</v>
      </c>
      <c r="HI81" s="506">
        <v>49909</v>
      </c>
      <c r="HJ81" s="53">
        <v>1.5035000000000001</v>
      </c>
      <c r="HK81" s="507">
        <v>33195.211173927499</v>
      </c>
      <c r="HL81" s="380">
        <f t="shared" si="90"/>
        <v>0</v>
      </c>
      <c r="HM81" s="506">
        <v>49909</v>
      </c>
      <c r="HN81" s="53">
        <v>1.5035000000000001</v>
      </c>
      <c r="HO81" s="507">
        <v>33195.211173927499</v>
      </c>
      <c r="HP81" s="380">
        <f t="shared" si="91"/>
        <v>0</v>
      </c>
      <c r="HQ81" s="506">
        <v>49909</v>
      </c>
      <c r="HR81" s="53">
        <v>1.5035000000000001</v>
      </c>
      <c r="HS81" s="507">
        <v>33195.211173927499</v>
      </c>
      <c r="HT81" s="380">
        <f t="shared" si="92"/>
        <v>0</v>
      </c>
      <c r="HU81" s="506">
        <v>49909</v>
      </c>
      <c r="HV81" s="53">
        <v>1.5035000000000001</v>
      </c>
      <c r="HW81" s="507">
        <v>33195.211173927499</v>
      </c>
      <c r="HX81" s="380">
        <f t="shared" si="93"/>
        <v>0</v>
      </c>
      <c r="HY81" s="506">
        <v>49909</v>
      </c>
      <c r="HZ81" s="53">
        <v>1.5035000000000001</v>
      </c>
      <c r="IA81" s="507">
        <v>33195.211173927499</v>
      </c>
      <c r="IB81" s="380">
        <f t="shared" si="94"/>
        <v>0</v>
      </c>
      <c r="IC81" s="506">
        <v>49909</v>
      </c>
      <c r="ID81" s="53">
        <v>1.5035000000000001</v>
      </c>
      <c r="IE81" s="507">
        <v>33195.211173927499</v>
      </c>
      <c r="IF81" s="380">
        <f t="shared" si="95"/>
        <v>0</v>
      </c>
      <c r="IG81" s="506">
        <v>49909</v>
      </c>
      <c r="IH81" s="53">
        <v>1.5035000000000001</v>
      </c>
      <c r="II81" s="507">
        <v>33195.211173927499</v>
      </c>
      <c r="IJ81" s="380">
        <f t="shared" si="96"/>
        <v>0</v>
      </c>
      <c r="IK81" s="506">
        <v>49909</v>
      </c>
      <c r="IL81" s="53">
        <v>1.5035000000000001</v>
      </c>
      <c r="IM81" s="507">
        <v>33195.211173927499</v>
      </c>
      <c r="IN81" s="380">
        <f t="shared" si="97"/>
        <v>0</v>
      </c>
      <c r="IO81" s="506">
        <v>49909</v>
      </c>
      <c r="IP81" s="53">
        <v>1.5035000000000001</v>
      </c>
      <c r="IQ81" s="507">
        <v>33195.211173927499</v>
      </c>
      <c r="IR81" s="380">
        <f t="shared" si="98"/>
        <v>0</v>
      </c>
      <c r="IS81" s="506">
        <v>49909</v>
      </c>
      <c r="IT81" s="53">
        <v>1.5035000000000001</v>
      </c>
      <c r="IU81" s="507">
        <v>33195.211173927499</v>
      </c>
      <c r="IV81" s="380">
        <f t="shared" si="99"/>
        <v>0</v>
      </c>
      <c r="IW81" s="506">
        <v>49909</v>
      </c>
      <c r="IX81" s="53">
        <v>1.5035000000000001</v>
      </c>
      <c r="IY81" s="507">
        <v>33195.211173927499</v>
      </c>
      <c r="IZ81" s="380">
        <f t="shared" si="100"/>
        <v>0</v>
      </c>
    </row>
    <row r="82" spans="1:260">
      <c r="A82" s="13" t="s">
        <v>548</v>
      </c>
      <c r="B82" s="13" t="s">
        <v>549</v>
      </c>
      <c r="C82" s="13" t="s">
        <v>38</v>
      </c>
      <c r="D82" s="13" t="s">
        <v>336</v>
      </c>
      <c r="E82" s="13" t="s">
        <v>7</v>
      </c>
      <c r="F82" s="13">
        <v>20095953</v>
      </c>
      <c r="G82" s="13" t="s">
        <v>94</v>
      </c>
      <c r="H82" s="49" t="s">
        <v>508</v>
      </c>
      <c r="I82" s="14">
        <f>+'IBP export - Colar'!I25</f>
        <v>3191</v>
      </c>
      <c r="J82" s="14">
        <f>+VLOOKUP(E82,'Summary - Colar'!$M$39:$N$54,2,FALSE)</f>
        <v>1.7834989999999999</v>
      </c>
      <c r="K82" s="14">
        <f t="shared" si="101"/>
        <v>1789.1795846255031</v>
      </c>
      <c r="L82" s="506">
        <v>10314.540000000001</v>
      </c>
      <c r="M82" s="53">
        <v>1.6762506216136279</v>
      </c>
      <c r="N82" s="507">
        <v>6153.34</v>
      </c>
      <c r="O82" s="506">
        <v>10314.540000000001</v>
      </c>
      <c r="P82" s="53">
        <v>1.6552497749305537</v>
      </c>
      <c r="Q82" s="507">
        <v>6231.41</v>
      </c>
      <c r="R82" s="506">
        <v>10264.25</v>
      </c>
      <c r="S82" s="53">
        <v>1.6652497894963976</v>
      </c>
      <c r="T82" s="507">
        <v>6163.79</v>
      </c>
      <c r="U82" s="506">
        <v>10264.25</v>
      </c>
      <c r="V82" s="53">
        <v>1.6640511135285163</v>
      </c>
      <c r="W82" s="507">
        <v>6168.23</v>
      </c>
      <c r="X82" s="506">
        <v>10264.25</v>
      </c>
      <c r="Y82" s="53">
        <v>1.6601001793653798</v>
      </c>
      <c r="Z82" s="507">
        <v>6182.91</v>
      </c>
      <c r="AA82" s="506">
        <v>10264.25</v>
      </c>
      <c r="AB82" s="53">
        <v>1.6702004061495201</v>
      </c>
      <c r="AC82" s="507">
        <v>6145.52</v>
      </c>
      <c r="AD82" s="506">
        <v>10264.25</v>
      </c>
      <c r="AE82" s="53">
        <v>1.6520495602796699</v>
      </c>
      <c r="AF82" s="507">
        <v>6213.04</v>
      </c>
      <c r="AG82" s="506">
        <v>10264.25</v>
      </c>
      <c r="AH82" s="53">
        <v>1.6506494529864222</v>
      </c>
      <c r="AI82" s="507">
        <v>6218.31</v>
      </c>
      <c r="AJ82" s="506">
        <v>10264.25</v>
      </c>
      <c r="AK82" s="53">
        <v>1.6388502142715724</v>
      </c>
      <c r="AL82" s="507">
        <v>6263.08</v>
      </c>
      <c r="AM82" s="506">
        <v>10264.25</v>
      </c>
      <c r="AN82" s="53">
        <v>1.6741504676220269</v>
      </c>
      <c r="AO82" s="507">
        <v>6131.02</v>
      </c>
      <c r="AP82" s="506">
        <v>1264.25</v>
      </c>
      <c r="AQ82" s="53">
        <v>1.7255616520623482</v>
      </c>
      <c r="AR82" s="507">
        <v>732.66</v>
      </c>
      <c r="AS82" s="506">
        <v>1264</v>
      </c>
      <c r="AT82" s="53">
        <v>1.7235389999999999</v>
      </c>
      <c r="AU82" s="507">
        <v>733.37475972403297</v>
      </c>
      <c r="AV82" s="506">
        <v>3242.76</v>
      </c>
      <c r="AW82" s="53">
        <v>1.7237537342788192</v>
      </c>
      <c r="AX82" s="507">
        <v>1881.22</v>
      </c>
      <c r="AY82" s="506">
        <v>3242.76</v>
      </c>
      <c r="AZ82" s="53">
        <v>1.7116525557924964</v>
      </c>
      <c r="BA82" s="507">
        <v>1894.52</v>
      </c>
      <c r="BB82" s="506">
        <v>753242.76</v>
      </c>
      <c r="BC82" s="53">
        <v>1.7315000060341603</v>
      </c>
      <c r="BD82" s="507">
        <v>435023.25</v>
      </c>
      <c r="BE82" s="506">
        <v>3242.76</v>
      </c>
      <c r="BF82" s="53">
        <v>1.7252485914481352</v>
      </c>
      <c r="BG82" s="507">
        <v>1879.59</v>
      </c>
      <c r="BH82" s="380">
        <f t="shared" si="51"/>
        <v>1877.8584999939658</v>
      </c>
      <c r="BI82" s="506">
        <v>3242.76</v>
      </c>
      <c r="BJ82" s="53">
        <v>1.7131536405228069</v>
      </c>
      <c r="BK82" s="507">
        <v>1892.86</v>
      </c>
      <c r="BL82" s="380">
        <f t="shared" si="52"/>
        <v>13.269999999999982</v>
      </c>
      <c r="BM82" s="506">
        <v>3191</v>
      </c>
      <c r="BN82" s="53">
        <v>1.7436491500325124</v>
      </c>
      <c r="BO82" s="507">
        <v>1830.07</v>
      </c>
      <c r="BP82">
        <v>-132.05999999999949</v>
      </c>
      <c r="BQ82" s="506">
        <v>3191</v>
      </c>
      <c r="BR82" s="53">
        <v>1.8094492832516784</v>
      </c>
      <c r="BS82" s="507">
        <v>1763.52</v>
      </c>
      <c r="BT82" s="380">
        <f t="shared" si="53"/>
        <v>-66.549999999999955</v>
      </c>
      <c r="BU82" s="506">
        <v>3191</v>
      </c>
      <c r="BV82" s="53">
        <v>1.8155542532672582</v>
      </c>
      <c r="BW82" s="507">
        <v>1757.59</v>
      </c>
      <c r="BX82" s="380">
        <f t="shared" si="54"/>
        <v>-5.9300000000000637</v>
      </c>
      <c r="BY82" s="506">
        <v>3191</v>
      </c>
      <c r="BZ82" s="53">
        <v>1.8062025595888356</v>
      </c>
      <c r="CA82" s="507">
        <v>1766.69</v>
      </c>
      <c r="CB82" s="380">
        <f t="shared" si="55"/>
        <v>9.1000000000001364</v>
      </c>
      <c r="CC82" s="506">
        <v>3191</v>
      </c>
      <c r="CD82" s="53">
        <v>1.8386526150814457</v>
      </c>
      <c r="CE82" s="507">
        <v>1735.51</v>
      </c>
      <c r="CF82" s="380">
        <f t="shared" si="56"/>
        <v>-31.180000000000064</v>
      </c>
      <c r="CG82" s="506">
        <v>3191</v>
      </c>
      <c r="CH82" s="53">
        <v>1.7905037650517905</v>
      </c>
      <c r="CI82" s="507">
        <v>1782.18</v>
      </c>
      <c r="CJ82" s="380">
        <f t="shared" si="57"/>
        <v>46.670000000000073</v>
      </c>
      <c r="CK82" s="506">
        <v>3191</v>
      </c>
      <c r="CL82" s="53">
        <v>1.8159985431036445</v>
      </c>
      <c r="CM82" s="507">
        <v>1757.16</v>
      </c>
      <c r="CN82" s="380">
        <f t="shared" si="58"/>
        <v>-25.019999999999982</v>
      </c>
      <c r="CO82" s="506">
        <v>3191</v>
      </c>
      <c r="CP82" s="53">
        <v>1.8035483159911603</v>
      </c>
      <c r="CQ82" s="507">
        <v>1769.29</v>
      </c>
      <c r="CR82" s="380">
        <f t="shared" si="59"/>
        <v>12.129999999999882</v>
      </c>
      <c r="CS82" s="506">
        <v>3191</v>
      </c>
      <c r="CT82" s="53">
        <v>1.7815469477539443</v>
      </c>
      <c r="CU82" s="507">
        <v>1791.14</v>
      </c>
      <c r="CV82" s="380">
        <f t="shared" si="60"/>
        <v>21.850000000000136</v>
      </c>
      <c r="CW82" s="506">
        <v>3191</v>
      </c>
      <c r="CX82" s="53">
        <v>1.7830501276800232</v>
      </c>
      <c r="CY82" s="507">
        <v>1789.63</v>
      </c>
      <c r="CZ82" s="380">
        <f t="shared" si="61"/>
        <v>-1.5099999999999909</v>
      </c>
      <c r="DA82" s="506">
        <v>3191</v>
      </c>
      <c r="DB82" s="53">
        <v>1.7781022060503398</v>
      </c>
      <c r="DC82" s="507">
        <v>1794.61</v>
      </c>
      <c r="DD82" s="380">
        <f t="shared" si="62"/>
        <v>4.9799999999997908</v>
      </c>
      <c r="DE82" s="506">
        <v>3191</v>
      </c>
      <c r="DF82" s="53">
        <v>1.7969467110412831</v>
      </c>
      <c r="DG82" s="507">
        <v>1775.79</v>
      </c>
      <c r="DH82" s="380">
        <f t="shared" si="63"/>
        <v>-18.819999999999936</v>
      </c>
      <c r="DI82" s="506">
        <v>3191</v>
      </c>
      <c r="DJ82" s="53">
        <v>1.7959454743975056</v>
      </c>
      <c r="DK82" s="507">
        <v>1776.78</v>
      </c>
      <c r="DL82" s="380">
        <f t="shared" si="64"/>
        <v>0.99000000000000909</v>
      </c>
      <c r="DM82" s="506">
        <v>3191</v>
      </c>
      <c r="DN82" s="53">
        <v>1.7790042928025869</v>
      </c>
      <c r="DO82" s="507">
        <v>1793.7</v>
      </c>
      <c r="DP82" s="380">
        <f t="shared" si="65"/>
        <v>16.920000000000073</v>
      </c>
      <c r="DQ82" s="506">
        <v>3191</v>
      </c>
      <c r="DR82" s="53">
        <v>1.7750458919730767</v>
      </c>
      <c r="DS82" s="507">
        <v>1797.7</v>
      </c>
      <c r="DT82" s="380">
        <f t="shared" si="66"/>
        <v>4</v>
      </c>
      <c r="DU82" s="506">
        <v>3191</v>
      </c>
      <c r="DV82" s="53">
        <v>1.7711542197430132</v>
      </c>
      <c r="DW82" s="507">
        <v>1801.65</v>
      </c>
      <c r="DX82" s="380">
        <f t="shared" si="67"/>
        <v>3.9500000000000455</v>
      </c>
      <c r="DY82" s="506">
        <v>3191</v>
      </c>
      <c r="DZ82" s="53">
        <v>1.7635000000000001</v>
      </c>
      <c r="EA82" s="507">
        <v>1809.469804366317</v>
      </c>
      <c r="EB82" s="380">
        <f t="shared" si="68"/>
        <v>7.8198043663169301</v>
      </c>
      <c r="EC82" s="506">
        <v>3191</v>
      </c>
      <c r="ED82" s="53">
        <v>1.749452</v>
      </c>
      <c r="EE82" s="507">
        <v>1823.9997439198103</v>
      </c>
      <c r="EF82" s="380">
        <f t="shared" si="69"/>
        <v>14.52993955349325</v>
      </c>
      <c r="EG82" s="506">
        <v>3191</v>
      </c>
      <c r="EH82" s="53">
        <v>1.75295</v>
      </c>
      <c r="EI82" s="507">
        <v>1820.3599646310506</v>
      </c>
      <c r="EJ82" s="380">
        <f t="shared" si="70"/>
        <v>-3.6397792887596552</v>
      </c>
      <c r="EK82" s="506">
        <v>3191</v>
      </c>
      <c r="EL82" s="53">
        <v>1.754453</v>
      </c>
      <c r="EM82" s="507">
        <v>1818.8005036327561</v>
      </c>
      <c r="EN82" s="380">
        <f t="shared" si="71"/>
        <v>-1.5594609982945258</v>
      </c>
      <c r="EO82" s="506">
        <v>3191</v>
      </c>
      <c r="EP82" s="53">
        <v>1.760348</v>
      </c>
      <c r="EQ82" s="507">
        <v>1812.7097596611579</v>
      </c>
      <c r="ER82" s="380">
        <f t="shared" si="72"/>
        <v>-6.0907439715981582</v>
      </c>
      <c r="ES82" s="506">
        <v>3191</v>
      </c>
      <c r="ET82" s="53">
        <v>1.7571490000000001</v>
      </c>
      <c r="EU82" s="507">
        <v>1816.0099115100654</v>
      </c>
      <c r="EV82" s="380">
        <f t="shared" si="73"/>
        <v>3.3001518489074897</v>
      </c>
      <c r="EW82" s="506">
        <v>3191</v>
      </c>
      <c r="EX82" s="53">
        <v>1.7376480000000001</v>
      </c>
      <c r="EY82" s="507">
        <v>1836.3903391250701</v>
      </c>
      <c r="EZ82" s="380">
        <f t="shared" si="74"/>
        <v>20.380427615004692</v>
      </c>
      <c r="FA82" s="506">
        <v>3191</v>
      </c>
      <c r="FB82" s="53">
        <v>1.733052</v>
      </c>
      <c r="FC82" s="507">
        <v>1841.2603891862448</v>
      </c>
      <c r="FD82" s="380">
        <f t="shared" si="75"/>
        <v>4.870050061174652</v>
      </c>
      <c r="FE82" s="506">
        <v>3191</v>
      </c>
      <c r="FF82" s="53">
        <v>1.7327980000000001</v>
      </c>
      <c r="FG82" s="507">
        <v>1841.5302880081808</v>
      </c>
      <c r="FH82" s="380">
        <f t="shared" si="76"/>
        <v>0.26989882193606718</v>
      </c>
      <c r="FI82" s="506">
        <v>3191</v>
      </c>
      <c r="FJ82" s="53">
        <v>1.7445550000000001</v>
      </c>
      <c r="FK82" s="507">
        <v>1829.1197468695455</v>
      </c>
      <c r="FL82" s="380">
        <f t="shared" si="77"/>
        <v>-12.410541138635381</v>
      </c>
      <c r="FM82" s="506">
        <v>3191</v>
      </c>
      <c r="FN82" s="53">
        <v>1.7476499999999999</v>
      </c>
      <c r="FO82" s="507">
        <v>1825.8804680571054</v>
      </c>
      <c r="FP82" s="380">
        <f t="shared" si="78"/>
        <v>-3.239278812440034</v>
      </c>
      <c r="FQ82" s="506">
        <v>3191</v>
      </c>
      <c r="FR82" s="53">
        <v>1.7536529999999999</v>
      </c>
      <c r="FS82" s="507">
        <v>1819.6302233109973</v>
      </c>
      <c r="FT82" s="380">
        <f t="shared" si="79"/>
        <v>-6.2502447461081374</v>
      </c>
      <c r="FU82" s="506">
        <v>3191</v>
      </c>
      <c r="FV82" s="53">
        <v>1.7570520000000001</v>
      </c>
      <c r="FW82" s="507">
        <v>1816.1101663468128</v>
      </c>
      <c r="FX82" s="380">
        <f t="shared" si="80"/>
        <v>-3.520056964184505</v>
      </c>
      <c r="FY82" s="506">
        <v>1403191</v>
      </c>
      <c r="FZ82" s="53">
        <v>1.7579499999999999</v>
      </c>
      <c r="GA82" s="507">
        <v>798197.33211979864</v>
      </c>
      <c r="GB82" s="380">
        <f t="shared" si="81"/>
        <v>796381.22195345187</v>
      </c>
      <c r="GC82" s="506">
        <v>1403191</v>
      </c>
      <c r="GD82" s="53">
        <v>1.7475499999999999</v>
      </c>
      <c r="GE82" s="507">
        <v>802947.55514863669</v>
      </c>
      <c r="GF82" s="380">
        <f t="shared" si="82"/>
        <v>4750.2230288380524</v>
      </c>
      <c r="GG82" s="506">
        <v>3191</v>
      </c>
      <c r="GH82" s="53">
        <v>1.7613000000000001</v>
      </c>
      <c r="GI82" s="507">
        <v>1811.7299721796398</v>
      </c>
      <c r="GJ82" s="380">
        <f t="shared" si="83"/>
        <v>-801135.82517645706</v>
      </c>
      <c r="GK82" s="506">
        <v>3191</v>
      </c>
      <c r="GL82" s="53">
        <v>1.7583009999999999</v>
      </c>
      <c r="GM82" s="507">
        <v>1814.8201019051914</v>
      </c>
      <c r="GN82" s="380">
        <f t="shared" si="84"/>
        <v>3.0901297255516056</v>
      </c>
      <c r="GO82" s="506">
        <v>3191</v>
      </c>
      <c r="GP82" s="53">
        <v>1.7518530000000001</v>
      </c>
      <c r="GQ82" s="507">
        <v>1821.4998632876159</v>
      </c>
      <c r="GR82" s="380">
        <f t="shared" si="85"/>
        <v>6.6797613824244308</v>
      </c>
      <c r="GS82" s="506">
        <v>3191</v>
      </c>
      <c r="GT82" s="53">
        <v>1.7654510000000001</v>
      </c>
      <c r="GU82" s="507">
        <v>1807.4701591831208</v>
      </c>
      <c r="GV82" s="380">
        <f t="shared" si="86"/>
        <v>-14.029704104495067</v>
      </c>
      <c r="GW82" s="506">
        <v>3191</v>
      </c>
      <c r="GX82" s="53">
        <v>1.761747</v>
      </c>
      <c r="GY82" s="507">
        <v>1811.2702902289602</v>
      </c>
      <c r="GZ82" s="380">
        <f t="shared" si="87"/>
        <v>3.8001310458394073</v>
      </c>
      <c r="HA82" s="506">
        <v>3191</v>
      </c>
      <c r="HB82" s="53">
        <v>1.7637529999999999</v>
      </c>
      <c r="HC82" s="507">
        <v>1809.2102465594674</v>
      </c>
      <c r="HD82" s="380">
        <f t="shared" si="88"/>
        <v>-2.0600436694928703</v>
      </c>
      <c r="HE82" s="506">
        <v>3191</v>
      </c>
      <c r="HF82" s="53">
        <v>1.7546459999999999</v>
      </c>
      <c r="HG82" s="507">
        <v>1818.6004470417395</v>
      </c>
      <c r="HH82" s="380">
        <f t="shared" si="89"/>
        <v>9.390200482272121</v>
      </c>
      <c r="HI82" s="506">
        <v>3191</v>
      </c>
      <c r="HJ82" s="53">
        <v>1.7553510000000001</v>
      </c>
      <c r="HK82" s="507">
        <v>1817.8700442247732</v>
      </c>
      <c r="HL82" s="380">
        <f t="shared" si="90"/>
        <v>-0.73040281696626153</v>
      </c>
      <c r="HM82" s="506">
        <v>3191</v>
      </c>
      <c r="HN82" s="53">
        <v>1.75865</v>
      </c>
      <c r="HO82" s="507">
        <v>1814.45995507918</v>
      </c>
      <c r="HP82" s="380">
        <f t="shared" si="91"/>
        <v>-3.4100891455932469</v>
      </c>
      <c r="HQ82" s="506">
        <v>3191</v>
      </c>
      <c r="HR82" s="53">
        <v>1.7524489999999999</v>
      </c>
      <c r="HS82" s="507">
        <v>1820.8803794004848</v>
      </c>
      <c r="HT82" s="380">
        <f t="shared" si="92"/>
        <v>6.4204243213048358</v>
      </c>
      <c r="HU82" s="506">
        <v>3191</v>
      </c>
      <c r="HV82" s="53">
        <v>1.757449</v>
      </c>
      <c r="HW82" s="507">
        <v>1815.6999150473214</v>
      </c>
      <c r="HX82" s="380">
        <f t="shared" si="93"/>
        <v>-5.1804643531634156</v>
      </c>
      <c r="HY82" s="506">
        <v>3191</v>
      </c>
      <c r="HZ82" s="53">
        <v>1.77735</v>
      </c>
      <c r="IA82" s="507">
        <v>1795.3695107885335</v>
      </c>
      <c r="IB82" s="380">
        <f t="shared" si="94"/>
        <v>-20.330404258787894</v>
      </c>
      <c r="IC82" s="506">
        <v>3191</v>
      </c>
      <c r="ID82" s="53">
        <v>1.77735</v>
      </c>
      <c r="IE82" s="507">
        <v>1795.3695107885335</v>
      </c>
      <c r="IF82" s="380">
        <f t="shared" si="95"/>
        <v>0</v>
      </c>
      <c r="IG82" s="506">
        <v>453191</v>
      </c>
      <c r="IH82" s="53">
        <v>1.77735</v>
      </c>
      <c r="II82" s="507">
        <v>254981.29237347736</v>
      </c>
      <c r="IJ82" s="380">
        <f t="shared" si="96"/>
        <v>253185.92286268884</v>
      </c>
      <c r="IK82" s="506">
        <v>3191</v>
      </c>
      <c r="IL82" s="53">
        <v>1.77735</v>
      </c>
      <c r="IM82" s="507">
        <v>1795.3695107885335</v>
      </c>
      <c r="IN82" s="380">
        <f t="shared" si="97"/>
        <v>-253185.92286268884</v>
      </c>
      <c r="IO82" s="506">
        <v>3191</v>
      </c>
      <c r="IP82" s="53">
        <v>1.77735</v>
      </c>
      <c r="IQ82" s="507">
        <v>1795.3695107885335</v>
      </c>
      <c r="IR82" s="380">
        <f t="shared" si="98"/>
        <v>0</v>
      </c>
      <c r="IS82" s="506">
        <v>3191</v>
      </c>
      <c r="IT82" s="53">
        <v>1.77735</v>
      </c>
      <c r="IU82" s="507">
        <v>1795.3695107885335</v>
      </c>
      <c r="IV82" s="380">
        <f t="shared" si="99"/>
        <v>0</v>
      </c>
      <c r="IW82" s="506">
        <v>3191</v>
      </c>
      <c r="IX82" s="53">
        <v>1.7834989999999999</v>
      </c>
      <c r="IY82" s="507">
        <v>1789.1795846255031</v>
      </c>
      <c r="IZ82" s="380">
        <f t="shared" si="100"/>
        <v>-6.1899261630303499</v>
      </c>
    </row>
    <row r="83" spans="1:260">
      <c r="A83" s="13" t="s">
        <v>633</v>
      </c>
      <c r="B83" s="13" t="s">
        <v>634</v>
      </c>
      <c r="C83" s="13" t="s">
        <v>219</v>
      </c>
      <c r="D83" s="13" t="s">
        <v>11</v>
      </c>
      <c r="E83" s="13" t="s">
        <v>5</v>
      </c>
      <c r="F83" s="13" t="s">
        <v>635</v>
      </c>
      <c r="G83" s="13" t="s">
        <v>635</v>
      </c>
      <c r="H83" s="49" t="s">
        <v>512</v>
      </c>
      <c r="I83" s="14">
        <f>+'JYSKE - FKB - Colar '!B5</f>
        <v>57733.05</v>
      </c>
      <c r="J83" s="14">
        <f>+VLOOKUP(E83,'Summary - Colar'!$M$39:$N$54,2,FALSE)</f>
        <v>1.1608000000000001</v>
      </c>
      <c r="K83" s="14">
        <f t="shared" si="101"/>
        <v>49735.570296347345</v>
      </c>
      <c r="L83" s="506">
        <v>76095.13</v>
      </c>
      <c r="M83" s="53">
        <v>1.0393499809660025</v>
      </c>
      <c r="N83" s="507">
        <v>73214.154417239653</v>
      </c>
      <c r="O83" s="506">
        <v>76095.13</v>
      </c>
      <c r="P83" s="53">
        <v>1.0296499958937868</v>
      </c>
      <c r="Q83" s="507">
        <v>73903.880253935888</v>
      </c>
      <c r="R83" s="506">
        <v>74968.160000000003</v>
      </c>
      <c r="S83" s="53">
        <v>1.0305500350713117</v>
      </c>
      <c r="T83" s="507">
        <v>72745.774051438828</v>
      </c>
      <c r="U83" s="506">
        <v>74968.160000000003</v>
      </c>
      <c r="V83" s="53">
        <v>1.0294499127813821</v>
      </c>
      <c r="W83" s="507">
        <v>72823.513868149239</v>
      </c>
      <c r="X83" s="506">
        <v>74968.160000000003</v>
      </c>
      <c r="Y83" s="53">
        <v>1.0474500171045873</v>
      </c>
      <c r="Z83" s="507">
        <v>71572.064323632992</v>
      </c>
      <c r="AA83" s="506">
        <v>120591.91</v>
      </c>
      <c r="AB83" s="53">
        <v>1.0384500241697678</v>
      </c>
      <c r="AC83" s="507">
        <v>116126.83055827576</v>
      </c>
      <c r="AD83" s="506">
        <v>120146</v>
      </c>
      <c r="AE83" s="53">
        <v>1.0375500183032278</v>
      </c>
      <c r="AF83" s="507">
        <v>115797.79083468426</v>
      </c>
      <c r="AG83" s="506">
        <v>118938.81</v>
      </c>
      <c r="AH83" s="53">
        <v>1.047149991583058</v>
      </c>
      <c r="AI83" s="507">
        <v>113583.35573320395</v>
      </c>
      <c r="AJ83" s="506">
        <v>118938.81</v>
      </c>
      <c r="AK83" s="53">
        <v>1.0461499902620313</v>
      </c>
      <c r="AL83" s="507">
        <v>113691.9286021397</v>
      </c>
      <c r="AM83" s="506">
        <v>118938.81</v>
      </c>
      <c r="AN83" s="53">
        <v>1.0407499836552325</v>
      </c>
      <c r="AO83" s="507">
        <v>114281.82740130664</v>
      </c>
      <c r="AP83" s="506">
        <v>116748.61</v>
      </c>
      <c r="AQ83" s="53">
        <v>1.0854500032344994</v>
      </c>
      <c r="AR83" s="507">
        <v>107557.79598517147</v>
      </c>
      <c r="AS83" s="506">
        <v>116748.61</v>
      </c>
      <c r="AT83" s="53">
        <v>1.08935</v>
      </c>
      <c r="AU83" s="507">
        <v>107172.72685546427</v>
      </c>
      <c r="AV83" s="506">
        <v>116748.61</v>
      </c>
      <c r="AW83" s="53">
        <v>1.0830999858771673</v>
      </c>
      <c r="AX83" s="507">
        <v>107791.16565627976</v>
      </c>
      <c r="AY83" s="506">
        <v>116748.61</v>
      </c>
      <c r="AZ83" s="53">
        <v>1.0787497944244075</v>
      </c>
      <c r="BA83" s="507">
        <v>108225.84681213681</v>
      </c>
      <c r="BB83" s="506">
        <v>67411.39</v>
      </c>
      <c r="BC83" s="53">
        <v>1.0820998826422146</v>
      </c>
      <c r="BD83" s="507">
        <v>62296.827752534649</v>
      </c>
      <c r="BE83" s="506">
        <v>67411.39</v>
      </c>
      <c r="BF83" s="53">
        <v>1.0781999853387405</v>
      </c>
      <c r="BG83" s="507">
        <v>62522.158149372641</v>
      </c>
      <c r="BH83" s="380">
        <f t="shared" si="51"/>
        <v>62521.076049489995</v>
      </c>
      <c r="BI83" s="506">
        <v>67411.39</v>
      </c>
      <c r="BJ83" s="53">
        <v>1.0803999989493438</v>
      </c>
      <c r="BK83" s="507">
        <v>62394.844562713377</v>
      </c>
      <c r="BL83" s="380">
        <f t="shared" si="52"/>
        <v>-127.31358665926382</v>
      </c>
      <c r="BM83" s="506">
        <v>67411.39</v>
      </c>
      <c r="BN83" s="53">
        <v>1.1088499954694768</v>
      </c>
      <c r="BO83" s="507">
        <v>60793.966970670946</v>
      </c>
      <c r="BP83">
        <v>589.8987991669419</v>
      </c>
      <c r="BQ83" s="506">
        <v>67411.39</v>
      </c>
      <c r="BR83" s="53">
        <v>1.1058499740160905</v>
      </c>
      <c r="BS83" s="507">
        <v>60958.892782882263</v>
      </c>
      <c r="BT83" s="380">
        <f t="shared" si="53"/>
        <v>164.92581221131695</v>
      </c>
      <c r="BU83" s="506">
        <v>67411.39</v>
      </c>
      <c r="BV83" s="53">
        <v>1.0967500172467883</v>
      </c>
      <c r="BW83" s="507">
        <v>61464.681048490223</v>
      </c>
      <c r="BX83" s="380">
        <f t="shared" si="54"/>
        <v>505.78826560796006</v>
      </c>
      <c r="BY83" s="506">
        <v>67411.39</v>
      </c>
      <c r="BZ83" s="53">
        <v>1.0935500267747675</v>
      </c>
      <c r="CA83" s="507">
        <v>61644.541492827702</v>
      </c>
      <c r="CB83" s="380">
        <f t="shared" si="55"/>
        <v>179.86044433747884</v>
      </c>
      <c r="CC83" s="506">
        <v>65990.63</v>
      </c>
      <c r="CD83" s="53">
        <v>1.1035500028504495</v>
      </c>
      <c r="CE83" s="507">
        <v>59798.495609213373</v>
      </c>
      <c r="CF83" s="380">
        <f t="shared" si="56"/>
        <v>-1846.0458836143298</v>
      </c>
      <c r="CG83" s="506">
        <v>65990.63</v>
      </c>
      <c r="CH83" s="53">
        <v>1.1071500373751093</v>
      </c>
      <c r="CI83" s="507">
        <v>59604.053445596342</v>
      </c>
      <c r="CJ83" s="380">
        <f t="shared" si="57"/>
        <v>-194.44216361703002</v>
      </c>
      <c r="CK83" s="506">
        <v>65990.63</v>
      </c>
      <c r="CL83" s="53">
        <v>1.1331000481425468</v>
      </c>
      <c r="CM83" s="507">
        <v>58239.014381983521</v>
      </c>
      <c r="CN83" s="380">
        <f t="shared" si="58"/>
        <v>-1365.0390636128213</v>
      </c>
      <c r="CO83" s="506">
        <v>65990.63</v>
      </c>
      <c r="CP83" s="53">
        <v>1.1381500166600167</v>
      </c>
      <c r="CQ83" s="507">
        <v>57980.608034127406</v>
      </c>
      <c r="CR83" s="380">
        <f t="shared" si="59"/>
        <v>-258.40634785611473</v>
      </c>
      <c r="CS83" s="506">
        <v>65990.63</v>
      </c>
      <c r="CT83" s="53">
        <v>1.1324499897732652</v>
      </c>
      <c r="CU83" s="507">
        <v>58272.445225782023</v>
      </c>
      <c r="CV83" s="380">
        <f t="shared" si="60"/>
        <v>291.83719165461662</v>
      </c>
      <c r="CW83" s="506">
        <v>65990.63</v>
      </c>
      <c r="CX83" s="53">
        <v>1.1362500452178652</v>
      </c>
      <c r="CY83" s="507">
        <v>58077.559844978423</v>
      </c>
      <c r="CZ83" s="380">
        <f t="shared" si="61"/>
        <v>-194.88538080360013</v>
      </c>
      <c r="DA83" s="506">
        <v>65990.63</v>
      </c>
      <c r="DB83" s="53">
        <v>1.1363000964193748</v>
      </c>
      <c r="DC83" s="507">
        <v>58075.001672484956</v>
      </c>
      <c r="DD83" s="380">
        <f t="shared" si="62"/>
        <v>-2.558172493467282</v>
      </c>
      <c r="DE83" s="506">
        <v>65990.63</v>
      </c>
      <c r="DF83" s="53">
        <v>1.1544499930632772</v>
      </c>
      <c r="DG83" s="507">
        <v>57161.96491534212</v>
      </c>
      <c r="DH83" s="380">
        <f t="shared" si="63"/>
        <v>-913.036757142836</v>
      </c>
      <c r="DI83" s="506">
        <v>65990.63</v>
      </c>
      <c r="DJ83" s="53">
        <v>1.1486000091425401</v>
      </c>
      <c r="DK83" s="507">
        <v>57453.098968076563</v>
      </c>
      <c r="DL83" s="380">
        <f t="shared" si="64"/>
        <v>291.13405273444369</v>
      </c>
      <c r="DM83" s="506">
        <v>65990.63</v>
      </c>
      <c r="DN83" s="53">
        <v>1.1410499781207057</v>
      </c>
      <c r="DO83" s="507">
        <v>57833.251185619141</v>
      </c>
      <c r="DP83" s="380">
        <f t="shared" si="65"/>
        <v>380.152217542578</v>
      </c>
      <c r="DQ83" s="506">
        <v>65990.63</v>
      </c>
      <c r="DR83" s="53">
        <v>1.135249966573922</v>
      </c>
      <c r="DS83" s="507">
        <v>58128.722257665897</v>
      </c>
      <c r="DT83" s="380">
        <f t="shared" si="66"/>
        <v>295.47107204675558</v>
      </c>
      <c r="DU83" s="506">
        <v>65990.63</v>
      </c>
      <c r="DV83" s="53">
        <v>1.1318500296229566</v>
      </c>
      <c r="DW83" s="507">
        <v>58303.333721679446</v>
      </c>
      <c r="DX83" s="380">
        <f t="shared" si="67"/>
        <v>174.61146401354927</v>
      </c>
      <c r="DY83" s="506">
        <v>65990.63</v>
      </c>
      <c r="DZ83" s="53">
        <v>1.1345499999999999</v>
      </c>
      <c r="EA83" s="507">
        <v>58164.585077784148</v>
      </c>
      <c r="EB83" s="380">
        <f t="shared" si="68"/>
        <v>-138.7486438952983</v>
      </c>
      <c r="EC83" s="506">
        <v>65990.63</v>
      </c>
      <c r="ED83" s="53">
        <v>1.13425</v>
      </c>
      <c r="EE83" s="507">
        <v>58179.969142605252</v>
      </c>
      <c r="EF83" s="380">
        <f t="shared" si="69"/>
        <v>15.384064821104403</v>
      </c>
      <c r="EG83" s="506">
        <v>65990.63</v>
      </c>
      <c r="EH83" s="53">
        <v>1.1326499999999999</v>
      </c>
      <c r="EI83" s="507">
        <v>58262.155122941782</v>
      </c>
      <c r="EJ83" s="380">
        <f t="shared" si="70"/>
        <v>82.18598033652961</v>
      </c>
      <c r="EK83" s="506">
        <v>60607.08</v>
      </c>
      <c r="EL83" s="53">
        <v>1.13575</v>
      </c>
      <c r="EM83" s="507">
        <v>53363.046445080341</v>
      </c>
      <c r="EN83" s="380">
        <f t="shared" si="71"/>
        <v>-4899.1086778614408</v>
      </c>
      <c r="EO83" s="506">
        <v>60607.08</v>
      </c>
      <c r="EP83" s="53">
        <v>1.1295500000000001</v>
      </c>
      <c r="EQ83" s="507">
        <v>53655.951485104684</v>
      </c>
      <c r="ER83" s="380">
        <f t="shared" si="72"/>
        <v>292.90504002434318</v>
      </c>
      <c r="ES83" s="506">
        <v>60607.08</v>
      </c>
      <c r="ET83" s="53">
        <v>1.1253500000000001</v>
      </c>
      <c r="EU83" s="507">
        <v>53856.204736304258</v>
      </c>
      <c r="EV83" s="380">
        <f t="shared" si="73"/>
        <v>200.25325119957415</v>
      </c>
      <c r="EW83" s="506">
        <v>60607.08</v>
      </c>
      <c r="EX83" s="53">
        <v>1.1109500000000001</v>
      </c>
      <c r="EY83" s="507">
        <v>54554.28237094378</v>
      </c>
      <c r="EZ83" s="380">
        <f t="shared" si="74"/>
        <v>698.07763463952142</v>
      </c>
      <c r="FA83" s="506">
        <v>60607.08</v>
      </c>
      <c r="FB83" s="53">
        <v>1.1105499999999999</v>
      </c>
      <c r="FC83" s="507">
        <v>54573.931835576972</v>
      </c>
      <c r="FD83" s="380">
        <f t="shared" si="75"/>
        <v>19.64946463319211</v>
      </c>
      <c r="FE83" s="506">
        <v>60607.08</v>
      </c>
      <c r="FF83" s="53">
        <v>1.12155</v>
      </c>
      <c r="FG83" s="507">
        <v>54038.678614417549</v>
      </c>
      <c r="FH83" s="380">
        <f t="shared" si="76"/>
        <v>-535.25322115942254</v>
      </c>
      <c r="FI83" s="506">
        <v>60607.08</v>
      </c>
      <c r="FJ83" s="53">
        <v>1.1194</v>
      </c>
      <c r="FK83" s="507">
        <v>54142.469179917818</v>
      </c>
      <c r="FL83" s="380">
        <f t="shared" si="77"/>
        <v>103.79056550026871</v>
      </c>
      <c r="FM83" s="506">
        <v>60607.08</v>
      </c>
      <c r="FN83" s="53">
        <v>1.1271500000000001</v>
      </c>
      <c r="FO83" s="507">
        <v>53770.199174910165</v>
      </c>
      <c r="FP83" s="380">
        <f t="shared" si="78"/>
        <v>-372.2700050076528</v>
      </c>
      <c r="FQ83" s="506">
        <v>60607.08</v>
      </c>
      <c r="FR83" s="53">
        <v>1.1245499999999999</v>
      </c>
      <c r="FS83" s="507">
        <v>53894.517807122851</v>
      </c>
      <c r="FT83" s="380">
        <f t="shared" si="79"/>
        <v>124.31863221268577</v>
      </c>
      <c r="FU83" s="506">
        <v>60607.08</v>
      </c>
      <c r="FV83" s="53">
        <v>1.13215</v>
      </c>
      <c r="FW83" s="507">
        <v>53532.729761957336</v>
      </c>
      <c r="FX83" s="380">
        <f t="shared" si="80"/>
        <v>-361.78804516551463</v>
      </c>
      <c r="FY83" s="506">
        <v>60607.08</v>
      </c>
      <c r="FZ83" s="53">
        <v>1.1327499999999999</v>
      </c>
      <c r="GA83" s="507">
        <v>53504.374310306783</v>
      </c>
      <c r="GB83" s="380">
        <f t="shared" si="81"/>
        <v>-28.355451650553732</v>
      </c>
      <c r="GC83" s="506">
        <v>60607.08</v>
      </c>
      <c r="GD83" s="53">
        <v>1.13775</v>
      </c>
      <c r="GE83" s="507">
        <v>53269.241924851682</v>
      </c>
      <c r="GF83" s="380">
        <f t="shared" si="82"/>
        <v>-235.13238545510103</v>
      </c>
      <c r="GG83" s="506">
        <v>60607.08</v>
      </c>
      <c r="GH83" s="53">
        <v>1.1352500000000001</v>
      </c>
      <c r="GI83" s="507">
        <v>53386.549218233864</v>
      </c>
      <c r="GJ83" s="380">
        <f t="shared" si="83"/>
        <v>117.30729338218225</v>
      </c>
      <c r="GK83" s="506">
        <v>60607.08</v>
      </c>
      <c r="GL83" s="53">
        <v>1.1318999999999999</v>
      </c>
      <c r="GM83" s="507">
        <v>53544.5534057779</v>
      </c>
      <c r="GN83" s="380">
        <f t="shared" si="84"/>
        <v>158.00418754403654</v>
      </c>
      <c r="GO83" s="506">
        <v>60607.08</v>
      </c>
      <c r="GP83" s="53">
        <v>1.1270500000000001</v>
      </c>
      <c r="GQ83" s="507">
        <v>53774.970054567231</v>
      </c>
      <c r="GR83" s="380">
        <f t="shared" si="85"/>
        <v>230.41664878933079</v>
      </c>
      <c r="GS83" s="506">
        <v>60607.08</v>
      </c>
      <c r="GT83" s="53">
        <v>1.13385</v>
      </c>
      <c r="GU83" s="507">
        <v>53452.467257573757</v>
      </c>
      <c r="GV83" s="380">
        <f t="shared" si="86"/>
        <v>-322.50279699347448</v>
      </c>
      <c r="GW83" s="506">
        <v>60607.08</v>
      </c>
      <c r="GX83" s="53">
        <v>1.1415500000000001</v>
      </c>
      <c r="GY83" s="507">
        <v>53091.918882221536</v>
      </c>
      <c r="GZ83" s="380">
        <f t="shared" si="87"/>
        <v>-360.54837535222032</v>
      </c>
      <c r="HA83" s="506">
        <v>60607.08</v>
      </c>
      <c r="HB83" s="53">
        <v>1.1389499999999999</v>
      </c>
      <c r="HC83" s="507">
        <v>53213.117344922961</v>
      </c>
      <c r="HD83" s="380">
        <f t="shared" si="88"/>
        <v>121.19846270142443</v>
      </c>
      <c r="HE83" s="506">
        <v>60607.08</v>
      </c>
      <c r="HF83" s="53">
        <v>1.1379999999999999</v>
      </c>
      <c r="HG83" s="507">
        <v>53257.539543058003</v>
      </c>
      <c r="HH83" s="380">
        <f t="shared" si="89"/>
        <v>44.422198135041981</v>
      </c>
      <c r="HI83" s="506">
        <v>60607.08</v>
      </c>
      <c r="HJ83" s="53">
        <v>1.1426499999999999</v>
      </c>
      <c r="HK83" s="507">
        <v>53040.808646567195</v>
      </c>
      <c r="HL83" s="380">
        <f t="shared" si="90"/>
        <v>-216.73089649080794</v>
      </c>
      <c r="HM83" s="506">
        <v>60607.08</v>
      </c>
      <c r="HN83" s="53">
        <v>1.139869</v>
      </c>
      <c r="HO83" s="507">
        <v>53170.215173848926</v>
      </c>
      <c r="HP83" s="380">
        <f t="shared" si="91"/>
        <v>129.40652728173154</v>
      </c>
      <c r="HQ83" s="506">
        <v>57733.05</v>
      </c>
      <c r="HR83" s="53">
        <v>1.1428499999999999</v>
      </c>
      <c r="HS83" s="507">
        <v>50516.734479590501</v>
      </c>
      <c r="HT83" s="380">
        <f t="shared" si="92"/>
        <v>-2653.4806942584255</v>
      </c>
      <c r="HU83" s="506">
        <v>57733.05</v>
      </c>
      <c r="HV83" s="53">
        <v>1.1433</v>
      </c>
      <c r="HW83" s="507">
        <v>50496.851220152195</v>
      </c>
      <c r="HX83" s="380">
        <f t="shared" si="93"/>
        <v>-19.883259438305686</v>
      </c>
      <c r="HY83" s="506">
        <v>57733.05</v>
      </c>
      <c r="HZ83" s="53">
        <v>1.1509499999999999</v>
      </c>
      <c r="IA83" s="507">
        <v>50161.214648768415</v>
      </c>
      <c r="IB83" s="380">
        <f t="shared" si="94"/>
        <v>-335.63657138378039</v>
      </c>
      <c r="IC83" s="506">
        <v>57733.05</v>
      </c>
      <c r="ID83" s="53">
        <v>1.1509499999999999</v>
      </c>
      <c r="IE83" s="507">
        <v>50161.214648768415</v>
      </c>
      <c r="IF83" s="380">
        <f t="shared" si="95"/>
        <v>0</v>
      </c>
      <c r="IG83" s="506">
        <v>57733.05</v>
      </c>
      <c r="IH83" s="53">
        <v>1.1509499999999999</v>
      </c>
      <c r="II83" s="507">
        <v>50161.214648768415</v>
      </c>
      <c r="IJ83" s="380">
        <f t="shared" si="96"/>
        <v>0</v>
      </c>
      <c r="IK83" s="506">
        <v>57733.05</v>
      </c>
      <c r="IL83" s="53">
        <v>1.1509499999999999</v>
      </c>
      <c r="IM83" s="507">
        <v>50161.214648768415</v>
      </c>
      <c r="IN83" s="380">
        <f t="shared" si="97"/>
        <v>0</v>
      </c>
      <c r="IO83" s="506">
        <v>57733.05</v>
      </c>
      <c r="IP83" s="53">
        <v>1.1509499999999999</v>
      </c>
      <c r="IQ83" s="507">
        <v>50161.214648768415</v>
      </c>
      <c r="IR83" s="380">
        <f t="shared" si="98"/>
        <v>0</v>
      </c>
      <c r="IS83" s="506">
        <v>57733.05</v>
      </c>
      <c r="IT83" s="53">
        <v>1.1509499999999999</v>
      </c>
      <c r="IU83" s="507">
        <v>50161.214648768415</v>
      </c>
      <c r="IV83" s="380">
        <f t="shared" si="99"/>
        <v>0</v>
      </c>
      <c r="IW83" s="506">
        <v>57733.05</v>
      </c>
      <c r="IX83" s="53">
        <v>1.1608000000000001</v>
      </c>
      <c r="IY83" s="507">
        <v>49735.570296347345</v>
      </c>
      <c r="IZ83" s="380">
        <f t="shared" si="100"/>
        <v>-425.64435242106993</v>
      </c>
    </row>
    <row r="84" spans="1:260">
      <c r="A84" s="13" t="s">
        <v>633</v>
      </c>
      <c r="B84" s="13" t="s">
        <v>634</v>
      </c>
      <c r="C84" s="13" t="s">
        <v>219</v>
      </c>
      <c r="D84" s="13" t="s">
        <v>11</v>
      </c>
      <c r="E84" s="13" t="s">
        <v>6</v>
      </c>
      <c r="F84" s="13" t="s">
        <v>636</v>
      </c>
      <c r="G84" s="13" t="s">
        <v>636</v>
      </c>
      <c r="H84" s="49" t="s">
        <v>512</v>
      </c>
      <c r="I84" s="14">
        <f>+'JYSKE - FKB - Colar '!B6</f>
        <v>302760.11</v>
      </c>
      <c r="J84" s="14">
        <f>+VLOOKUP(E84,'Summary - Colar'!$M$39:$N$54,2,FALSE)</f>
        <v>11.064005</v>
      </c>
      <c r="K84" s="14">
        <f t="shared" si="101"/>
        <v>27364.422738420672</v>
      </c>
      <c r="L84" s="506">
        <v>435802.58</v>
      </c>
      <c r="M84" s="53">
        <v>11.454999960514845</v>
      </c>
      <c r="N84" s="507">
        <v>38044.747403073132</v>
      </c>
      <c r="O84" s="506">
        <v>435802.58</v>
      </c>
      <c r="P84" s="53">
        <v>11.435000500511592</v>
      </c>
      <c r="Q84" s="507">
        <v>38111.286482278912</v>
      </c>
      <c r="R84" s="506">
        <v>435802.58</v>
      </c>
      <c r="S84" s="53">
        <v>11.492499208105174</v>
      </c>
      <c r="T84" s="507">
        <v>37920.609965554475</v>
      </c>
      <c r="U84" s="506">
        <v>435802.58</v>
      </c>
      <c r="V84" s="53">
        <v>11.502500793332414</v>
      </c>
      <c r="W84" s="507">
        <v>37887.63746511707</v>
      </c>
      <c r="X84" s="506">
        <v>435802.58</v>
      </c>
      <c r="Y84" s="53">
        <v>11.456999868201573</v>
      </c>
      <c r="Z84" s="507">
        <v>38038.106399001714</v>
      </c>
      <c r="AA84" s="506">
        <v>435802.58</v>
      </c>
      <c r="AB84" s="53">
        <v>11.473500522428596</v>
      </c>
      <c r="AC84" s="507">
        <v>37983.401765493072</v>
      </c>
      <c r="AD84" s="506">
        <v>435802.58</v>
      </c>
      <c r="AE84" s="53">
        <v>11.284499921375806</v>
      </c>
      <c r="AF84" s="507">
        <v>38619.574020686152</v>
      </c>
      <c r="AG84" s="506">
        <v>435802.58</v>
      </c>
      <c r="AH84" s="53">
        <v>11.243500691464227</v>
      </c>
      <c r="AI84" s="507">
        <v>38760.399626323677</v>
      </c>
      <c r="AJ84" s="506">
        <v>435802.58</v>
      </c>
      <c r="AK84" s="53">
        <v>11.138000053238743</v>
      </c>
      <c r="AL84" s="507">
        <v>39127.54335759551</v>
      </c>
      <c r="AM84" s="506">
        <v>292278.88</v>
      </c>
      <c r="AN84" s="53">
        <v>11.185000303105333</v>
      </c>
      <c r="AO84" s="507">
        <v>26131.325174739024</v>
      </c>
      <c r="AP84" s="506">
        <v>292278.88</v>
      </c>
      <c r="AQ84" s="53">
        <v>10.963483090740779</v>
      </c>
      <c r="AR84" s="507">
        <v>26659.308686930384</v>
      </c>
      <c r="AS84" s="506">
        <v>292278.88</v>
      </c>
      <c r="AT84" s="53">
        <v>11.041558</v>
      </c>
      <c r="AU84" s="507">
        <v>26470.800588105409</v>
      </c>
      <c r="AV84" s="506">
        <v>292278.88</v>
      </c>
      <c r="AW84" s="53">
        <v>10.930543555101721</v>
      </c>
      <c r="AX84" s="507">
        <v>26739.647349338065</v>
      </c>
      <c r="AY84" s="506">
        <v>292278.88</v>
      </c>
      <c r="AZ84" s="53">
        <v>10.829951164464852</v>
      </c>
      <c r="BA84" s="507">
        <v>26988.014586716061</v>
      </c>
      <c r="BB84" s="506">
        <v>292724.99</v>
      </c>
      <c r="BC84" s="53">
        <v>10.849582878527992</v>
      </c>
      <c r="BD84" s="507">
        <v>26980.298991892232</v>
      </c>
      <c r="BE84" s="506">
        <v>292724.99</v>
      </c>
      <c r="BF84" s="53">
        <v>10.809970480851396</v>
      </c>
      <c r="BG84" s="507">
        <v>27079.166452723272</v>
      </c>
      <c r="BH84" s="380">
        <f t="shared" si="51"/>
        <v>27068.316869844744</v>
      </c>
      <c r="BI84" s="506">
        <v>292724.99</v>
      </c>
      <c r="BJ84" s="53">
        <v>10.75857203602768</v>
      </c>
      <c r="BK84" s="507">
        <v>27208.535577002189</v>
      </c>
      <c r="BL84" s="380">
        <f t="shared" si="52"/>
        <v>129.3691242789173</v>
      </c>
      <c r="BM84" s="506">
        <v>292724.99</v>
      </c>
      <c r="BN84" s="53">
        <v>10.72196768255267</v>
      </c>
      <c r="BO84" s="507">
        <v>27301.42439025786</v>
      </c>
      <c r="BP84">
        <v>-12996.218182856486</v>
      </c>
      <c r="BQ84" s="506">
        <v>292724.99</v>
      </c>
      <c r="BR84" s="53">
        <v>10.994064597315436</v>
      </c>
      <c r="BS84" s="507">
        <v>26625.729493301184</v>
      </c>
      <c r="BT84" s="380">
        <f t="shared" si="53"/>
        <v>-675.69489695667653</v>
      </c>
      <c r="BU84" s="506">
        <v>292724.99</v>
      </c>
      <c r="BV84" s="53">
        <v>11.089187874172326</v>
      </c>
      <c r="BW84" s="507">
        <v>26397.333449619127</v>
      </c>
      <c r="BX84" s="380">
        <f t="shared" si="54"/>
        <v>-228.39604368205619</v>
      </c>
      <c r="BY84" s="506">
        <v>292724.99</v>
      </c>
      <c r="BZ84" s="53">
        <v>10.970595621782262</v>
      </c>
      <c r="CA84" s="507">
        <v>26682.688897838023</v>
      </c>
      <c r="CB84" s="380">
        <f t="shared" si="55"/>
        <v>285.35544821889562</v>
      </c>
      <c r="CC84" s="506">
        <v>292724.99</v>
      </c>
      <c r="CD84" s="53">
        <v>11.074428529175647</v>
      </c>
      <c r="CE84" s="507">
        <v>26432.51425830365</v>
      </c>
      <c r="CF84" s="380">
        <f t="shared" si="56"/>
        <v>-250.17463953437255</v>
      </c>
      <c r="CG84" s="506">
        <v>292724.99</v>
      </c>
      <c r="CH84" s="53">
        <v>11.006530046613195</v>
      </c>
      <c r="CI84" s="507">
        <v>26595.574514428736</v>
      </c>
      <c r="CJ84" s="380">
        <f t="shared" si="57"/>
        <v>163.06025612508529</v>
      </c>
      <c r="CK84" s="506">
        <v>292724.99</v>
      </c>
      <c r="CL84" s="53">
        <v>11.111047522150155</v>
      </c>
      <c r="CM84" s="507">
        <v>26345.39987489436</v>
      </c>
      <c r="CN84" s="380">
        <f t="shared" si="58"/>
        <v>-250.17463953437618</v>
      </c>
      <c r="CO84" s="506">
        <v>292724.99</v>
      </c>
      <c r="CP84" s="53">
        <v>11.007454537818655</v>
      </c>
      <c r="CQ84" s="507">
        <v>26593.340812290036</v>
      </c>
      <c r="CR84" s="380">
        <f t="shared" si="59"/>
        <v>247.94093739567688</v>
      </c>
      <c r="CS84" s="506">
        <v>292724.99</v>
      </c>
      <c r="CT84" s="53">
        <v>11.059941767237742</v>
      </c>
      <c r="CU84" s="507">
        <v>26467.136641453497</v>
      </c>
      <c r="CV84" s="380">
        <f t="shared" si="60"/>
        <v>-126.20417083653956</v>
      </c>
      <c r="CW84" s="506">
        <v>292724.99</v>
      </c>
      <c r="CX84" s="53">
        <v>11.168573559177586</v>
      </c>
      <c r="CY84" s="507">
        <v>26209.70246996835</v>
      </c>
      <c r="CZ84" s="380">
        <f t="shared" si="61"/>
        <v>-257.43417148514709</v>
      </c>
      <c r="DA84" s="506">
        <v>292724.99</v>
      </c>
      <c r="DB84" s="53">
        <v>10.944940911178854</v>
      </c>
      <c r="DC84" s="507">
        <v>26745.232557721618</v>
      </c>
      <c r="DD84" s="380">
        <f t="shared" si="62"/>
        <v>535.53008775326816</v>
      </c>
      <c r="DE84" s="506">
        <v>292724.99</v>
      </c>
      <c r="DF84" s="53">
        <v>10.963941352408442</v>
      </c>
      <c r="DG84" s="507">
        <v>26698.883238343598</v>
      </c>
      <c r="DH84" s="380">
        <f t="shared" si="63"/>
        <v>-46.349319378019572</v>
      </c>
      <c r="DI84" s="506">
        <v>292724.99</v>
      </c>
      <c r="DJ84" s="53">
        <v>10.923046468014171</v>
      </c>
      <c r="DK84" s="507">
        <v>26798.841409050412</v>
      </c>
      <c r="DL84" s="380">
        <f t="shared" si="64"/>
        <v>99.958170706813689</v>
      </c>
      <c r="DM84" s="506">
        <v>292724.99</v>
      </c>
      <c r="DN84" s="53">
        <v>10.933526614383448</v>
      </c>
      <c r="DO84" s="507">
        <v>26773.153834455366</v>
      </c>
      <c r="DP84" s="380">
        <f t="shared" si="65"/>
        <v>-25.687574595045589</v>
      </c>
      <c r="DQ84" s="506">
        <v>292724.99</v>
      </c>
      <c r="DR84" s="53">
        <v>11.003988496336881</v>
      </c>
      <c r="DS84" s="507">
        <v>26601.717195310161</v>
      </c>
      <c r="DT84" s="380">
        <f t="shared" si="66"/>
        <v>-171.43663914520585</v>
      </c>
      <c r="DU84" s="506">
        <v>292724.99</v>
      </c>
      <c r="DV84" s="53">
        <v>10.999785913080709</v>
      </c>
      <c r="DW84" s="507">
        <v>26611.880659595176</v>
      </c>
      <c r="DX84" s="380">
        <f t="shared" si="67"/>
        <v>10.163464285014925</v>
      </c>
      <c r="DY84" s="506">
        <v>292724.99</v>
      </c>
      <c r="DZ84" s="53">
        <v>10.948221</v>
      </c>
      <c r="EA84" s="507">
        <v>26737.219681626812</v>
      </c>
      <c r="EB84" s="380">
        <f t="shared" si="68"/>
        <v>125.33902203163598</v>
      </c>
      <c r="EC84" s="506">
        <v>292724.99</v>
      </c>
      <c r="ED84" s="53">
        <v>10.930171</v>
      </c>
      <c r="EE84" s="507">
        <v>26781.373319776972</v>
      </c>
      <c r="EF84" s="380">
        <f t="shared" si="69"/>
        <v>44.153638150160987</v>
      </c>
      <c r="EG84" s="506">
        <v>292724.99</v>
      </c>
      <c r="EH84" s="53">
        <v>10.891002</v>
      </c>
      <c r="EI84" s="507">
        <v>26877.69132720754</v>
      </c>
      <c r="EJ84" s="380">
        <f t="shared" si="70"/>
        <v>96.318007430567377</v>
      </c>
      <c r="EK84" s="506">
        <v>292724.99</v>
      </c>
      <c r="EL84" s="53">
        <v>10.897506</v>
      </c>
      <c r="EM84" s="507">
        <v>26861.649812351559</v>
      </c>
      <c r="EN84" s="380">
        <f t="shared" si="71"/>
        <v>-16.041514855980495</v>
      </c>
      <c r="EO84" s="506">
        <v>292724.99</v>
      </c>
      <c r="EP84" s="53">
        <v>10.906008</v>
      </c>
      <c r="EQ84" s="507">
        <v>26840.709267772407</v>
      </c>
      <c r="ER84" s="380">
        <f t="shared" si="72"/>
        <v>-20.940544579152629</v>
      </c>
      <c r="ES84" s="506">
        <v>292724.99</v>
      </c>
      <c r="ET84" s="53">
        <v>10.917489</v>
      </c>
      <c r="EU84" s="507">
        <v>26812.483163482004</v>
      </c>
      <c r="EV84" s="380">
        <f t="shared" si="73"/>
        <v>-28.226104290402873</v>
      </c>
      <c r="EW84" s="506">
        <v>292724.99</v>
      </c>
      <c r="EX84" s="53">
        <v>10.880492</v>
      </c>
      <c r="EY84" s="507">
        <v>26903.653805361006</v>
      </c>
      <c r="EZ84" s="380">
        <f t="shared" si="74"/>
        <v>91.170641879001778</v>
      </c>
      <c r="FA84" s="506">
        <v>292724.99</v>
      </c>
      <c r="FB84" s="53">
        <v>10.808491999999999</v>
      </c>
      <c r="FC84" s="507">
        <v>27082.870579910687</v>
      </c>
      <c r="FD84" s="380">
        <f t="shared" si="75"/>
        <v>179.21677454968085</v>
      </c>
      <c r="FE84" s="506">
        <v>292724.99</v>
      </c>
      <c r="FF84" s="53">
        <v>10.851991</v>
      </c>
      <c r="FG84" s="507">
        <v>26974.311902765123</v>
      </c>
      <c r="FH84" s="380">
        <f t="shared" si="76"/>
        <v>-108.55867714556371</v>
      </c>
      <c r="FI84" s="506">
        <v>292724.99</v>
      </c>
      <c r="FJ84" s="53">
        <v>10.924499000000001</v>
      </c>
      <c r="FK84" s="507">
        <v>26795.278209096818</v>
      </c>
      <c r="FL84" s="380">
        <f t="shared" si="77"/>
        <v>-179.0336936683052</v>
      </c>
      <c r="FM84" s="506">
        <v>292724.99</v>
      </c>
      <c r="FN84" s="53">
        <v>10.902004</v>
      </c>
      <c r="FO84" s="507">
        <v>26850.567106744777</v>
      </c>
      <c r="FP84" s="380">
        <f t="shared" si="78"/>
        <v>55.288897647958947</v>
      </c>
      <c r="FQ84" s="506">
        <v>292724.99</v>
      </c>
      <c r="FR84" s="53">
        <v>10.874503000000001</v>
      </c>
      <c r="FS84" s="507">
        <v>26918.470664820266</v>
      </c>
      <c r="FT84" s="380">
        <f t="shared" si="79"/>
        <v>67.903558075489855</v>
      </c>
      <c r="FU84" s="506">
        <v>292724.99</v>
      </c>
      <c r="FV84" s="53">
        <v>10.849996000000001</v>
      </c>
      <c r="FW84" s="507">
        <v>26979.27169742735</v>
      </c>
      <c r="FX84" s="380">
        <f t="shared" si="80"/>
        <v>60.801032607083471</v>
      </c>
      <c r="FY84" s="506">
        <v>302760.11</v>
      </c>
      <c r="FZ84" s="53">
        <v>10.817761000000001</v>
      </c>
      <c r="GA84" s="507">
        <v>27987.317338587898</v>
      </c>
      <c r="GB84" s="380">
        <f t="shared" si="81"/>
        <v>1008.0456411605483</v>
      </c>
      <c r="GC84" s="506">
        <v>302760.11</v>
      </c>
      <c r="GD84" s="53">
        <v>10.825991999999999</v>
      </c>
      <c r="GE84" s="507">
        <v>27966.038585655708</v>
      </c>
      <c r="GF84" s="380">
        <f t="shared" si="82"/>
        <v>-21.2787529321904</v>
      </c>
      <c r="GG84" s="506">
        <v>302760.11</v>
      </c>
      <c r="GH84" s="53">
        <v>10.872005</v>
      </c>
      <c r="GI84" s="507">
        <v>27847.67942987517</v>
      </c>
      <c r="GJ84" s="380">
        <f t="shared" si="83"/>
        <v>-118.35915578053755</v>
      </c>
      <c r="GK84" s="506">
        <v>302760.11</v>
      </c>
      <c r="GL84" s="53">
        <v>10.876507</v>
      </c>
      <c r="GM84" s="507">
        <v>27836.15272807713</v>
      </c>
      <c r="GN84" s="380">
        <f t="shared" si="84"/>
        <v>-11.526701798040449</v>
      </c>
      <c r="GO84" s="506">
        <v>302760.11</v>
      </c>
      <c r="GP84" s="53">
        <v>10.873488999999999</v>
      </c>
      <c r="GQ84" s="507">
        <v>27843.878813874737</v>
      </c>
      <c r="GR84" s="380">
        <f t="shared" si="85"/>
        <v>7.7260857976070838</v>
      </c>
      <c r="GS84" s="506">
        <v>302760.11</v>
      </c>
      <c r="GT84" s="53">
        <v>10.866001000000001</v>
      </c>
      <c r="GU84" s="507">
        <v>27863.066642456593</v>
      </c>
      <c r="GV84" s="380">
        <f t="shared" si="86"/>
        <v>19.187828581856593</v>
      </c>
      <c r="GW84" s="506">
        <v>302760.11</v>
      </c>
      <c r="GX84" s="53">
        <v>10.858991</v>
      </c>
      <c r="GY84" s="507">
        <v>27881.053589601466</v>
      </c>
      <c r="GZ84" s="380">
        <f t="shared" si="87"/>
        <v>17.986947144872829</v>
      </c>
      <c r="HA84" s="506">
        <v>302760.11</v>
      </c>
      <c r="HB84" s="53">
        <v>10.91901</v>
      </c>
      <c r="HC84" s="507">
        <v>27727.79858247222</v>
      </c>
      <c r="HD84" s="380">
        <f t="shared" si="88"/>
        <v>-153.25500712924622</v>
      </c>
      <c r="HE84" s="506">
        <v>302760.11</v>
      </c>
      <c r="HF84" s="53">
        <v>10.938496000000001</v>
      </c>
      <c r="HG84" s="507">
        <v>27678.403868319736</v>
      </c>
      <c r="HH84" s="380">
        <f t="shared" si="89"/>
        <v>-49.394714152484084</v>
      </c>
      <c r="HI84" s="506">
        <v>302760.11</v>
      </c>
      <c r="HJ84" s="53">
        <v>10.941000000000001</v>
      </c>
      <c r="HK84" s="507">
        <v>27672.069280687319</v>
      </c>
      <c r="HL84" s="380">
        <f t="shared" si="90"/>
        <v>-6.3345876324165147</v>
      </c>
      <c r="HM84" s="506">
        <v>302760.11</v>
      </c>
      <c r="HN84" s="53">
        <v>10.9575</v>
      </c>
      <c r="HO84" s="507">
        <v>27630.400182523386</v>
      </c>
      <c r="HP84" s="380">
        <f t="shared" si="91"/>
        <v>-41.669098163933086</v>
      </c>
      <c r="HQ84" s="506">
        <v>302760.11</v>
      </c>
      <c r="HR84" s="53">
        <v>10.945007</v>
      </c>
      <c r="HS84" s="507">
        <v>27661.938452848863</v>
      </c>
      <c r="HT84" s="380">
        <f t="shared" si="92"/>
        <v>31.538270325476333</v>
      </c>
      <c r="HU84" s="506">
        <v>302760.11</v>
      </c>
      <c r="HV84" s="53">
        <v>10.984994</v>
      </c>
      <c r="HW84" s="507">
        <v>27561.244912832903</v>
      </c>
      <c r="HX84" s="380">
        <f t="shared" si="93"/>
        <v>-100.69354001596002</v>
      </c>
      <c r="HY84" s="506">
        <v>302760.11</v>
      </c>
      <c r="HZ84" s="53">
        <v>10.968007999999999</v>
      </c>
      <c r="IA84" s="507">
        <v>27603.928625872628</v>
      </c>
      <c r="IB84" s="380">
        <f t="shared" si="94"/>
        <v>42.683713039725262</v>
      </c>
      <c r="IC84" s="506">
        <v>302760.11</v>
      </c>
      <c r="ID84" s="53">
        <v>10.968007999999999</v>
      </c>
      <c r="IE84" s="507">
        <v>27603.928625872628</v>
      </c>
      <c r="IF84" s="380">
        <f t="shared" si="95"/>
        <v>0</v>
      </c>
      <c r="IG84" s="506">
        <v>302760.11</v>
      </c>
      <c r="IH84" s="53">
        <v>10.968007999999999</v>
      </c>
      <c r="II84" s="507">
        <v>27603.928625872628</v>
      </c>
      <c r="IJ84" s="380">
        <f t="shared" si="96"/>
        <v>0</v>
      </c>
      <c r="IK84" s="506">
        <v>302760.11</v>
      </c>
      <c r="IL84" s="53">
        <v>10.968007999999999</v>
      </c>
      <c r="IM84" s="507">
        <v>27603.928625872628</v>
      </c>
      <c r="IN84" s="380">
        <f t="shared" si="97"/>
        <v>0</v>
      </c>
      <c r="IO84" s="506">
        <v>302760.11</v>
      </c>
      <c r="IP84" s="53">
        <v>10.968007999999999</v>
      </c>
      <c r="IQ84" s="507">
        <v>27603.928625872628</v>
      </c>
      <c r="IR84" s="380">
        <f t="shared" si="98"/>
        <v>0</v>
      </c>
      <c r="IS84" s="506">
        <v>302760.11</v>
      </c>
      <c r="IT84" s="53">
        <v>10.968007999999999</v>
      </c>
      <c r="IU84" s="507">
        <v>27603.928625872628</v>
      </c>
      <c r="IV84" s="380">
        <f t="shared" si="99"/>
        <v>0</v>
      </c>
      <c r="IW84" s="506">
        <v>302760.11</v>
      </c>
      <c r="IX84" s="53">
        <v>11.064005</v>
      </c>
      <c r="IY84" s="507">
        <v>27364.422738420672</v>
      </c>
      <c r="IZ84" s="380">
        <f t="shared" si="100"/>
        <v>-239.50588745195637</v>
      </c>
    </row>
    <row r="85" spans="1:260">
      <c r="A85" s="13" t="s">
        <v>633</v>
      </c>
      <c r="B85" s="13" t="s">
        <v>634</v>
      </c>
      <c r="C85" s="13" t="s">
        <v>219</v>
      </c>
      <c r="D85" s="13" t="s">
        <v>11</v>
      </c>
      <c r="E85" s="13" t="s">
        <v>4</v>
      </c>
      <c r="F85" s="13" t="s">
        <v>637</v>
      </c>
      <c r="G85" s="13" t="s">
        <v>637</v>
      </c>
      <c r="H85" s="49" t="s">
        <v>512</v>
      </c>
      <c r="I85" s="14">
        <f>+'JYSKE - FKB - Colar '!B4</f>
        <v>169635.45</v>
      </c>
      <c r="J85" s="14">
        <f>+VLOOKUP(E85,'Summary - Colar'!$M$39:$N$54,2,FALSE)</f>
        <v>0.8528</v>
      </c>
      <c r="K85" s="14">
        <f t="shared" si="101"/>
        <v>198915.8653846154</v>
      </c>
      <c r="L85" s="506">
        <v>154806.95000000001</v>
      </c>
      <c r="M85" s="53">
        <v>0.82944999704118039</v>
      </c>
      <c r="N85" s="507">
        <v>186638.0740879238</v>
      </c>
      <c r="O85" s="506">
        <v>154806.95000000001</v>
      </c>
      <c r="P85" s="53">
        <v>0.82985000194803504</v>
      </c>
      <c r="Q85" s="507">
        <v>186548.11066650329</v>
      </c>
      <c r="R85" s="506">
        <v>101421.95</v>
      </c>
      <c r="S85" s="53">
        <v>0.83675000142339673</v>
      </c>
      <c r="T85" s="507">
        <v>121209.38132951414</v>
      </c>
      <c r="U85" s="506">
        <v>101421.95</v>
      </c>
      <c r="V85" s="53">
        <v>0.84450000060846753</v>
      </c>
      <c r="W85" s="507">
        <v>120097.03958191219</v>
      </c>
      <c r="X85" s="506">
        <v>102944.34</v>
      </c>
      <c r="Y85" s="53">
        <v>0.84404999960386917</v>
      </c>
      <c r="Z85" s="507">
        <v>121964.74148251169</v>
      </c>
      <c r="AA85" s="506">
        <v>152727.44</v>
      </c>
      <c r="AB85" s="53">
        <v>0.83594999940504033</v>
      </c>
      <c r="AC85" s="507">
        <v>182699.25247765859</v>
      </c>
      <c r="AD85" s="506">
        <v>152727.44</v>
      </c>
      <c r="AE85" s="53">
        <v>0.83355000042005567</v>
      </c>
      <c r="AF85" s="507">
        <v>183225.28933241579</v>
      </c>
      <c r="AG85" s="506">
        <v>76485.440000000002</v>
      </c>
      <c r="AH85" s="53">
        <v>0.83210000018059904</v>
      </c>
      <c r="AI85" s="507">
        <v>91918.567459920203</v>
      </c>
      <c r="AJ85" s="506">
        <v>76485.440000000002</v>
      </c>
      <c r="AK85" s="53">
        <v>0.82765000030319136</v>
      </c>
      <c r="AL85" s="507">
        <v>92412.783147443057</v>
      </c>
      <c r="AM85" s="506">
        <v>75364.77</v>
      </c>
      <c r="AN85" s="53">
        <v>0.82594999743944864</v>
      </c>
      <c r="AO85" s="507">
        <v>91246.165304970636</v>
      </c>
      <c r="AP85" s="506">
        <v>87575.32</v>
      </c>
      <c r="AQ85" s="53">
        <v>0.84075000044594062</v>
      </c>
      <c r="AR85" s="507">
        <v>104163.33030454873</v>
      </c>
      <c r="AS85" s="506">
        <v>87573.32</v>
      </c>
      <c r="AT85" s="53">
        <v>0.84175</v>
      </c>
      <c r="AU85" s="507">
        <v>104037.20819720821</v>
      </c>
      <c r="AV85" s="506">
        <v>87573.32</v>
      </c>
      <c r="AW85" s="53">
        <v>0.83715000023255848</v>
      </c>
      <c r="AX85" s="507">
        <v>104608.87532183279</v>
      </c>
      <c r="AY85" s="506">
        <v>111573.32</v>
      </c>
      <c r="AZ85" s="53">
        <v>0.83345000011593484</v>
      </c>
      <c r="BA85" s="507">
        <v>133869.24228745562</v>
      </c>
      <c r="BB85" s="506">
        <v>112241.56</v>
      </c>
      <c r="BC85" s="53">
        <v>0.8352999999595857</v>
      </c>
      <c r="BD85" s="507">
        <v>134372.75231106259</v>
      </c>
      <c r="BE85" s="506">
        <v>112241.56</v>
      </c>
      <c r="BF85" s="53">
        <v>0.83619999978584703</v>
      </c>
      <c r="BG85" s="507">
        <v>134228.12727666271</v>
      </c>
      <c r="BH85" s="380">
        <f t="shared" si="51"/>
        <v>134227.29197666276</v>
      </c>
      <c r="BI85" s="506">
        <v>112241.56</v>
      </c>
      <c r="BJ85" s="53">
        <v>0.83434999986719449</v>
      </c>
      <c r="BK85" s="507">
        <v>134525.75060569996</v>
      </c>
      <c r="BL85" s="380">
        <f t="shared" si="52"/>
        <v>297.62332903724746</v>
      </c>
      <c r="BM85" s="506">
        <v>112241.56</v>
      </c>
      <c r="BN85" s="53">
        <v>0.84160000070083552</v>
      </c>
      <c r="BO85" s="507">
        <v>133366.87251251398</v>
      </c>
      <c r="BP85">
        <v>-1166.6178424724203</v>
      </c>
      <c r="BQ85" s="506">
        <v>112241.56</v>
      </c>
      <c r="BR85" s="53">
        <v>0.84934999973825842</v>
      </c>
      <c r="BS85" s="507">
        <v>132149.95000245969</v>
      </c>
      <c r="BT85" s="380">
        <f t="shared" si="53"/>
        <v>-1216.9225100542826</v>
      </c>
      <c r="BU85" s="506">
        <v>112241.56</v>
      </c>
      <c r="BV85" s="53">
        <v>0.85520000047240285</v>
      </c>
      <c r="BW85" s="507">
        <v>131245.97747661252</v>
      </c>
      <c r="BX85" s="380">
        <f t="shared" si="54"/>
        <v>-903.97252584717353</v>
      </c>
      <c r="BY85" s="506">
        <v>112241.56</v>
      </c>
      <c r="BZ85" s="53">
        <v>0.85570000024121062</v>
      </c>
      <c r="CA85" s="507">
        <v>131169.2882650001</v>
      </c>
      <c r="CB85" s="380">
        <f t="shared" si="55"/>
        <v>-76.689211612421786</v>
      </c>
      <c r="CC85" s="506">
        <v>112241.56</v>
      </c>
      <c r="CD85" s="53">
        <v>0.86369999964947808</v>
      </c>
      <c r="CE85" s="507">
        <v>129954.33604903537</v>
      </c>
      <c r="CF85" s="380">
        <f t="shared" si="56"/>
        <v>-1214.9522159647313</v>
      </c>
      <c r="CG85" s="506">
        <v>112241.56</v>
      </c>
      <c r="CH85" s="53">
        <v>0.85609999997089647</v>
      </c>
      <c r="CI85" s="507">
        <v>131108.00140616248</v>
      </c>
      <c r="CJ85" s="380">
        <f t="shared" si="57"/>
        <v>1153.6653571271163</v>
      </c>
      <c r="CK85" s="506">
        <v>112869.82</v>
      </c>
      <c r="CL85" s="53">
        <v>0.86570000046334739</v>
      </c>
      <c r="CM85" s="507">
        <v>130379.83128056931</v>
      </c>
      <c r="CN85" s="380">
        <f t="shared" si="58"/>
        <v>-728.17012559316936</v>
      </c>
      <c r="CO85" s="506">
        <v>112869.82</v>
      </c>
      <c r="CP85" s="53">
        <v>0.86384999950164088</v>
      </c>
      <c r="CQ85" s="507">
        <v>130659.04967889696</v>
      </c>
      <c r="CR85" s="380">
        <f t="shared" si="59"/>
        <v>279.21839832764817</v>
      </c>
      <c r="CS85" s="506">
        <v>112869.82</v>
      </c>
      <c r="CT85" s="53">
        <v>0.85580000078257989</v>
      </c>
      <c r="CU85" s="507">
        <v>131888.08120680889</v>
      </c>
      <c r="CV85" s="380">
        <f t="shared" si="60"/>
        <v>1229.0315279119241</v>
      </c>
      <c r="CW85" s="506">
        <v>112869.82</v>
      </c>
      <c r="CX85" s="53">
        <v>0.85619999953234882</v>
      </c>
      <c r="CY85" s="507">
        <v>131826.46585102641</v>
      </c>
      <c r="CZ85" s="380">
        <f t="shared" si="61"/>
        <v>-61.615355782472761</v>
      </c>
      <c r="DA85" s="506">
        <v>112869.82</v>
      </c>
      <c r="DB85" s="53">
        <v>0.85640000044870379</v>
      </c>
      <c r="DC85" s="507">
        <v>131795.67951992384</v>
      </c>
      <c r="DD85" s="380">
        <f t="shared" si="62"/>
        <v>-30.786331102572149</v>
      </c>
      <c r="DE85" s="506">
        <v>112869.82</v>
      </c>
      <c r="DF85" s="53">
        <v>0.86165000042925399</v>
      </c>
      <c r="DG85" s="507">
        <v>130992.65356440653</v>
      </c>
      <c r="DH85" s="380">
        <f t="shared" si="63"/>
        <v>-803.02595551731065</v>
      </c>
      <c r="DI85" s="506">
        <v>112869.82</v>
      </c>
      <c r="DJ85" s="53">
        <v>0.85845000052737486</v>
      </c>
      <c r="DK85" s="507">
        <v>131480.94813985704</v>
      </c>
      <c r="DL85" s="380">
        <f t="shared" si="64"/>
        <v>488.29457545050536</v>
      </c>
      <c r="DM85" s="506">
        <v>112869.82</v>
      </c>
      <c r="DN85" s="53">
        <v>0.85774999952894071</v>
      </c>
      <c r="DO85" s="507">
        <v>131588.24839636942</v>
      </c>
      <c r="DP85" s="380">
        <f t="shared" si="65"/>
        <v>107.30025651238975</v>
      </c>
      <c r="DQ85" s="506">
        <v>126369.83</v>
      </c>
      <c r="DR85" s="53">
        <v>0.85095000037133195</v>
      </c>
      <c r="DS85" s="507">
        <v>148504.41265039728</v>
      </c>
      <c r="DT85" s="380">
        <f t="shared" si="66"/>
        <v>16916.164254027855</v>
      </c>
      <c r="DU85" s="506">
        <v>126358.41</v>
      </c>
      <c r="DV85" s="53">
        <v>0.84944999993097159</v>
      </c>
      <c r="DW85" s="507">
        <v>148753.20502709778</v>
      </c>
      <c r="DX85" s="380">
        <f t="shared" si="67"/>
        <v>248.7923767004977</v>
      </c>
      <c r="DY85" s="506">
        <v>208741.86</v>
      </c>
      <c r="DZ85" s="53">
        <v>0.85345000000000004</v>
      </c>
      <c r="EA85" s="507">
        <v>244585.92770519652</v>
      </c>
      <c r="EB85" s="380">
        <f t="shared" si="68"/>
        <v>95832.72267809874</v>
      </c>
      <c r="EC85" s="506">
        <v>208741.86</v>
      </c>
      <c r="ED85" s="53">
        <v>0.85175000000000001</v>
      </c>
      <c r="EE85" s="507">
        <v>245074.09451130024</v>
      </c>
      <c r="EF85" s="380">
        <f t="shared" si="69"/>
        <v>488.16680610371986</v>
      </c>
      <c r="EG85" s="506">
        <v>108741.86</v>
      </c>
      <c r="EH85" s="53">
        <v>0.84724999999999995</v>
      </c>
      <c r="EI85" s="507">
        <v>128346.83977574507</v>
      </c>
      <c r="EJ85" s="380">
        <f t="shared" si="70"/>
        <v>-116727.25473555517</v>
      </c>
      <c r="EK85" s="506">
        <v>108741.86</v>
      </c>
      <c r="EL85" s="53">
        <v>0.85085</v>
      </c>
      <c r="EM85" s="507">
        <v>127803.7962037962</v>
      </c>
      <c r="EN85" s="380">
        <f t="shared" si="71"/>
        <v>-543.04357194887416</v>
      </c>
      <c r="EO85" s="506">
        <v>108741.86</v>
      </c>
      <c r="EP85" s="53">
        <v>0.84740000000000004</v>
      </c>
      <c r="EQ85" s="507">
        <v>128324.12084021713</v>
      </c>
      <c r="ER85" s="380">
        <f t="shared" si="72"/>
        <v>520.32463642093353</v>
      </c>
      <c r="ES85" s="506">
        <v>108741.86</v>
      </c>
      <c r="ET85" s="53">
        <v>0.84755000000000003</v>
      </c>
      <c r="EU85" s="507">
        <v>128301.40994631585</v>
      </c>
      <c r="EV85" s="380">
        <f t="shared" si="73"/>
        <v>-22.710893901283271</v>
      </c>
      <c r="EW85" s="506">
        <v>108741.86</v>
      </c>
      <c r="EX85" s="53">
        <v>0.84325000000000006</v>
      </c>
      <c r="EY85" s="507">
        <v>128955.65965016306</v>
      </c>
      <c r="EZ85" s="380">
        <f t="shared" si="74"/>
        <v>654.24970384720655</v>
      </c>
      <c r="FA85" s="506">
        <v>102741.86</v>
      </c>
      <c r="FB85" s="53">
        <v>0.84045000000000003</v>
      </c>
      <c r="FC85" s="507">
        <v>122246.249033256</v>
      </c>
      <c r="FD85" s="380">
        <f t="shared" si="75"/>
        <v>-6709.4106169070583</v>
      </c>
      <c r="FE85" s="506">
        <v>102741.86</v>
      </c>
      <c r="FF85" s="53">
        <v>0.84119999999999995</v>
      </c>
      <c r="FG85" s="507">
        <v>122137.25630052308</v>
      </c>
      <c r="FH85" s="380">
        <f t="shared" si="76"/>
        <v>-108.99273273292056</v>
      </c>
      <c r="FI85" s="506">
        <v>102741.86</v>
      </c>
      <c r="FJ85" s="53">
        <v>0.84275</v>
      </c>
      <c r="FK85" s="507">
        <v>121912.61940077129</v>
      </c>
      <c r="FL85" s="380">
        <f t="shared" si="77"/>
        <v>-224.63689975178568</v>
      </c>
      <c r="FM85" s="506">
        <v>102741.86</v>
      </c>
      <c r="FN85" s="53">
        <v>0.84235000000000004</v>
      </c>
      <c r="FO85" s="507">
        <v>121970.51107022021</v>
      </c>
      <c r="FP85" s="380">
        <f t="shared" si="78"/>
        <v>57.891669448916218</v>
      </c>
      <c r="FQ85" s="506">
        <v>102741.86</v>
      </c>
      <c r="FR85" s="53">
        <v>0.84150000000000003</v>
      </c>
      <c r="FS85" s="507">
        <v>122093.71360665478</v>
      </c>
      <c r="FT85" s="380">
        <f t="shared" si="79"/>
        <v>123.20253643457545</v>
      </c>
      <c r="FU85" s="506">
        <v>102741.86</v>
      </c>
      <c r="FV85" s="53">
        <v>0.84399999999999997</v>
      </c>
      <c r="FW85" s="507">
        <v>121732.06161137442</v>
      </c>
      <c r="FX85" s="380">
        <f t="shared" si="80"/>
        <v>-361.65199528036464</v>
      </c>
      <c r="FY85" s="506">
        <v>118452.21</v>
      </c>
      <c r="FZ85" s="53">
        <v>0.83975</v>
      </c>
      <c r="GA85" s="507">
        <v>141056.5168204823</v>
      </c>
      <c r="GB85" s="380">
        <f t="shared" si="81"/>
        <v>19324.45520910788</v>
      </c>
      <c r="GC85" s="506">
        <v>118452.21</v>
      </c>
      <c r="GD85" s="53">
        <v>0.83904999999999996</v>
      </c>
      <c r="GE85" s="507">
        <v>141174.19700852156</v>
      </c>
      <c r="GF85" s="380">
        <f t="shared" si="82"/>
        <v>117.68018803925952</v>
      </c>
      <c r="GG85" s="506">
        <v>118452.21</v>
      </c>
      <c r="GH85" s="53">
        <v>0.83779999999999999</v>
      </c>
      <c r="GI85" s="507">
        <v>141384.8293148723</v>
      </c>
      <c r="GJ85" s="380">
        <f t="shared" si="83"/>
        <v>210.63230635074433</v>
      </c>
      <c r="GK85" s="506">
        <v>118435.3</v>
      </c>
      <c r="GL85" s="53">
        <v>0.8397</v>
      </c>
      <c r="GM85" s="507">
        <v>141044.77789686792</v>
      </c>
      <c r="GN85" s="380">
        <f t="shared" si="84"/>
        <v>-340.05141800438287</v>
      </c>
      <c r="GO85" s="506">
        <v>118435.3</v>
      </c>
      <c r="GP85" s="53">
        <v>0.83720000000000006</v>
      </c>
      <c r="GQ85" s="507">
        <v>141465.95795508838</v>
      </c>
      <c r="GR85" s="380">
        <f t="shared" si="85"/>
        <v>421.18005822045961</v>
      </c>
      <c r="GS85" s="506">
        <v>118435.3</v>
      </c>
      <c r="GT85" s="53">
        <v>0.84130000000000005</v>
      </c>
      <c r="GU85" s="507">
        <v>140776.53631284914</v>
      </c>
      <c r="GV85" s="380">
        <f t="shared" si="86"/>
        <v>-689.42164223923464</v>
      </c>
      <c r="GW85" s="506">
        <v>169635.45</v>
      </c>
      <c r="GX85" s="53">
        <v>0.84325000000000006</v>
      </c>
      <c r="GY85" s="507">
        <v>201168.63326415652</v>
      </c>
      <c r="GZ85" s="380">
        <f t="shared" si="87"/>
        <v>60392.09695130738</v>
      </c>
      <c r="HA85" s="506">
        <v>169635.45</v>
      </c>
      <c r="HB85" s="53">
        <v>0.84345000000000003</v>
      </c>
      <c r="HC85" s="507">
        <v>201120.93188689312</v>
      </c>
      <c r="HD85" s="380">
        <f t="shared" si="88"/>
        <v>-47.701377263409086</v>
      </c>
      <c r="HE85" s="506">
        <v>169635.45</v>
      </c>
      <c r="HF85" s="53">
        <v>0.84189999999999998</v>
      </c>
      <c r="HG85" s="507">
        <v>201491.21035752466</v>
      </c>
      <c r="HH85" s="380">
        <f t="shared" si="89"/>
        <v>370.27847063154331</v>
      </c>
      <c r="HI85" s="506">
        <v>169635.45</v>
      </c>
      <c r="HJ85" s="53">
        <v>0.84194999999999998</v>
      </c>
      <c r="HK85" s="507">
        <v>201479.24461072512</v>
      </c>
      <c r="HL85" s="380">
        <f t="shared" si="90"/>
        <v>-11.965746799542103</v>
      </c>
      <c r="HM85" s="506">
        <v>169635.45</v>
      </c>
      <c r="HN85" s="53">
        <v>0.84260000000000002</v>
      </c>
      <c r="HO85" s="507">
        <v>201323.81913126039</v>
      </c>
      <c r="HP85" s="380">
        <f t="shared" si="91"/>
        <v>-155.42547946472769</v>
      </c>
      <c r="HQ85" s="506">
        <v>169635.45</v>
      </c>
      <c r="HR85" s="53">
        <v>0.84609999999999996</v>
      </c>
      <c r="HS85" s="507">
        <v>200491.01761021159</v>
      </c>
      <c r="HT85" s="380">
        <f t="shared" si="92"/>
        <v>-832.8015210487938</v>
      </c>
      <c r="HU85" s="506">
        <v>169635.45</v>
      </c>
      <c r="HV85" s="53">
        <v>0.84714999999999996</v>
      </c>
      <c r="HW85" s="507">
        <v>200242.51903440952</v>
      </c>
      <c r="HX85" s="380">
        <f t="shared" si="93"/>
        <v>-248.49857580207754</v>
      </c>
      <c r="HY85" s="506">
        <v>169635.45</v>
      </c>
      <c r="HZ85" s="53">
        <v>0.85004999999999997</v>
      </c>
      <c r="IA85" s="507">
        <v>199559.37886006708</v>
      </c>
      <c r="IB85" s="380">
        <f t="shared" si="94"/>
        <v>-683.14017434243578</v>
      </c>
      <c r="IC85" s="506">
        <v>169635.45</v>
      </c>
      <c r="ID85" s="53">
        <v>0.85004999999999997</v>
      </c>
      <c r="IE85" s="507">
        <v>199559.37886006708</v>
      </c>
      <c r="IF85" s="380">
        <f t="shared" si="95"/>
        <v>0</v>
      </c>
      <c r="IG85" s="506">
        <v>169635.45</v>
      </c>
      <c r="IH85" s="53">
        <v>0.85004999999999997</v>
      </c>
      <c r="II85" s="507">
        <v>199559.37886006708</v>
      </c>
      <c r="IJ85" s="380">
        <f t="shared" si="96"/>
        <v>0</v>
      </c>
      <c r="IK85" s="506">
        <v>169635.45</v>
      </c>
      <c r="IL85" s="53">
        <v>0.85004999999999997</v>
      </c>
      <c r="IM85" s="507">
        <v>199559.37886006708</v>
      </c>
      <c r="IN85" s="380">
        <f t="shared" si="97"/>
        <v>0</v>
      </c>
      <c r="IO85" s="506">
        <v>169635.45</v>
      </c>
      <c r="IP85" s="53">
        <v>0.85004999999999997</v>
      </c>
      <c r="IQ85" s="507">
        <v>199559.37886006708</v>
      </c>
      <c r="IR85" s="380">
        <f t="shared" si="98"/>
        <v>0</v>
      </c>
      <c r="IS85" s="506">
        <v>169635.45</v>
      </c>
      <c r="IT85" s="53">
        <v>0.85004999999999997</v>
      </c>
      <c r="IU85" s="507">
        <v>199559.37886006708</v>
      </c>
      <c r="IV85" s="380">
        <f t="shared" si="99"/>
        <v>0</v>
      </c>
      <c r="IW85" s="506">
        <v>169635.45</v>
      </c>
      <c r="IX85" s="53">
        <v>0.8528</v>
      </c>
      <c r="IY85" s="507">
        <v>198915.8653846154</v>
      </c>
      <c r="IZ85" s="380">
        <f t="shared" si="100"/>
        <v>-643.51347545167664</v>
      </c>
    </row>
    <row r="86" spans="1:260">
      <c r="A86" s="13" t="s">
        <v>633</v>
      </c>
      <c r="B86" s="13" t="s">
        <v>634</v>
      </c>
      <c r="C86" s="13" t="s">
        <v>219</v>
      </c>
      <c r="D86" s="13" t="s">
        <v>11</v>
      </c>
      <c r="E86" s="13" t="s">
        <v>2</v>
      </c>
      <c r="F86" s="13" t="s">
        <v>638</v>
      </c>
      <c r="G86" s="13" t="s">
        <v>638</v>
      </c>
      <c r="H86" s="49" t="s">
        <v>512</v>
      </c>
      <c r="I86" s="14">
        <f>+'JYSKE - FKB - Colar '!B3</f>
        <v>197263.6</v>
      </c>
      <c r="J86" s="14">
        <f>+VLOOKUP(E86,'Summary - Colar'!$M$39:$N$54,2,FALSE)</f>
        <v>1</v>
      </c>
      <c r="K86" s="14">
        <f t="shared" si="101"/>
        <v>197263.6</v>
      </c>
      <c r="L86" s="506">
        <v>426218.61</v>
      </c>
      <c r="M86" s="53">
        <v>1</v>
      </c>
      <c r="N86" s="507">
        <v>426218.61</v>
      </c>
      <c r="O86" s="506">
        <v>522525.39</v>
      </c>
      <c r="P86" s="53">
        <v>1</v>
      </c>
      <c r="Q86" s="507">
        <v>522525.39</v>
      </c>
      <c r="R86" s="506">
        <v>299157.49</v>
      </c>
      <c r="S86" s="53">
        <v>1</v>
      </c>
      <c r="T86" s="507">
        <v>299157.49</v>
      </c>
      <c r="U86" s="506">
        <v>239038.67</v>
      </c>
      <c r="V86" s="53">
        <v>1</v>
      </c>
      <c r="W86" s="507">
        <v>239038.67</v>
      </c>
      <c r="X86" s="506">
        <v>137687.13</v>
      </c>
      <c r="Y86" s="53">
        <v>1</v>
      </c>
      <c r="Z86" s="507">
        <v>137687.13</v>
      </c>
      <c r="AA86" s="506">
        <v>299067.55</v>
      </c>
      <c r="AB86" s="53">
        <v>1</v>
      </c>
      <c r="AC86" s="507">
        <v>299067.55</v>
      </c>
      <c r="AD86" s="506">
        <v>137866</v>
      </c>
      <c r="AE86" s="53">
        <v>1</v>
      </c>
      <c r="AF86" s="507">
        <v>137866</v>
      </c>
      <c r="AG86" s="506">
        <v>92838.41</v>
      </c>
      <c r="AH86" s="53">
        <v>1</v>
      </c>
      <c r="AI86" s="507">
        <v>92838.41</v>
      </c>
      <c r="AJ86" s="506">
        <v>230898.09</v>
      </c>
      <c r="AK86" s="53">
        <v>1</v>
      </c>
      <c r="AL86" s="507">
        <v>230898.09</v>
      </c>
      <c r="AM86" s="506">
        <v>389360.98</v>
      </c>
      <c r="AN86" s="53">
        <v>1</v>
      </c>
      <c r="AO86" s="507">
        <v>389360.98</v>
      </c>
      <c r="AP86" s="506">
        <v>222298.56</v>
      </c>
      <c r="AQ86" s="53">
        <v>1</v>
      </c>
      <c r="AR86" s="507">
        <v>222298.56</v>
      </c>
      <c r="AS86" s="506">
        <v>298978.65000000002</v>
      </c>
      <c r="AT86" s="53">
        <v>1</v>
      </c>
      <c r="AU86" s="507">
        <v>298978.65000000002</v>
      </c>
      <c r="AV86" s="506">
        <v>29500.13</v>
      </c>
      <c r="AW86" s="53">
        <v>1</v>
      </c>
      <c r="AX86" s="507">
        <v>29500.13</v>
      </c>
      <c r="AY86" s="506">
        <v>150344.46</v>
      </c>
      <c r="AZ86" s="53">
        <v>1</v>
      </c>
      <c r="BA86" s="507">
        <v>150344.46</v>
      </c>
      <c r="BB86" s="506">
        <v>192672.44</v>
      </c>
      <c r="BC86" s="53">
        <v>1</v>
      </c>
      <c r="BD86" s="507">
        <v>192672.44</v>
      </c>
      <c r="BE86" s="506">
        <v>192672.44</v>
      </c>
      <c r="BF86" s="53">
        <v>1</v>
      </c>
      <c r="BG86" s="507">
        <v>192672.44</v>
      </c>
      <c r="BH86" s="380">
        <f t="shared" si="51"/>
        <v>192671.44</v>
      </c>
      <c r="BI86" s="506">
        <v>196172.47</v>
      </c>
      <c r="BJ86" s="53">
        <v>1</v>
      </c>
      <c r="BK86" s="507">
        <v>196172.47</v>
      </c>
      <c r="BL86" s="380">
        <f t="shared" si="52"/>
        <v>3500.0299999999988</v>
      </c>
      <c r="BM86" s="506">
        <v>196172.47</v>
      </c>
      <c r="BN86" s="53">
        <v>1</v>
      </c>
      <c r="BO86" s="507">
        <v>196172.47</v>
      </c>
      <c r="BP86">
        <v>158462.88999999998</v>
      </c>
      <c r="BQ86" s="506">
        <v>196172.47</v>
      </c>
      <c r="BR86" s="53">
        <v>1</v>
      </c>
      <c r="BS86" s="507">
        <v>196172.47</v>
      </c>
      <c r="BT86" s="380">
        <f t="shared" si="53"/>
        <v>0</v>
      </c>
      <c r="BU86" s="506">
        <v>196172.47</v>
      </c>
      <c r="BV86" s="53">
        <v>1</v>
      </c>
      <c r="BW86" s="507">
        <v>196172.47</v>
      </c>
      <c r="BX86" s="380">
        <f t="shared" si="54"/>
        <v>0</v>
      </c>
      <c r="BY86" s="506">
        <v>196172.47</v>
      </c>
      <c r="BZ86" s="53">
        <v>1</v>
      </c>
      <c r="CA86" s="507">
        <v>196172.47</v>
      </c>
      <c r="CB86" s="380">
        <f t="shared" si="55"/>
        <v>0</v>
      </c>
      <c r="CC86" s="506">
        <v>196172.47</v>
      </c>
      <c r="CD86" s="53">
        <v>1</v>
      </c>
      <c r="CE86" s="507">
        <v>196172.47</v>
      </c>
      <c r="CF86" s="380">
        <f t="shared" si="56"/>
        <v>0</v>
      </c>
      <c r="CG86" s="506">
        <v>200447.47</v>
      </c>
      <c r="CH86" s="53">
        <v>1</v>
      </c>
      <c r="CI86" s="507">
        <v>200447.47</v>
      </c>
      <c r="CJ86" s="380">
        <f t="shared" si="57"/>
        <v>4275</v>
      </c>
      <c r="CK86" s="506">
        <v>204010.53</v>
      </c>
      <c r="CL86" s="53">
        <v>1</v>
      </c>
      <c r="CM86" s="507">
        <v>204010.53</v>
      </c>
      <c r="CN86" s="380">
        <f t="shared" si="58"/>
        <v>3563.0599999999977</v>
      </c>
      <c r="CO86" s="506">
        <v>277760.61</v>
      </c>
      <c r="CP86" s="53">
        <v>1</v>
      </c>
      <c r="CQ86" s="507">
        <v>277760.61</v>
      </c>
      <c r="CR86" s="380">
        <f t="shared" si="59"/>
        <v>73750.079999999987</v>
      </c>
      <c r="CS86" s="506">
        <v>269162.5</v>
      </c>
      <c r="CT86" s="53">
        <v>1</v>
      </c>
      <c r="CU86" s="507">
        <v>269162.5</v>
      </c>
      <c r="CV86" s="380">
        <f t="shared" si="60"/>
        <v>-8598.109999999986</v>
      </c>
      <c r="CW86" s="506">
        <v>269162.5</v>
      </c>
      <c r="CX86" s="53">
        <v>1</v>
      </c>
      <c r="CY86" s="507">
        <v>269162.5</v>
      </c>
      <c r="CZ86" s="380">
        <f t="shared" si="61"/>
        <v>0</v>
      </c>
      <c r="DA86" s="506">
        <v>269162.5</v>
      </c>
      <c r="DB86" s="53">
        <v>1</v>
      </c>
      <c r="DC86" s="507">
        <v>269162.5</v>
      </c>
      <c r="DD86" s="380">
        <f t="shared" si="62"/>
        <v>0</v>
      </c>
      <c r="DE86" s="506">
        <v>269162.5</v>
      </c>
      <c r="DF86" s="53">
        <v>1</v>
      </c>
      <c r="DG86" s="507">
        <v>269162.5</v>
      </c>
      <c r="DH86" s="380">
        <f t="shared" si="63"/>
        <v>0</v>
      </c>
      <c r="DI86" s="506">
        <v>291776.74</v>
      </c>
      <c r="DJ86" s="53">
        <v>1</v>
      </c>
      <c r="DK86" s="507">
        <v>291776.74</v>
      </c>
      <c r="DL86" s="380">
        <f t="shared" si="64"/>
        <v>22614.239999999991</v>
      </c>
      <c r="DM86" s="506">
        <v>376642.88</v>
      </c>
      <c r="DN86" s="53">
        <v>1</v>
      </c>
      <c r="DO86" s="507">
        <v>376642.88</v>
      </c>
      <c r="DP86" s="380">
        <f t="shared" si="65"/>
        <v>84866.140000000014</v>
      </c>
      <c r="DQ86" s="506">
        <v>493047.88</v>
      </c>
      <c r="DR86" s="53">
        <v>1</v>
      </c>
      <c r="DS86" s="507">
        <v>493047.88</v>
      </c>
      <c r="DT86" s="380">
        <f t="shared" si="66"/>
        <v>116405</v>
      </c>
      <c r="DU86" s="506">
        <v>478109.4</v>
      </c>
      <c r="DV86" s="53">
        <v>1</v>
      </c>
      <c r="DW86" s="507">
        <v>478109.4</v>
      </c>
      <c r="DX86" s="380">
        <f t="shared" si="67"/>
        <v>-14938.479999999981</v>
      </c>
      <c r="DY86" s="506">
        <v>483256.15</v>
      </c>
      <c r="DZ86" s="53">
        <v>1</v>
      </c>
      <c r="EA86" s="507">
        <v>483256.15</v>
      </c>
      <c r="EB86" s="380">
        <f t="shared" si="68"/>
        <v>5146.75</v>
      </c>
      <c r="EC86" s="506">
        <v>483256.15</v>
      </c>
      <c r="ED86" s="53">
        <v>1</v>
      </c>
      <c r="EE86" s="507">
        <v>483256.15</v>
      </c>
      <c r="EF86" s="380">
        <f t="shared" si="69"/>
        <v>0</v>
      </c>
      <c r="EG86" s="506">
        <v>181741.67</v>
      </c>
      <c r="EH86" s="53">
        <v>1</v>
      </c>
      <c r="EI86" s="507">
        <v>181741.67</v>
      </c>
      <c r="EJ86" s="380">
        <f t="shared" si="70"/>
        <v>-301514.48</v>
      </c>
      <c r="EK86" s="506">
        <v>191947.94</v>
      </c>
      <c r="EL86" s="53">
        <v>1</v>
      </c>
      <c r="EM86" s="507">
        <v>191947.94</v>
      </c>
      <c r="EN86" s="380">
        <f t="shared" si="71"/>
        <v>10206.26999999999</v>
      </c>
      <c r="EO86" s="506">
        <v>265732.90000000002</v>
      </c>
      <c r="EP86" s="53">
        <v>1</v>
      </c>
      <c r="EQ86" s="507">
        <v>265732.90000000002</v>
      </c>
      <c r="ER86" s="380">
        <f t="shared" si="72"/>
        <v>73784.960000000021</v>
      </c>
      <c r="ES86" s="506">
        <v>287516.28000000003</v>
      </c>
      <c r="ET86" s="53">
        <v>1</v>
      </c>
      <c r="EU86" s="507">
        <v>287516.28000000003</v>
      </c>
      <c r="EV86" s="380">
        <f t="shared" si="73"/>
        <v>21783.380000000005</v>
      </c>
      <c r="EW86" s="506">
        <v>321918.93</v>
      </c>
      <c r="EX86" s="53">
        <v>1</v>
      </c>
      <c r="EY86" s="507">
        <v>321918.93</v>
      </c>
      <c r="EZ86" s="380">
        <f t="shared" si="74"/>
        <v>34402.649999999965</v>
      </c>
      <c r="FA86" s="506">
        <v>380238.55</v>
      </c>
      <c r="FB86" s="53">
        <v>1</v>
      </c>
      <c r="FC86" s="507">
        <v>380238.55</v>
      </c>
      <c r="FD86" s="380">
        <f t="shared" si="75"/>
        <v>58319.619999999995</v>
      </c>
      <c r="FE86" s="506">
        <v>400008.66</v>
      </c>
      <c r="FF86" s="53">
        <v>1</v>
      </c>
      <c r="FG86" s="507">
        <v>400008.66</v>
      </c>
      <c r="FH86" s="380">
        <f t="shared" si="76"/>
        <v>19770.109999999986</v>
      </c>
      <c r="FI86" s="506">
        <v>414908.66</v>
      </c>
      <c r="FJ86" s="53">
        <v>1</v>
      </c>
      <c r="FK86" s="507">
        <v>414908.66</v>
      </c>
      <c r="FL86" s="380">
        <f t="shared" si="77"/>
        <v>14900</v>
      </c>
      <c r="FM86" s="506">
        <v>416896.16</v>
      </c>
      <c r="FN86" s="53">
        <v>1</v>
      </c>
      <c r="FO86" s="507">
        <v>416896.16</v>
      </c>
      <c r="FP86" s="380">
        <f t="shared" si="78"/>
        <v>1987.5</v>
      </c>
      <c r="FQ86" s="506">
        <v>216896.16</v>
      </c>
      <c r="FR86" s="53">
        <v>1</v>
      </c>
      <c r="FS86" s="507">
        <v>216896.16</v>
      </c>
      <c r="FT86" s="380">
        <f t="shared" si="79"/>
        <v>-199999.99999999997</v>
      </c>
      <c r="FU86" s="506">
        <v>216896.16</v>
      </c>
      <c r="FV86" s="53">
        <v>1</v>
      </c>
      <c r="FW86" s="507">
        <v>216896.16</v>
      </c>
      <c r="FX86" s="380">
        <f t="shared" si="80"/>
        <v>0</v>
      </c>
      <c r="FY86" s="506">
        <v>216896.16</v>
      </c>
      <c r="FZ86" s="53">
        <v>1</v>
      </c>
      <c r="GA86" s="507">
        <v>216896.16</v>
      </c>
      <c r="GB86" s="380">
        <f t="shared" si="81"/>
        <v>0</v>
      </c>
      <c r="GC86" s="506">
        <v>190281.57</v>
      </c>
      <c r="GD86" s="53">
        <v>1</v>
      </c>
      <c r="GE86" s="507">
        <v>190281.57</v>
      </c>
      <c r="GF86" s="380">
        <f t="shared" si="82"/>
        <v>-26614.589999999997</v>
      </c>
      <c r="GG86" s="506">
        <v>190281.57</v>
      </c>
      <c r="GH86" s="53">
        <v>1</v>
      </c>
      <c r="GI86" s="507">
        <v>190281.57</v>
      </c>
      <c r="GJ86" s="380">
        <f t="shared" si="83"/>
        <v>0</v>
      </c>
      <c r="GK86" s="506">
        <v>196707.21</v>
      </c>
      <c r="GL86" s="53">
        <v>1</v>
      </c>
      <c r="GM86" s="507">
        <v>196707.21</v>
      </c>
      <c r="GN86" s="380">
        <f t="shared" si="84"/>
        <v>6425.6399999999849</v>
      </c>
      <c r="GO86" s="506">
        <v>196707.21</v>
      </c>
      <c r="GP86" s="53">
        <v>1</v>
      </c>
      <c r="GQ86" s="507">
        <v>196707.21</v>
      </c>
      <c r="GR86" s="380">
        <f t="shared" si="85"/>
        <v>0</v>
      </c>
      <c r="GS86" s="506">
        <v>196707.21</v>
      </c>
      <c r="GT86" s="53">
        <v>1</v>
      </c>
      <c r="GU86" s="507">
        <v>196707.21</v>
      </c>
      <c r="GV86" s="380">
        <f t="shared" si="86"/>
        <v>0</v>
      </c>
      <c r="GW86" s="506">
        <v>251196.29</v>
      </c>
      <c r="GX86" s="53">
        <v>1</v>
      </c>
      <c r="GY86" s="507">
        <v>251196.29</v>
      </c>
      <c r="GZ86" s="380">
        <f t="shared" si="87"/>
        <v>54489.080000000016</v>
      </c>
      <c r="HA86" s="506">
        <v>229858.79</v>
      </c>
      <c r="HB86" s="53">
        <v>1</v>
      </c>
      <c r="HC86" s="507">
        <v>229858.79</v>
      </c>
      <c r="HD86" s="380">
        <f t="shared" si="88"/>
        <v>-21337.5</v>
      </c>
      <c r="HE86" s="506">
        <v>229858.79</v>
      </c>
      <c r="HF86" s="53">
        <v>1</v>
      </c>
      <c r="HG86" s="507">
        <v>229858.79</v>
      </c>
      <c r="HH86" s="380">
        <f t="shared" si="89"/>
        <v>0</v>
      </c>
      <c r="HI86" s="506">
        <v>229858.79</v>
      </c>
      <c r="HJ86" s="53">
        <v>1</v>
      </c>
      <c r="HK86" s="507">
        <v>229858.79</v>
      </c>
      <c r="HL86" s="380">
        <f t="shared" si="90"/>
        <v>0</v>
      </c>
      <c r="HM86" s="506">
        <v>240198.07</v>
      </c>
      <c r="HN86" s="53">
        <v>1</v>
      </c>
      <c r="HO86" s="507">
        <v>240198.07</v>
      </c>
      <c r="HP86" s="380">
        <f t="shared" si="91"/>
        <v>10339.279999999999</v>
      </c>
      <c r="HQ86" s="506">
        <v>330615.71000000002</v>
      </c>
      <c r="HR86" s="53">
        <v>1</v>
      </c>
      <c r="HS86" s="507">
        <v>330615.71000000002</v>
      </c>
      <c r="HT86" s="380">
        <f t="shared" si="92"/>
        <v>90417.640000000014</v>
      </c>
      <c r="HU86" s="506">
        <v>330615.71000000002</v>
      </c>
      <c r="HV86" s="53">
        <v>1</v>
      </c>
      <c r="HW86" s="507">
        <v>330615.71000000002</v>
      </c>
      <c r="HX86" s="380">
        <f t="shared" si="93"/>
        <v>0</v>
      </c>
      <c r="HY86" s="506">
        <v>150615.71</v>
      </c>
      <c r="HZ86" s="53">
        <v>1</v>
      </c>
      <c r="IA86" s="507">
        <v>150615.71</v>
      </c>
      <c r="IB86" s="380">
        <f t="shared" si="94"/>
        <v>-180000.00000000003</v>
      </c>
      <c r="IC86" s="506">
        <v>197228.21</v>
      </c>
      <c r="ID86" s="53">
        <v>1</v>
      </c>
      <c r="IE86" s="507">
        <v>197228.21</v>
      </c>
      <c r="IF86" s="380">
        <f t="shared" si="95"/>
        <v>46612.5</v>
      </c>
      <c r="IG86" s="506">
        <v>197228.21</v>
      </c>
      <c r="IH86" s="53">
        <v>1</v>
      </c>
      <c r="II86" s="507">
        <v>197228.21</v>
      </c>
      <c r="IJ86" s="380">
        <f t="shared" si="96"/>
        <v>0</v>
      </c>
      <c r="IK86" s="506">
        <v>173708.87</v>
      </c>
      <c r="IL86" s="53">
        <v>1</v>
      </c>
      <c r="IM86" s="507">
        <v>173708.87</v>
      </c>
      <c r="IN86" s="380">
        <f t="shared" si="97"/>
        <v>-23519.339999999997</v>
      </c>
      <c r="IO86" s="506">
        <v>173708.87</v>
      </c>
      <c r="IP86" s="53">
        <v>1</v>
      </c>
      <c r="IQ86" s="507">
        <v>173708.87</v>
      </c>
      <c r="IR86" s="380">
        <f t="shared" si="98"/>
        <v>0</v>
      </c>
      <c r="IS86" s="506">
        <v>147369.26</v>
      </c>
      <c r="IT86" s="53">
        <v>1</v>
      </c>
      <c r="IU86" s="507">
        <v>147369.26</v>
      </c>
      <c r="IV86" s="380">
        <f t="shared" si="99"/>
        <v>-26339.609999999986</v>
      </c>
      <c r="IW86" s="506">
        <v>197263.6</v>
      </c>
      <c r="IX86" s="53">
        <v>1</v>
      </c>
      <c r="IY86" s="507">
        <v>197263.6</v>
      </c>
      <c r="IZ86" s="380">
        <f t="shared" si="100"/>
        <v>49894.34</v>
      </c>
    </row>
    <row r="87" spans="1:260">
      <c r="A87" s="13" t="s">
        <v>633</v>
      </c>
      <c r="B87" s="13" t="s">
        <v>634</v>
      </c>
      <c r="C87" s="13" t="s">
        <v>219</v>
      </c>
      <c r="D87" s="13" t="s">
        <v>11</v>
      </c>
      <c r="E87" s="13" t="s">
        <v>3</v>
      </c>
      <c r="F87" s="13" t="s">
        <v>639</v>
      </c>
      <c r="G87" s="13" t="s">
        <v>639</v>
      </c>
      <c r="H87" s="49" t="s">
        <v>512</v>
      </c>
      <c r="I87" s="14">
        <f>+'JYSKE - FKB - Colar '!B2</f>
        <v>1978284.83</v>
      </c>
      <c r="J87" s="14">
        <f>+VLOOKUP(E87,'Summary - Colar'!$M$39:$N$54,2,FALSE)</f>
        <v>7.4596999999999998</v>
      </c>
      <c r="K87" s="14">
        <f t="shared" si="101"/>
        <v>265196.29877877131</v>
      </c>
      <c r="L87" s="506">
        <v>3359611.26</v>
      </c>
      <c r="M87" s="53">
        <v>7.4578000227644718</v>
      </c>
      <c r="N87" s="507">
        <v>450482.88365804858</v>
      </c>
      <c r="O87" s="506">
        <v>3443902.23</v>
      </c>
      <c r="P87" s="53">
        <v>7.4599000367386337</v>
      </c>
      <c r="Q87" s="507">
        <v>461655.27862832154</v>
      </c>
      <c r="R87" s="506">
        <v>3964510.01</v>
      </c>
      <c r="S87" s="53">
        <v>7.4604999812168193</v>
      </c>
      <c r="T87" s="507">
        <v>531400.0428900721</v>
      </c>
      <c r="U87" s="506">
        <v>3924606.46</v>
      </c>
      <c r="V87" s="53">
        <v>7.4608499551659859</v>
      </c>
      <c r="W87" s="507">
        <v>526026.72397701198</v>
      </c>
      <c r="X87" s="506">
        <v>2161267.4</v>
      </c>
      <c r="Y87" s="53">
        <v>7.4616000126947908</v>
      </c>
      <c r="Z87" s="507">
        <v>289652.00443911873</v>
      </c>
      <c r="AA87" s="506">
        <v>1789858.21</v>
      </c>
      <c r="AB87" s="53">
        <v>7.4617499299525107</v>
      </c>
      <c r="AC87" s="507">
        <v>239871.10621534742</v>
      </c>
      <c r="AD87" s="506">
        <v>1798055</v>
      </c>
      <c r="AE87" s="53">
        <v>7.4598500675691328</v>
      </c>
      <c r="AF87" s="507">
        <v>241030.98369454418</v>
      </c>
      <c r="AG87" s="506">
        <v>2377077.0699999998</v>
      </c>
      <c r="AH87" s="53">
        <v>7.4589500593778393</v>
      </c>
      <c r="AI87" s="507">
        <v>318687.89187177841</v>
      </c>
      <c r="AJ87" s="506">
        <v>2641096.08</v>
      </c>
      <c r="AK87" s="53">
        <v>7.4586999951330943</v>
      </c>
      <c r="AL87" s="507">
        <v>354096.03305178543</v>
      </c>
      <c r="AM87" s="506">
        <v>1491064.93</v>
      </c>
      <c r="AN87" s="53">
        <v>7.4580999574828022</v>
      </c>
      <c r="AO87" s="507">
        <v>199925.57601805759</v>
      </c>
      <c r="AP87" s="506">
        <v>2255399.5699999998</v>
      </c>
      <c r="AQ87" s="53">
        <v>7.4589500752281221</v>
      </c>
      <c r="AR87" s="507">
        <v>302374.93846357748</v>
      </c>
      <c r="AS87" s="506">
        <v>2440487.0499999998</v>
      </c>
      <c r="AT87" s="53">
        <v>7.4602000000000004</v>
      </c>
      <c r="AU87" s="507">
        <v>327134.265837377</v>
      </c>
      <c r="AV87" s="506">
        <v>2777681.57</v>
      </c>
      <c r="AW87" s="53">
        <v>7.4596499203654751</v>
      </c>
      <c r="AX87" s="507">
        <v>372360.84798251645</v>
      </c>
      <c r="AY87" s="506">
        <v>1268566.99</v>
      </c>
      <c r="AZ87" s="53">
        <v>7.461600087896608</v>
      </c>
      <c r="BA87" s="507">
        <v>170012.72851083652</v>
      </c>
      <c r="BB87" s="506">
        <v>530015.99</v>
      </c>
      <c r="BC87" s="53">
        <v>7.461300259157241</v>
      </c>
      <c r="BD87" s="507">
        <v>71035.338559055075</v>
      </c>
      <c r="BE87" s="506">
        <v>506025.87</v>
      </c>
      <c r="BF87" s="53">
        <v>7.4615506843211987</v>
      </c>
      <c r="BG87" s="507">
        <v>67817.789010440101</v>
      </c>
      <c r="BH87" s="380">
        <f t="shared" si="51"/>
        <v>67810.327710180951</v>
      </c>
      <c r="BI87" s="506">
        <v>505812.12</v>
      </c>
      <c r="BJ87" s="53">
        <v>7.4610497754059075</v>
      </c>
      <c r="BK87" s="507">
        <v>67793.693277228143</v>
      </c>
      <c r="BL87" s="380">
        <f t="shared" si="52"/>
        <v>-24.09573321195785</v>
      </c>
      <c r="BM87" s="506">
        <v>505812.12</v>
      </c>
      <c r="BN87" s="53">
        <v>7.461299503822036</v>
      </c>
      <c r="BO87" s="507">
        <v>67791.424233928512</v>
      </c>
      <c r="BP87">
        <v>-154170.45703372784</v>
      </c>
      <c r="BQ87" s="506">
        <v>505772</v>
      </c>
      <c r="BR87" s="53">
        <v>7.4617506681719297</v>
      </c>
      <c r="BS87" s="507">
        <v>67781.948565685612</v>
      </c>
      <c r="BT87" s="380">
        <f t="shared" si="53"/>
        <v>-9.475668242899701</v>
      </c>
      <c r="BU87" s="506">
        <v>500138.63</v>
      </c>
      <c r="BV87" s="53">
        <v>7.4637500907994205</v>
      </c>
      <c r="BW87" s="507">
        <v>67009.026818371349</v>
      </c>
      <c r="BX87" s="380">
        <f t="shared" si="54"/>
        <v>-772.92174731426348</v>
      </c>
      <c r="BY87" s="506">
        <v>500138.63</v>
      </c>
      <c r="BZ87" s="53">
        <v>7.4648006228336596</v>
      </c>
      <c r="CA87" s="507">
        <v>66999.596542492247</v>
      </c>
      <c r="CB87" s="380">
        <f t="shared" si="55"/>
        <v>-9.4302758791018277</v>
      </c>
      <c r="CC87" s="506">
        <v>500138.63</v>
      </c>
      <c r="CD87" s="53">
        <v>7.4690003021903921</v>
      </c>
      <c r="CE87" s="507">
        <v>66961.923920839457</v>
      </c>
      <c r="CF87" s="380">
        <f t="shared" si="56"/>
        <v>-37.67262165278953</v>
      </c>
      <c r="CG87" s="506">
        <v>500138.63</v>
      </c>
      <c r="CH87" s="53">
        <v>7.4653997129273453</v>
      </c>
      <c r="CI87" s="507">
        <v>66994.219898760755</v>
      </c>
      <c r="CJ87" s="380">
        <f t="shared" si="57"/>
        <v>32.29597792129789</v>
      </c>
      <c r="CK87" s="506">
        <v>500138.63</v>
      </c>
      <c r="CL87" s="53">
        <v>7.4675995432937077</v>
      </c>
      <c r="CM87" s="507">
        <v>66974.484518140831</v>
      </c>
      <c r="CN87" s="380">
        <f t="shared" si="58"/>
        <v>-19.735380619924399</v>
      </c>
      <c r="CO87" s="506">
        <v>453868.61</v>
      </c>
      <c r="CP87" s="53">
        <v>7.4676002177606442</v>
      </c>
      <c r="CQ87" s="507">
        <v>60778.375484072763</v>
      </c>
      <c r="CR87" s="380">
        <f t="shared" si="59"/>
        <v>-6196.1090340680676</v>
      </c>
      <c r="CS87" s="506">
        <v>1006905.02</v>
      </c>
      <c r="CT87" s="53">
        <v>7.4661999511468373</v>
      </c>
      <c r="CU87" s="507">
        <v>134861.78063652522</v>
      </c>
      <c r="CV87" s="380">
        <f t="shared" si="60"/>
        <v>74083.405152452455</v>
      </c>
      <c r="CW87" s="506">
        <v>1006905.02</v>
      </c>
      <c r="CX87" s="53">
        <v>7.4671001485065602</v>
      </c>
      <c r="CY87" s="507">
        <v>134845.52235466987</v>
      </c>
      <c r="CZ87" s="380">
        <f t="shared" si="61"/>
        <v>-16.258281855349196</v>
      </c>
      <c r="DA87" s="506">
        <v>1006905.02</v>
      </c>
      <c r="DB87" s="53">
        <v>7.4664002142367627</v>
      </c>
      <c r="DC87" s="507">
        <v>134858.16338642768</v>
      </c>
      <c r="DD87" s="380">
        <f t="shared" si="62"/>
        <v>12.641031757812016</v>
      </c>
      <c r="DE87" s="506">
        <v>1006905.02</v>
      </c>
      <c r="DF87" s="53">
        <v>7.4662497481843646</v>
      </c>
      <c r="DG87" s="507">
        <v>134860.88115989667</v>
      </c>
      <c r="DH87" s="380">
        <f t="shared" si="63"/>
        <v>2.7177734689903446</v>
      </c>
      <c r="DI87" s="506">
        <v>1005905.02</v>
      </c>
      <c r="DJ87" s="53">
        <v>7.4655001856203178</v>
      </c>
      <c r="DK87" s="507">
        <v>134740.47217057541</v>
      </c>
      <c r="DL87" s="380">
        <f t="shared" si="64"/>
        <v>-120.40898932126584</v>
      </c>
      <c r="DM87" s="506">
        <v>2005905.02</v>
      </c>
      <c r="DN87" s="53">
        <v>14.637048620993989</v>
      </c>
      <c r="DO87" s="507">
        <v>137042.9976657262</v>
      </c>
      <c r="DP87" s="380">
        <f t="shared" si="65"/>
        <v>2302.5254951507959</v>
      </c>
      <c r="DQ87" s="506">
        <v>1432003.5</v>
      </c>
      <c r="DR87" s="53">
        <v>7.4644001348009938</v>
      </c>
      <c r="DS87" s="507">
        <v>191844.41805626464</v>
      </c>
      <c r="DT87" s="380">
        <f t="shared" si="66"/>
        <v>54801.420390538435</v>
      </c>
      <c r="DU87" s="506">
        <v>408064.77</v>
      </c>
      <c r="DV87" s="53">
        <v>7.462950004502602</v>
      </c>
      <c r="DW87" s="507">
        <v>54678.748987170402</v>
      </c>
      <c r="DX87" s="380">
        <f t="shared" si="67"/>
        <v>-137165.66906909423</v>
      </c>
      <c r="DY87" s="506">
        <v>407851.02</v>
      </c>
      <c r="DZ87" s="53">
        <v>7.4618000000000002</v>
      </c>
      <c r="EA87" s="507">
        <v>54658.53011337747</v>
      </c>
      <c r="EB87" s="380">
        <f t="shared" si="68"/>
        <v>-20.218873792931845</v>
      </c>
      <c r="EC87" s="506">
        <v>409065.65</v>
      </c>
      <c r="ED87" s="53">
        <v>7.4621500000000003</v>
      </c>
      <c r="EE87" s="507">
        <v>54818.738567302993</v>
      </c>
      <c r="EF87" s="380">
        <f t="shared" si="69"/>
        <v>160.20845392552292</v>
      </c>
      <c r="EG87" s="506">
        <v>274759.12</v>
      </c>
      <c r="EH87" s="53">
        <v>7.4611999999999998</v>
      </c>
      <c r="EI87" s="507">
        <v>36825.057631480195</v>
      </c>
      <c r="EJ87" s="380">
        <f t="shared" si="70"/>
        <v>-17993.680935822798</v>
      </c>
      <c r="EK87" s="506">
        <v>455205.09</v>
      </c>
      <c r="EL87" s="53">
        <v>7.4615</v>
      </c>
      <c r="EM87" s="507">
        <v>61007.182201970114</v>
      </c>
      <c r="EN87" s="380">
        <f t="shared" si="71"/>
        <v>24182.124570489919</v>
      </c>
      <c r="EO87" s="506">
        <v>455205.09</v>
      </c>
      <c r="EP87" s="53">
        <v>7.4603000000000002</v>
      </c>
      <c r="EQ87" s="507">
        <v>61016.995295095374</v>
      </c>
      <c r="ER87" s="380">
        <f t="shared" si="72"/>
        <v>9.8130931252599112</v>
      </c>
      <c r="ES87" s="506">
        <v>448854.56</v>
      </c>
      <c r="ET87" s="53">
        <v>7.4603999999999999</v>
      </c>
      <c r="EU87" s="507">
        <v>60164.945579325504</v>
      </c>
      <c r="EV87" s="380">
        <f t="shared" si="73"/>
        <v>-852.04971576987009</v>
      </c>
      <c r="EW87" s="506">
        <v>597735.03</v>
      </c>
      <c r="EX87" s="53">
        <v>7.4592999999999998</v>
      </c>
      <c r="EY87" s="507">
        <v>80132.858311101591</v>
      </c>
      <c r="EZ87" s="380">
        <f t="shared" si="74"/>
        <v>19967.912731776087</v>
      </c>
      <c r="FA87" s="506">
        <v>597735.03</v>
      </c>
      <c r="FB87" s="53">
        <v>7.4596</v>
      </c>
      <c r="FC87" s="507">
        <v>80129.635637299594</v>
      </c>
      <c r="FD87" s="380">
        <f t="shared" si="75"/>
        <v>-3.2226738019962795</v>
      </c>
      <c r="FE87" s="506">
        <v>595887.18999999994</v>
      </c>
      <c r="FF87" s="53">
        <v>7.4592999999999998</v>
      </c>
      <c r="FG87" s="507">
        <v>79885.13533441475</v>
      </c>
      <c r="FH87" s="380">
        <f t="shared" si="76"/>
        <v>-244.50030288484413</v>
      </c>
      <c r="FI87" s="506">
        <v>595887.18999999994</v>
      </c>
      <c r="FJ87" s="53">
        <v>7.4600999999999997</v>
      </c>
      <c r="FK87" s="507">
        <v>79876.568678704032</v>
      </c>
      <c r="FL87" s="380">
        <f t="shared" si="77"/>
        <v>-8.566655710717896</v>
      </c>
      <c r="FM87" s="506">
        <v>569145.72</v>
      </c>
      <c r="FN87" s="53">
        <v>7.4608999999999996</v>
      </c>
      <c r="FO87" s="507">
        <v>76283.788819043286</v>
      </c>
      <c r="FP87" s="380">
        <f t="shared" si="78"/>
        <v>-3592.7798596607463</v>
      </c>
      <c r="FQ87" s="506">
        <v>2569145.7200000002</v>
      </c>
      <c r="FR87" s="53">
        <v>7.4595000000000002</v>
      </c>
      <c r="FS87" s="507">
        <v>344412.5906562102</v>
      </c>
      <c r="FT87" s="380">
        <f t="shared" si="79"/>
        <v>268128.80183716689</v>
      </c>
      <c r="FU87" s="506">
        <v>2569145.7200000002</v>
      </c>
      <c r="FV87" s="53">
        <v>7.4591500000000002</v>
      </c>
      <c r="FW87" s="507">
        <v>344428.75126522459</v>
      </c>
      <c r="FX87" s="380">
        <f t="shared" si="80"/>
        <v>16.160609014390502</v>
      </c>
      <c r="FY87" s="506">
        <v>1897552.35</v>
      </c>
      <c r="FZ87" s="53">
        <v>7.4593999999999996</v>
      </c>
      <c r="GA87" s="507">
        <v>254384.0456336971</v>
      </c>
      <c r="GB87" s="380">
        <f t="shared" si="81"/>
        <v>-90044.705631527497</v>
      </c>
      <c r="GC87" s="506">
        <v>1716810.65</v>
      </c>
      <c r="GD87" s="53">
        <v>7.4590500000000004</v>
      </c>
      <c r="GE87" s="507">
        <v>230164.78640041291</v>
      </c>
      <c r="GF87" s="380">
        <f t="shared" si="82"/>
        <v>-24219.259233284189</v>
      </c>
      <c r="GG87" s="506">
        <v>1302351.2</v>
      </c>
      <c r="GH87" s="53">
        <v>7.4592000000000001</v>
      </c>
      <c r="GI87" s="507">
        <v>174596.63234663234</v>
      </c>
      <c r="GJ87" s="380">
        <f t="shared" si="83"/>
        <v>-55568.15405378057</v>
      </c>
      <c r="GK87" s="506">
        <v>806295.2</v>
      </c>
      <c r="GL87" s="53">
        <v>7.4588000000000001</v>
      </c>
      <c r="GM87" s="507">
        <v>108099.85520459054</v>
      </c>
      <c r="GN87" s="380">
        <f t="shared" si="84"/>
        <v>-66496.777142041799</v>
      </c>
      <c r="GO87" s="506">
        <v>806295.2</v>
      </c>
      <c r="GP87" s="53">
        <v>7.4592499999999999</v>
      </c>
      <c r="GQ87" s="507">
        <v>108093.33378020578</v>
      </c>
      <c r="GR87" s="380">
        <f t="shared" si="85"/>
        <v>-6.5214243847585749</v>
      </c>
      <c r="GS87" s="506">
        <v>806295.2</v>
      </c>
      <c r="GT87" s="53">
        <v>7.4587500000000002</v>
      </c>
      <c r="GU87" s="507">
        <v>108100.57985587396</v>
      </c>
      <c r="GV87" s="380">
        <f t="shared" si="86"/>
        <v>7.2460756681830389</v>
      </c>
      <c r="GW87" s="506">
        <v>804312.32</v>
      </c>
      <c r="GX87" s="53">
        <v>7.4606000000000003</v>
      </c>
      <c r="GY87" s="507">
        <v>107807.99399512103</v>
      </c>
      <c r="GZ87" s="380">
        <f t="shared" si="87"/>
        <v>-292.58586075293715</v>
      </c>
      <c r="HA87" s="506">
        <v>811762.29</v>
      </c>
      <c r="HB87" s="53">
        <v>7.46075</v>
      </c>
      <c r="HC87" s="507">
        <v>108804.38159702443</v>
      </c>
      <c r="HD87" s="380">
        <f t="shared" si="88"/>
        <v>996.3876019034069</v>
      </c>
      <c r="HE87" s="506">
        <v>811762.29</v>
      </c>
      <c r="HF87" s="53">
        <v>7.4597499999999997</v>
      </c>
      <c r="HG87" s="507">
        <v>108818.96712356312</v>
      </c>
      <c r="HH87" s="380">
        <f t="shared" si="89"/>
        <v>14.585526538692648</v>
      </c>
      <c r="HI87" s="506">
        <v>811762.29</v>
      </c>
      <c r="HJ87" s="53">
        <v>7.4594500000000004</v>
      </c>
      <c r="HK87" s="507">
        <v>108823.34354409507</v>
      </c>
      <c r="HL87" s="380">
        <f t="shared" si="90"/>
        <v>4.3764205319457687</v>
      </c>
      <c r="HM87" s="506">
        <v>811725.31</v>
      </c>
      <c r="HN87" s="53">
        <v>7.4596499999999999</v>
      </c>
      <c r="HO87" s="507">
        <v>108815.46855415469</v>
      </c>
      <c r="HP87" s="380">
        <f t="shared" si="91"/>
        <v>-7.874989940377418</v>
      </c>
      <c r="HQ87" s="506">
        <v>792863.6</v>
      </c>
      <c r="HR87" s="53">
        <v>7.4595500000000001</v>
      </c>
      <c r="HS87" s="507">
        <v>106288.39541259191</v>
      </c>
      <c r="HT87" s="380">
        <f t="shared" si="92"/>
        <v>-2527.0731415627815</v>
      </c>
      <c r="HU87" s="506">
        <v>792863.6</v>
      </c>
      <c r="HV87" s="53">
        <v>7.4589999999999996</v>
      </c>
      <c r="HW87" s="507">
        <v>106296.23273897305</v>
      </c>
      <c r="HX87" s="380">
        <f t="shared" si="93"/>
        <v>7.8373263811372453</v>
      </c>
      <c r="HY87" s="506">
        <v>791048.2</v>
      </c>
      <c r="HZ87" s="53">
        <v>7.4585999999999997</v>
      </c>
      <c r="IA87" s="507">
        <v>106058.53645456252</v>
      </c>
      <c r="IB87" s="380">
        <f t="shared" si="94"/>
        <v>-237.69628441052919</v>
      </c>
      <c r="IC87" s="506">
        <v>791310.03</v>
      </c>
      <c r="ID87" s="53">
        <v>7.4585999999999997</v>
      </c>
      <c r="IE87" s="507">
        <v>106093.64089775561</v>
      </c>
      <c r="IF87" s="380">
        <f t="shared" si="95"/>
        <v>35.104443193093175</v>
      </c>
      <c r="IG87" s="506">
        <v>2791007.13</v>
      </c>
      <c r="IH87" s="53">
        <v>7.4585999999999997</v>
      </c>
      <c r="II87" s="507">
        <v>374199.86726731557</v>
      </c>
      <c r="IJ87" s="380">
        <f t="shared" si="96"/>
        <v>268106.22636955994</v>
      </c>
      <c r="IK87" s="506">
        <v>3026720.89</v>
      </c>
      <c r="IL87" s="53">
        <v>7.4585999999999997</v>
      </c>
      <c r="IM87" s="507">
        <v>405802.81688252493</v>
      </c>
      <c r="IN87" s="380">
        <f t="shared" si="97"/>
        <v>31602.949615209363</v>
      </c>
      <c r="IO87" s="506">
        <v>3026720.89</v>
      </c>
      <c r="IP87" s="53">
        <v>7.4585999999999997</v>
      </c>
      <c r="IQ87" s="507">
        <v>405802.81688252493</v>
      </c>
      <c r="IR87" s="380">
        <f t="shared" si="98"/>
        <v>0</v>
      </c>
      <c r="IS87" s="506">
        <v>2986825.77</v>
      </c>
      <c r="IT87" s="53">
        <v>7.4585999999999997</v>
      </c>
      <c r="IU87" s="507">
        <v>400453.94175850699</v>
      </c>
      <c r="IV87" s="380">
        <f t="shared" si="99"/>
        <v>-5348.8751240179408</v>
      </c>
      <c r="IW87" s="506">
        <v>1978284.83</v>
      </c>
      <c r="IX87" s="53">
        <v>7.4596999999999998</v>
      </c>
      <c r="IY87" s="507">
        <v>265196.29877877131</v>
      </c>
      <c r="IZ87" s="380">
        <f t="shared" si="100"/>
        <v>-135257.64297973568</v>
      </c>
    </row>
    <row r="88" spans="1:260">
      <c r="A88" s="13" t="s">
        <v>633</v>
      </c>
      <c r="B88" s="13" t="s">
        <v>634</v>
      </c>
      <c r="C88" s="13" t="s">
        <v>219</v>
      </c>
      <c r="D88" s="13" t="s">
        <v>11</v>
      </c>
      <c r="E88" s="13" t="s">
        <v>7</v>
      </c>
      <c r="F88" s="13" t="s">
        <v>640</v>
      </c>
      <c r="G88" s="13" t="s">
        <v>640</v>
      </c>
      <c r="H88" s="49" t="s">
        <v>512</v>
      </c>
      <c r="I88" s="14">
        <f>+'JYSKE - FKB - Colar '!B7</f>
        <v>110294.84</v>
      </c>
      <c r="J88" s="14">
        <f>+VLOOKUP(E88,'Summary - Colar'!$M$39:$N$54,2,FALSE)</f>
        <v>1.7834989999999999</v>
      </c>
      <c r="K88" s="14">
        <f t="shared" si="101"/>
        <v>61841.828899259264</v>
      </c>
      <c r="L88" s="506">
        <v>78290.44</v>
      </c>
      <c r="M88" s="53">
        <v>1.6762506216136279</v>
      </c>
      <c r="N88" s="507">
        <v>46705.688869266101</v>
      </c>
      <c r="O88" s="506">
        <v>78290.44</v>
      </c>
      <c r="P88" s="53">
        <v>1.6552497749305537</v>
      </c>
      <c r="Q88" s="507">
        <v>47298.263492157668</v>
      </c>
      <c r="R88" s="506">
        <v>78290.44</v>
      </c>
      <c r="S88" s="53">
        <v>1.6652497894963976</v>
      </c>
      <c r="T88" s="507">
        <v>47014.23203522907</v>
      </c>
      <c r="U88" s="506">
        <v>78290.44</v>
      </c>
      <c r="V88" s="53">
        <v>1.6640511135285163</v>
      </c>
      <c r="W88" s="507">
        <v>47048.098080346834</v>
      </c>
      <c r="X88" s="506">
        <v>78290.44</v>
      </c>
      <c r="Y88" s="53">
        <v>1.6601001793653798</v>
      </c>
      <c r="Z88" s="507">
        <v>47160.069598889349</v>
      </c>
      <c r="AA88" s="506">
        <v>78290.44</v>
      </c>
      <c r="AB88" s="53">
        <v>1.6702004061495201</v>
      </c>
      <c r="AC88" s="507">
        <v>46874.877836062064</v>
      </c>
      <c r="AD88" s="506">
        <v>78290.44</v>
      </c>
      <c r="AE88" s="53">
        <v>1.6520495602796699</v>
      </c>
      <c r="AF88" s="507">
        <v>47389.885801456512</v>
      </c>
      <c r="AG88" s="506">
        <v>96653.440000000002</v>
      </c>
      <c r="AH88" s="53">
        <v>1.6506494529864222</v>
      </c>
      <c r="AI88" s="507">
        <v>58554.794796151698</v>
      </c>
      <c r="AJ88" s="506">
        <v>148622.44</v>
      </c>
      <c r="AK88" s="53">
        <v>1.6388502142715724</v>
      </c>
      <c r="AL88" s="507">
        <v>90687.018682826325</v>
      </c>
      <c r="AM88" s="506">
        <v>148622.44</v>
      </c>
      <c r="AN88" s="53">
        <v>1.6741504676220269</v>
      </c>
      <c r="AO88" s="507">
        <v>88774.840060286922</v>
      </c>
      <c r="AP88" s="506">
        <v>148622.44</v>
      </c>
      <c r="AQ88" s="53">
        <v>1.7255616520623482</v>
      </c>
      <c r="AR88" s="507">
        <v>86129.892735139409</v>
      </c>
      <c r="AS88" s="506">
        <v>148622.44</v>
      </c>
      <c r="AT88" s="53">
        <v>1.7235389999999999</v>
      </c>
      <c r="AU88" s="507">
        <v>86230.97011439834</v>
      </c>
      <c r="AV88" s="506">
        <v>148622.44</v>
      </c>
      <c r="AW88" s="53">
        <v>1.7237537342788192</v>
      </c>
      <c r="AX88" s="507">
        <v>86220.228008486592</v>
      </c>
      <c r="AY88" s="506">
        <v>148622.44</v>
      </c>
      <c r="AZ88" s="53">
        <v>1.7116525557924964</v>
      </c>
      <c r="BA88" s="507">
        <v>86829.794689955466</v>
      </c>
      <c r="BB88" s="506">
        <v>148622.44</v>
      </c>
      <c r="BC88" s="53">
        <v>1.7315000060341603</v>
      </c>
      <c r="BD88" s="507">
        <v>85834.501577857838</v>
      </c>
      <c r="BE88" s="506">
        <v>148622.44</v>
      </c>
      <c r="BF88" s="53">
        <v>1.7252485914481352</v>
      </c>
      <c r="BG88" s="507">
        <v>86145.521715945666</v>
      </c>
      <c r="BH88" s="380">
        <f t="shared" si="51"/>
        <v>86143.790215939633</v>
      </c>
      <c r="BI88" s="506">
        <v>148622.44</v>
      </c>
      <c r="BJ88" s="53">
        <v>1.7131536405228069</v>
      </c>
      <c r="BK88" s="507">
        <v>86753.713434975143</v>
      </c>
      <c r="BL88" s="380">
        <f t="shared" si="52"/>
        <v>608.1917190294771</v>
      </c>
      <c r="BM88" s="506">
        <v>148622.44</v>
      </c>
      <c r="BN88" s="53">
        <v>1.7436491500325124</v>
      </c>
      <c r="BO88" s="507">
        <v>85236.436468442495</v>
      </c>
      <c r="BP88">
        <v>-1912.1786225394026</v>
      </c>
      <c r="BQ88" s="506">
        <v>148622.44</v>
      </c>
      <c r="BR88" s="53">
        <v>1.8094492832516784</v>
      </c>
      <c r="BS88" s="507">
        <v>82136.836536759642</v>
      </c>
      <c r="BT88" s="380">
        <f t="shared" si="53"/>
        <v>-3099.5999316828529</v>
      </c>
      <c r="BU88" s="506">
        <v>148622.44</v>
      </c>
      <c r="BV88" s="53">
        <v>1.8155542532672582</v>
      </c>
      <c r="BW88" s="507">
        <v>81860.643785521781</v>
      </c>
      <c r="BX88" s="380">
        <f t="shared" si="54"/>
        <v>-276.19275123786065</v>
      </c>
      <c r="BY88" s="506">
        <v>148622.44</v>
      </c>
      <c r="BZ88" s="53">
        <v>1.8062025595888356</v>
      </c>
      <c r="CA88" s="507">
        <v>82284.480891131316</v>
      </c>
      <c r="CB88" s="380">
        <f t="shared" si="55"/>
        <v>423.83710560953477</v>
      </c>
      <c r="CC88" s="506">
        <v>148622.44</v>
      </c>
      <c r="CD88" s="53">
        <v>1.8386526150814457</v>
      </c>
      <c r="CE88" s="507">
        <v>80832.256610592289</v>
      </c>
      <c r="CF88" s="380">
        <f t="shared" si="56"/>
        <v>-1452.2242805390269</v>
      </c>
      <c r="CG88" s="506">
        <v>148622.44</v>
      </c>
      <c r="CH88" s="53">
        <v>1.7905037650517905</v>
      </c>
      <c r="CI88" s="507">
        <v>83005.935480789718</v>
      </c>
      <c r="CJ88" s="380">
        <f t="shared" si="57"/>
        <v>2173.6788701974292</v>
      </c>
      <c r="CK88" s="506">
        <v>148622.44</v>
      </c>
      <c r="CL88" s="53">
        <v>1.8159985431036445</v>
      </c>
      <c r="CM88" s="507">
        <v>81840.616317894077</v>
      </c>
      <c r="CN88" s="380">
        <f t="shared" si="58"/>
        <v>-1165.3191628956411</v>
      </c>
      <c r="CO88" s="506">
        <v>148622.44</v>
      </c>
      <c r="CP88" s="53">
        <v>1.8035483159911603</v>
      </c>
      <c r="CQ88" s="507">
        <v>82405.577207019742</v>
      </c>
      <c r="CR88" s="380">
        <f t="shared" si="59"/>
        <v>564.96088912566483</v>
      </c>
      <c r="CS88" s="506">
        <v>125414.74</v>
      </c>
      <c r="CT88" s="53">
        <v>1.7815469477539443</v>
      </c>
      <c r="CU88" s="507">
        <v>70396.53945584457</v>
      </c>
      <c r="CV88" s="380">
        <f t="shared" si="60"/>
        <v>-12009.037751175172</v>
      </c>
      <c r="CW88" s="506">
        <v>125414.74</v>
      </c>
      <c r="CX88" s="53">
        <v>1.7830501276800232</v>
      </c>
      <c r="CY88" s="507">
        <v>70337.192461986837</v>
      </c>
      <c r="CZ88" s="380">
        <f t="shared" si="61"/>
        <v>-59.346993857732741</v>
      </c>
      <c r="DA88" s="506">
        <v>125414.74</v>
      </c>
      <c r="DB88" s="53">
        <v>1.7781022060503398</v>
      </c>
      <c r="DC88" s="507">
        <v>70532.919633782512</v>
      </c>
      <c r="DD88" s="380">
        <f t="shared" si="62"/>
        <v>195.72717179567553</v>
      </c>
      <c r="DE88" s="506">
        <v>125414.74</v>
      </c>
      <c r="DF88" s="53">
        <v>1.7969467110412831</v>
      </c>
      <c r="DG88" s="507">
        <v>69793.243856032597</v>
      </c>
      <c r="DH88" s="380">
        <f t="shared" si="63"/>
        <v>-739.67577774991514</v>
      </c>
      <c r="DI88" s="506">
        <v>125414.74</v>
      </c>
      <c r="DJ88" s="53">
        <v>1.7959454743975056</v>
      </c>
      <c r="DK88" s="507">
        <v>69832.1534745221</v>
      </c>
      <c r="DL88" s="380">
        <f t="shared" si="64"/>
        <v>38.909618489502463</v>
      </c>
      <c r="DM88" s="506">
        <v>125414.74</v>
      </c>
      <c r="DN88" s="53">
        <v>1.7790042928025869</v>
      </c>
      <c r="DO88" s="507">
        <v>70497.154226888131</v>
      </c>
      <c r="DP88" s="380">
        <f t="shared" si="65"/>
        <v>665.00075236603152</v>
      </c>
      <c r="DQ88" s="506">
        <v>125414.74</v>
      </c>
      <c r="DR88" s="53">
        <v>1.7750458919730767</v>
      </c>
      <c r="DS88" s="507">
        <v>70654.364806643687</v>
      </c>
      <c r="DT88" s="380">
        <f t="shared" si="66"/>
        <v>157.21057975555595</v>
      </c>
      <c r="DU88" s="506">
        <v>125414.74</v>
      </c>
      <c r="DV88" s="53">
        <v>1.7711542197430132</v>
      </c>
      <c r="DW88" s="507">
        <v>70809.610254152314</v>
      </c>
      <c r="DX88" s="380">
        <f t="shared" si="67"/>
        <v>155.24544750862697</v>
      </c>
      <c r="DY88" s="506">
        <v>125414.74</v>
      </c>
      <c r="DZ88" s="53">
        <v>1.7635000000000001</v>
      </c>
      <c r="EA88" s="507">
        <v>71116.94924865324</v>
      </c>
      <c r="EB88" s="380">
        <f t="shared" si="68"/>
        <v>307.33899450092576</v>
      </c>
      <c r="EC88" s="506">
        <v>125414.74</v>
      </c>
      <c r="ED88" s="53">
        <v>1.749452</v>
      </c>
      <c r="EE88" s="507">
        <v>71688.014303907737</v>
      </c>
      <c r="EF88" s="380">
        <f t="shared" si="69"/>
        <v>571.06505525449757</v>
      </c>
      <c r="EG88" s="506">
        <v>125414.74</v>
      </c>
      <c r="EH88" s="53">
        <v>1.75295</v>
      </c>
      <c r="EI88" s="507">
        <v>71544.961350865691</v>
      </c>
      <c r="EJ88" s="380">
        <f t="shared" si="70"/>
        <v>-143.05295304204628</v>
      </c>
      <c r="EK88" s="506">
        <v>125414.74</v>
      </c>
      <c r="EL88" s="53">
        <v>1.754453</v>
      </c>
      <c r="EM88" s="507">
        <v>71483.67040895368</v>
      </c>
      <c r="EN88" s="380">
        <f t="shared" si="71"/>
        <v>-61.290941912011476</v>
      </c>
      <c r="EO88" s="506">
        <v>125414.74</v>
      </c>
      <c r="EP88" s="53">
        <v>1.760348</v>
      </c>
      <c r="EQ88" s="507">
        <v>71244.288061224259</v>
      </c>
      <c r="ER88" s="380">
        <f t="shared" si="72"/>
        <v>-239.38234772942087</v>
      </c>
      <c r="ES88" s="506">
        <v>125414.74</v>
      </c>
      <c r="ET88" s="53">
        <v>1.7571490000000001</v>
      </c>
      <c r="EU88" s="507">
        <v>71373.992757586297</v>
      </c>
      <c r="EV88" s="380">
        <f t="shared" si="73"/>
        <v>129.70469636203779</v>
      </c>
      <c r="EW88" s="506">
        <v>125414.74</v>
      </c>
      <c r="EX88" s="53">
        <v>1.7376480000000001</v>
      </c>
      <c r="EY88" s="507">
        <v>72174.997467841589</v>
      </c>
      <c r="EZ88" s="380">
        <f t="shared" si="74"/>
        <v>801.00471025529259</v>
      </c>
      <c r="FA88" s="506">
        <v>125414.74</v>
      </c>
      <c r="FB88" s="53">
        <v>1.733052</v>
      </c>
      <c r="FC88" s="507">
        <v>72366.403316230557</v>
      </c>
      <c r="FD88" s="380">
        <f t="shared" si="75"/>
        <v>191.40584838896757</v>
      </c>
      <c r="FE88" s="506">
        <v>125414.74</v>
      </c>
      <c r="FF88" s="53">
        <v>1.7327980000000001</v>
      </c>
      <c r="FG88" s="507">
        <v>72377.011053798546</v>
      </c>
      <c r="FH88" s="380">
        <f t="shared" si="76"/>
        <v>10.607737567988806</v>
      </c>
      <c r="FI88" s="506">
        <v>125414.74</v>
      </c>
      <c r="FJ88" s="53">
        <v>1.7445550000000001</v>
      </c>
      <c r="FK88" s="507">
        <v>71889.243961927248</v>
      </c>
      <c r="FL88" s="380">
        <f t="shared" si="77"/>
        <v>-487.76709187129745</v>
      </c>
      <c r="FM88" s="506">
        <v>125414.74</v>
      </c>
      <c r="FN88" s="53">
        <v>1.7476499999999999</v>
      </c>
      <c r="FO88" s="507">
        <v>71761.931736903847</v>
      </c>
      <c r="FP88" s="380">
        <f t="shared" si="78"/>
        <v>-127.31222502340097</v>
      </c>
      <c r="FQ88" s="506">
        <v>125414.74</v>
      </c>
      <c r="FR88" s="53">
        <v>1.7536529999999999</v>
      </c>
      <c r="FS88" s="507">
        <v>71516.2805868664</v>
      </c>
      <c r="FT88" s="380">
        <f t="shared" si="79"/>
        <v>-245.65115003744722</v>
      </c>
      <c r="FU88" s="506">
        <v>125414.74</v>
      </c>
      <c r="FV88" s="53">
        <v>1.7570520000000001</v>
      </c>
      <c r="FW88" s="507">
        <v>71377.933037838375</v>
      </c>
      <c r="FX88" s="380">
        <f t="shared" si="80"/>
        <v>-138.34754902802524</v>
      </c>
      <c r="FY88" s="506">
        <v>125414.74</v>
      </c>
      <c r="FZ88" s="53">
        <v>1.7579499999999999</v>
      </c>
      <c r="GA88" s="507">
        <v>71341.471600443707</v>
      </c>
      <c r="GB88" s="380">
        <f t="shared" si="81"/>
        <v>-36.461437394667882</v>
      </c>
      <c r="GC88" s="506">
        <v>125414.74</v>
      </c>
      <c r="GD88" s="53">
        <v>1.7475499999999999</v>
      </c>
      <c r="GE88" s="507">
        <v>71766.03816772053</v>
      </c>
      <c r="GF88" s="380">
        <f t="shared" si="82"/>
        <v>424.56656727682275</v>
      </c>
      <c r="GG88" s="506">
        <v>125414.74</v>
      </c>
      <c r="GH88" s="53">
        <v>1.7613000000000001</v>
      </c>
      <c r="GI88" s="507">
        <v>71205.779821722594</v>
      </c>
      <c r="GJ88" s="380">
        <f t="shared" si="83"/>
        <v>-560.25834599793598</v>
      </c>
      <c r="GK88" s="506">
        <v>125414.74</v>
      </c>
      <c r="GL88" s="53">
        <v>1.7583009999999999</v>
      </c>
      <c r="GM88" s="507">
        <v>71327.230093141057</v>
      </c>
      <c r="GN88" s="380">
        <f t="shared" si="84"/>
        <v>121.45027141846367</v>
      </c>
      <c r="GO88" s="506">
        <v>125414.74</v>
      </c>
      <c r="GP88" s="53">
        <v>1.7518530000000001</v>
      </c>
      <c r="GQ88" s="507">
        <v>71589.762383030989</v>
      </c>
      <c r="GR88" s="380">
        <f t="shared" si="85"/>
        <v>262.53228988993214</v>
      </c>
      <c r="GS88" s="506">
        <v>125414.74</v>
      </c>
      <c r="GT88" s="53">
        <v>1.7654510000000001</v>
      </c>
      <c r="GU88" s="507">
        <v>71038.357904014323</v>
      </c>
      <c r="GV88" s="380">
        <f t="shared" si="86"/>
        <v>-551.4044790166663</v>
      </c>
      <c r="GW88" s="506">
        <v>125414.74</v>
      </c>
      <c r="GX88" s="53">
        <v>1.761747</v>
      </c>
      <c r="GY88" s="507">
        <v>71187.713105230214</v>
      </c>
      <c r="GZ88" s="380">
        <f t="shared" si="87"/>
        <v>149.3552012158907</v>
      </c>
      <c r="HA88" s="506">
        <v>125414.74</v>
      </c>
      <c r="HB88" s="53">
        <v>1.7637529999999999</v>
      </c>
      <c r="HC88" s="507">
        <v>71106.747940329515</v>
      </c>
      <c r="HD88" s="380">
        <f t="shared" si="88"/>
        <v>-80.965164900699165</v>
      </c>
      <c r="HE88" s="506">
        <v>125414.74</v>
      </c>
      <c r="HF88" s="53">
        <v>1.7546459999999999</v>
      </c>
      <c r="HG88" s="507">
        <v>71475.807655789264</v>
      </c>
      <c r="HH88" s="380">
        <f t="shared" si="89"/>
        <v>369.05971545974899</v>
      </c>
      <c r="HI88" s="506">
        <v>125414.74</v>
      </c>
      <c r="HJ88" s="53">
        <v>1.7553510000000001</v>
      </c>
      <c r="HK88" s="507">
        <v>71447.100893211667</v>
      </c>
      <c r="HL88" s="380">
        <f t="shared" si="90"/>
        <v>-28.706762577596237</v>
      </c>
      <c r="HM88" s="506">
        <v>125414.74</v>
      </c>
      <c r="HN88" s="53">
        <v>1.75865</v>
      </c>
      <c r="HO88" s="507">
        <v>71313.07537031245</v>
      </c>
      <c r="HP88" s="380">
        <f t="shared" si="91"/>
        <v>-134.02552289921732</v>
      </c>
      <c r="HQ88" s="506">
        <v>125414.74</v>
      </c>
      <c r="HR88" s="53">
        <v>1.7524489999999999</v>
      </c>
      <c r="HS88" s="507">
        <v>71565.415027769719</v>
      </c>
      <c r="HT88" s="380">
        <f t="shared" si="92"/>
        <v>252.33965745726891</v>
      </c>
      <c r="HU88" s="506">
        <v>125414.74</v>
      </c>
      <c r="HV88" s="53">
        <v>1.757449</v>
      </c>
      <c r="HW88" s="507">
        <v>71361.80907667875</v>
      </c>
      <c r="HX88" s="380">
        <f t="shared" si="93"/>
        <v>-203.60595109096903</v>
      </c>
      <c r="HY88" s="506">
        <v>125414.74</v>
      </c>
      <c r="HZ88" s="53">
        <v>1.77735</v>
      </c>
      <c r="IA88" s="507">
        <v>70562.770416631509</v>
      </c>
      <c r="IB88" s="380">
        <f t="shared" si="94"/>
        <v>-799.03866004724114</v>
      </c>
      <c r="IC88" s="506">
        <v>125414.74</v>
      </c>
      <c r="ID88" s="53">
        <v>1.77735</v>
      </c>
      <c r="IE88" s="507">
        <v>70562.770416631509</v>
      </c>
      <c r="IF88" s="380">
        <f t="shared" si="95"/>
        <v>0</v>
      </c>
      <c r="IG88" s="506">
        <v>125414.74</v>
      </c>
      <c r="IH88" s="53">
        <v>1.77735</v>
      </c>
      <c r="II88" s="507">
        <v>70562.770416631509</v>
      </c>
      <c r="IJ88" s="380">
        <f t="shared" si="96"/>
        <v>0</v>
      </c>
      <c r="IK88" s="506">
        <v>110294.84</v>
      </c>
      <c r="IL88" s="53">
        <v>1.77735</v>
      </c>
      <c r="IM88" s="507">
        <v>62055.779671983568</v>
      </c>
      <c r="IN88" s="380">
        <f t="shared" si="97"/>
        <v>-8506.990744647941</v>
      </c>
      <c r="IO88" s="506">
        <v>110294.84</v>
      </c>
      <c r="IP88" s="53">
        <v>1.77735</v>
      </c>
      <c r="IQ88" s="507">
        <v>62055.779671983568</v>
      </c>
      <c r="IR88" s="380">
        <f t="shared" si="98"/>
        <v>0</v>
      </c>
      <c r="IS88" s="506">
        <v>110294.84</v>
      </c>
      <c r="IT88" s="53">
        <v>1.77735</v>
      </c>
      <c r="IU88" s="507">
        <v>62055.779671983568</v>
      </c>
      <c r="IV88" s="380">
        <f t="shared" si="99"/>
        <v>0</v>
      </c>
      <c r="IW88" s="506">
        <v>110294.84</v>
      </c>
      <c r="IX88" s="53">
        <v>1.7834989999999999</v>
      </c>
      <c r="IY88" s="507">
        <v>61841.828899259264</v>
      </c>
      <c r="IZ88" s="380">
        <f t="shared" si="100"/>
        <v>-213.95077272430353</v>
      </c>
    </row>
    <row r="89" spans="1:260">
      <c r="A89" s="13">
        <v>61</v>
      </c>
      <c r="B89" s="13" t="s">
        <v>641</v>
      </c>
      <c r="C89" s="13" t="s">
        <v>642</v>
      </c>
      <c r="D89" s="13" t="s">
        <v>461</v>
      </c>
      <c r="E89" s="13" t="s">
        <v>14</v>
      </c>
      <c r="F89" s="13">
        <v>27051028570</v>
      </c>
      <c r="G89" s="13"/>
      <c r="H89" s="49" t="s">
        <v>643</v>
      </c>
      <c r="I89" s="14">
        <f>+'Summary - Colar'!L17</f>
        <v>914806</v>
      </c>
      <c r="J89" s="14">
        <f>+VLOOKUP(E89,'Summary - Colar'!$M$39:$N$54,2,FALSE)</f>
        <v>1.5035000000000001</v>
      </c>
      <c r="K89" s="14">
        <f t="shared" si="101"/>
        <v>608450.94778849347</v>
      </c>
      <c r="L89" s="506">
        <v>1372546.09</v>
      </c>
      <c r="M89" s="53">
        <v>1.5132999926105561</v>
      </c>
      <c r="N89" s="507">
        <v>906988.76409313595</v>
      </c>
      <c r="O89" s="506">
        <v>1832775.12</v>
      </c>
      <c r="P89" s="53">
        <v>1.5132999926105561</v>
      </c>
      <c r="Q89" s="507">
        <v>1211111.5634371513</v>
      </c>
      <c r="R89" s="506">
        <v>703284.35</v>
      </c>
      <c r="S89" s="53">
        <v>1.5132999926105561</v>
      </c>
      <c r="T89" s="507">
        <v>464735.58014546847</v>
      </c>
      <c r="U89" s="506">
        <v>1067611.3600000001</v>
      </c>
      <c r="V89" s="53">
        <v>1.5132999926105561</v>
      </c>
      <c r="W89" s="507">
        <v>705485.60444931372</v>
      </c>
      <c r="X89" s="506">
        <v>1072270.45</v>
      </c>
      <c r="Y89" s="53">
        <v>1.5132999926105561</v>
      </c>
      <c r="Z89" s="507">
        <v>708564.36611107946</v>
      </c>
      <c r="AA89" s="506">
        <v>774033.2</v>
      </c>
      <c r="AB89" s="53">
        <v>1.5132999926105561</v>
      </c>
      <c r="AC89" s="507">
        <v>511486.95154933195</v>
      </c>
      <c r="AD89" s="506">
        <v>1548239.3</v>
      </c>
      <c r="AE89" s="53">
        <v>1.5132999926105561</v>
      </c>
      <c r="AF89" s="507">
        <v>1023088.156717143</v>
      </c>
      <c r="AG89" s="506">
        <v>1040583.95</v>
      </c>
      <c r="AH89" s="53">
        <v>1.5035000051795575</v>
      </c>
      <c r="AI89" s="507">
        <v>692107.71294658352</v>
      </c>
      <c r="AJ89" s="506">
        <v>939474.54</v>
      </c>
      <c r="AK89" s="53">
        <v>1.5035000051795575</v>
      </c>
      <c r="AL89" s="507">
        <v>624858.35501397424</v>
      </c>
      <c r="AM89" s="506">
        <v>1053147.83</v>
      </c>
      <c r="AN89" s="53">
        <v>1.5035000051795575</v>
      </c>
      <c r="AO89" s="507">
        <v>700464.13460053597</v>
      </c>
      <c r="AP89" s="506">
        <v>1456479.96</v>
      </c>
      <c r="AQ89" s="53">
        <v>1.5035000051795575</v>
      </c>
      <c r="AR89" s="507">
        <v>968726.27534581081</v>
      </c>
      <c r="AS89" s="506">
        <v>977955</v>
      </c>
      <c r="AT89" s="53">
        <v>1.5035000000000001</v>
      </c>
      <c r="AU89" s="507">
        <v>650452.27801795804</v>
      </c>
      <c r="AV89" s="506">
        <v>1054388.3400000001</v>
      </c>
      <c r="AW89" s="53">
        <v>1.5035000051795575</v>
      </c>
      <c r="AX89" s="507">
        <v>701289.21607424831</v>
      </c>
      <c r="AY89" s="506">
        <v>794999.26</v>
      </c>
      <c r="AZ89" s="53">
        <v>1.5035000051795575</v>
      </c>
      <c r="BA89" s="507">
        <v>528765.71816509985</v>
      </c>
      <c r="BB89" s="506">
        <v>717130.54</v>
      </c>
      <c r="BC89" s="53">
        <v>1.5035000051795575</v>
      </c>
      <c r="BD89" s="507">
        <v>476974.08548685425</v>
      </c>
      <c r="BE89" s="506">
        <v>711350.77</v>
      </c>
      <c r="BF89" s="53">
        <v>1.5035000051795575</v>
      </c>
      <c r="BG89" s="507">
        <v>473129.8753238421</v>
      </c>
      <c r="BH89" s="380">
        <f t="shared" si="51"/>
        <v>473128.37182383693</v>
      </c>
      <c r="BI89" s="506">
        <v>723258.15</v>
      </c>
      <c r="BJ89" s="53">
        <v>1.5035000051795575</v>
      </c>
      <c r="BK89" s="507">
        <v>481049.64915754955</v>
      </c>
      <c r="BL89" s="380">
        <f t="shared" si="52"/>
        <v>7919.7738337074406</v>
      </c>
      <c r="BM89" s="506">
        <v>913956.95</v>
      </c>
      <c r="BN89" s="53">
        <v>1.5035000051795575</v>
      </c>
      <c r="BO89" s="507">
        <v>607886.23003087344</v>
      </c>
      <c r="BP89">
        <v>75605.779586561723</v>
      </c>
      <c r="BQ89" s="506">
        <v>960072.12</v>
      </c>
      <c r="BR89" s="53">
        <v>1.5035000051795575</v>
      </c>
      <c r="BS89" s="507">
        <v>638558.10887432762</v>
      </c>
      <c r="BT89" s="380">
        <f t="shared" si="53"/>
        <v>30671.878843454178</v>
      </c>
      <c r="BU89" s="506">
        <v>1041078.45</v>
      </c>
      <c r="BV89" s="53">
        <v>1.5035000051795575</v>
      </c>
      <c r="BW89" s="507">
        <v>692436.61218056851</v>
      </c>
      <c r="BX89" s="380">
        <f t="shared" si="54"/>
        <v>53878.503306240891</v>
      </c>
      <c r="BY89" s="506">
        <v>1029127.22</v>
      </c>
      <c r="BZ89" s="53">
        <v>1.5035000051795575</v>
      </c>
      <c r="CA89" s="507">
        <v>684487.67306595063</v>
      </c>
      <c r="CB89" s="380">
        <f t="shared" si="55"/>
        <v>-7948.9391146178823</v>
      </c>
      <c r="CC89" s="506">
        <v>1031899.24</v>
      </c>
      <c r="CD89" s="53">
        <v>1.5035000051795575</v>
      </c>
      <c r="CE89" s="507">
        <v>686331.38439980522</v>
      </c>
      <c r="CF89" s="380">
        <f t="shared" si="56"/>
        <v>1843.7113338545896</v>
      </c>
      <c r="CG89" s="506">
        <v>1032636.57</v>
      </c>
      <c r="CH89" s="53">
        <v>1.5035000051795575</v>
      </c>
      <c r="CI89" s="507">
        <v>686821.79344367608</v>
      </c>
      <c r="CJ89" s="380">
        <f t="shared" si="57"/>
        <v>490.4090438708663</v>
      </c>
      <c r="CK89" s="506">
        <v>918119.51</v>
      </c>
      <c r="CL89" s="53">
        <v>1.5035000051795575</v>
      </c>
      <c r="CM89" s="507">
        <v>610654.81000138225</v>
      </c>
      <c r="CN89" s="380">
        <f t="shared" si="58"/>
        <v>-76166.983442293829</v>
      </c>
      <c r="CO89" s="506">
        <v>883535.65</v>
      </c>
      <c r="CP89" s="53">
        <v>1.5035000051795575</v>
      </c>
      <c r="CQ89" s="507">
        <v>587652.57529512455</v>
      </c>
      <c r="CR89" s="380">
        <f t="shared" si="59"/>
        <v>-23002.234706257703</v>
      </c>
      <c r="CS89" s="506">
        <v>883536.65</v>
      </c>
      <c r="CT89" s="53">
        <v>1.5035000051795575</v>
      </c>
      <c r="CU89" s="507">
        <v>587653.24040985457</v>
      </c>
      <c r="CV89" s="380">
        <f t="shared" si="60"/>
        <v>0.66511473001446575</v>
      </c>
      <c r="CW89" s="506">
        <v>1285179.6100000001</v>
      </c>
      <c r="CX89" s="53">
        <v>1.5035000051795575</v>
      </c>
      <c r="CY89" s="507">
        <v>854791.88930665539</v>
      </c>
      <c r="CZ89" s="380">
        <f t="shared" si="61"/>
        <v>267138.64889680082</v>
      </c>
      <c r="DA89" s="506">
        <v>1345966.73</v>
      </c>
      <c r="DB89" s="53">
        <v>1.5035000051795575</v>
      </c>
      <c r="DC89" s="507">
        <v>895222.29821293289</v>
      </c>
      <c r="DD89" s="380">
        <f t="shared" si="62"/>
        <v>40430.408906277502</v>
      </c>
      <c r="DE89" s="506">
        <v>1210074.81</v>
      </c>
      <c r="DF89" s="53">
        <v>1.5035000051795575</v>
      </c>
      <c r="DG89" s="507">
        <v>804838.5805329514</v>
      </c>
      <c r="DH89" s="380">
        <f t="shared" si="63"/>
        <v>-90383.717679981492</v>
      </c>
      <c r="DI89" s="506">
        <v>910074.81</v>
      </c>
      <c r="DJ89" s="53">
        <v>1.5035000051795575</v>
      </c>
      <c r="DK89" s="507">
        <v>605304.16153295129</v>
      </c>
      <c r="DL89" s="380">
        <f t="shared" si="64"/>
        <v>-199534.41900000011</v>
      </c>
      <c r="DM89" s="506">
        <v>1143441.67</v>
      </c>
      <c r="DN89" s="53">
        <v>1.5035000051795575</v>
      </c>
      <c r="DO89" s="507">
        <v>760519.89761279908</v>
      </c>
      <c r="DP89" s="380">
        <f t="shared" si="65"/>
        <v>155215.73607984779</v>
      </c>
      <c r="DQ89" s="506">
        <v>1173476.18</v>
      </c>
      <c r="DR89" s="53">
        <v>1.5035000051795575</v>
      </c>
      <c r="DS89" s="507">
        <v>780496.29262213141</v>
      </c>
      <c r="DT89" s="380">
        <f t="shared" si="66"/>
        <v>19976.395009332336</v>
      </c>
      <c r="DU89" s="506">
        <v>1144543.28</v>
      </c>
      <c r="DV89" s="53">
        <v>1.5035000051795575</v>
      </c>
      <c r="DW89" s="507">
        <v>761252.59465051442</v>
      </c>
      <c r="DX89" s="380">
        <f t="shared" si="67"/>
        <v>-19243.697971616988</v>
      </c>
      <c r="DY89" s="506">
        <v>1189780</v>
      </c>
      <c r="DZ89" s="53">
        <v>1.5035000000000001</v>
      </c>
      <c r="EA89" s="507">
        <v>791340.20618556696</v>
      </c>
      <c r="EB89" s="380">
        <f t="shared" si="68"/>
        <v>30087.611535052536</v>
      </c>
      <c r="EC89" s="506">
        <v>1192552</v>
      </c>
      <c r="ED89" s="53">
        <v>1.5035000000000001</v>
      </c>
      <c r="EE89" s="507">
        <v>793183.90422347852</v>
      </c>
      <c r="EF89" s="380">
        <f t="shared" si="69"/>
        <v>1843.6980379115557</v>
      </c>
      <c r="EG89" s="506">
        <v>1191707</v>
      </c>
      <c r="EH89" s="53">
        <v>1.5035000000000001</v>
      </c>
      <c r="EI89" s="507">
        <v>792621.8822746923</v>
      </c>
      <c r="EJ89" s="380">
        <f t="shared" si="70"/>
        <v>-562.02194878621958</v>
      </c>
      <c r="EK89" s="506">
        <v>1230820</v>
      </c>
      <c r="EL89" s="53">
        <v>1.5035000000000001</v>
      </c>
      <c r="EM89" s="507">
        <v>818636.51479880279</v>
      </c>
      <c r="EN89" s="380">
        <f t="shared" si="71"/>
        <v>26014.632524110493</v>
      </c>
      <c r="EO89" s="506">
        <v>1060793</v>
      </c>
      <c r="EP89" s="53">
        <v>1.5035000000000001</v>
      </c>
      <c r="EQ89" s="507">
        <v>705549.05221150641</v>
      </c>
      <c r="ER89" s="380">
        <f t="shared" si="72"/>
        <v>-113087.46258729638</v>
      </c>
      <c r="ES89" s="506">
        <v>1068876</v>
      </c>
      <c r="ET89" s="53">
        <v>1.5035000000000001</v>
      </c>
      <c r="EU89" s="507">
        <v>710925.1745926172</v>
      </c>
      <c r="EV89" s="380">
        <f t="shared" si="73"/>
        <v>5376.122381110792</v>
      </c>
      <c r="EW89" s="506">
        <v>972098</v>
      </c>
      <c r="EX89" s="53">
        <v>1.5035000000000001</v>
      </c>
      <c r="EY89" s="507">
        <v>646556.70103092783</v>
      </c>
      <c r="EZ89" s="380">
        <f t="shared" si="74"/>
        <v>-64368.473561689374</v>
      </c>
      <c r="FA89" s="506">
        <v>972098</v>
      </c>
      <c r="FB89" s="53">
        <v>1.5035000000000001</v>
      </c>
      <c r="FC89" s="507">
        <v>646556.70103092783</v>
      </c>
      <c r="FD89" s="380">
        <f t="shared" si="75"/>
        <v>0</v>
      </c>
      <c r="FE89" s="506">
        <v>1346514</v>
      </c>
      <c r="FF89" s="53">
        <v>1.5035000000000001</v>
      </c>
      <c r="FG89" s="507">
        <v>895586.29863651481</v>
      </c>
      <c r="FH89" s="380">
        <f t="shared" si="76"/>
        <v>249029.59760558698</v>
      </c>
      <c r="FI89" s="506">
        <v>1438572</v>
      </c>
      <c r="FJ89" s="53">
        <v>1.5035000000000001</v>
      </c>
      <c r="FK89" s="507">
        <v>956815.43066178914</v>
      </c>
      <c r="FL89" s="380">
        <f t="shared" si="77"/>
        <v>61229.132025274332</v>
      </c>
      <c r="FM89" s="506">
        <v>1428849</v>
      </c>
      <c r="FN89" s="53">
        <v>1.5035000000000001</v>
      </c>
      <c r="FO89" s="507">
        <v>950348.5201197206</v>
      </c>
      <c r="FP89" s="380">
        <f t="shared" si="78"/>
        <v>-6466.9105420685373</v>
      </c>
      <c r="FQ89" s="506">
        <v>1388999</v>
      </c>
      <c r="FR89" s="53">
        <v>1.5035000000000001</v>
      </c>
      <c r="FS89" s="507">
        <v>923843.69803791156</v>
      </c>
      <c r="FT89" s="380">
        <f t="shared" si="79"/>
        <v>-26504.822081809049</v>
      </c>
      <c r="FU89" s="506">
        <v>1384598</v>
      </c>
      <c r="FV89" s="53">
        <v>1.5035000000000001</v>
      </c>
      <c r="FW89" s="507">
        <v>920916.52810109744</v>
      </c>
      <c r="FX89" s="380">
        <f t="shared" si="80"/>
        <v>-2927.1699368141126</v>
      </c>
      <c r="FY89" s="506">
        <v>1568076</v>
      </c>
      <c r="FZ89" s="53">
        <v>1.5035000000000001</v>
      </c>
      <c r="GA89" s="507">
        <v>1042950.4489524442</v>
      </c>
      <c r="GB89" s="380">
        <f t="shared" si="81"/>
        <v>122033.9208513468</v>
      </c>
      <c r="GC89" s="506">
        <v>1354197</v>
      </c>
      <c r="GD89" s="53">
        <v>1.5035000000000001</v>
      </c>
      <c r="GE89" s="507">
        <v>900696.37512470898</v>
      </c>
      <c r="GF89" s="380">
        <f t="shared" si="82"/>
        <v>-142254.07382773526</v>
      </c>
      <c r="GG89" s="506">
        <v>1250336</v>
      </c>
      <c r="GH89" s="53">
        <v>1.5035000000000001</v>
      </c>
      <c r="GI89" s="507">
        <v>831616.89391420013</v>
      </c>
      <c r="GJ89" s="380">
        <f t="shared" si="83"/>
        <v>-69079.481210508849</v>
      </c>
      <c r="GK89" s="506">
        <v>1250336</v>
      </c>
      <c r="GL89" s="53">
        <v>1.5035000000000001</v>
      </c>
      <c r="GM89" s="507">
        <v>831616.89391420013</v>
      </c>
      <c r="GN89" s="380">
        <f t="shared" si="84"/>
        <v>0</v>
      </c>
      <c r="GO89" s="506">
        <v>1370919</v>
      </c>
      <c r="GP89" s="53">
        <v>1.5035000000000001</v>
      </c>
      <c r="GQ89" s="507">
        <v>911818.42367808439</v>
      </c>
      <c r="GR89" s="380">
        <f t="shared" si="85"/>
        <v>80201.52976388426</v>
      </c>
      <c r="GS89" s="506">
        <v>1379443</v>
      </c>
      <c r="GT89" s="53">
        <v>1.5035000000000001</v>
      </c>
      <c r="GU89" s="507">
        <v>917487.86165613565</v>
      </c>
      <c r="GV89" s="380">
        <f t="shared" si="86"/>
        <v>5669.4379780512536</v>
      </c>
      <c r="GW89" s="506">
        <v>1379441</v>
      </c>
      <c r="GX89" s="53">
        <v>1.5035000000000001</v>
      </c>
      <c r="GY89" s="507">
        <v>917486.53142667108</v>
      </c>
      <c r="GZ89" s="380">
        <f t="shared" si="87"/>
        <v>-1.330229464569129</v>
      </c>
      <c r="HA89" s="506">
        <v>1379441</v>
      </c>
      <c r="HB89" s="53">
        <v>1.5035000000000001</v>
      </c>
      <c r="HC89" s="507">
        <v>917486.53142667108</v>
      </c>
      <c r="HD89" s="380">
        <f t="shared" si="88"/>
        <v>0</v>
      </c>
      <c r="HE89" s="506">
        <v>1361165</v>
      </c>
      <c r="HF89" s="53">
        <v>1.5035000000000001</v>
      </c>
      <c r="HG89" s="507">
        <v>905330.89457931486</v>
      </c>
      <c r="HH89" s="380">
        <f t="shared" si="89"/>
        <v>-12155.636847356218</v>
      </c>
      <c r="HI89" s="506">
        <v>1360752</v>
      </c>
      <c r="HJ89" s="53">
        <v>1.5035000000000001</v>
      </c>
      <c r="HK89" s="507">
        <v>905056.2021948786</v>
      </c>
      <c r="HL89" s="380">
        <f t="shared" si="90"/>
        <v>-274.69238443626091</v>
      </c>
      <c r="HM89" s="506">
        <v>1522161</v>
      </c>
      <c r="HN89" s="53">
        <v>1.5035000000000001</v>
      </c>
      <c r="HO89" s="507">
        <v>1012411.7060192883</v>
      </c>
      <c r="HP89" s="380">
        <f t="shared" si="91"/>
        <v>107355.50382440968</v>
      </c>
      <c r="HQ89" s="506">
        <v>1522161</v>
      </c>
      <c r="HR89" s="53">
        <v>1.5035000000000001</v>
      </c>
      <c r="HS89" s="507">
        <v>1012411.7060192883</v>
      </c>
      <c r="HT89" s="380">
        <f t="shared" si="92"/>
        <v>0</v>
      </c>
      <c r="HU89" s="506">
        <v>759073</v>
      </c>
      <c r="HV89" s="53">
        <v>1.5035000000000001</v>
      </c>
      <c r="HW89" s="507">
        <v>504870.63518456934</v>
      </c>
      <c r="HX89" s="380">
        <f t="shared" si="93"/>
        <v>-507541.07083471894</v>
      </c>
      <c r="HY89" s="506">
        <v>790181</v>
      </c>
      <c r="HZ89" s="53">
        <v>1.5035000000000001</v>
      </c>
      <c r="IA89" s="507">
        <v>525561.02427668776</v>
      </c>
      <c r="IB89" s="380">
        <f t="shared" si="94"/>
        <v>20690.389092118421</v>
      </c>
      <c r="IC89" s="506">
        <v>789834</v>
      </c>
      <c r="ID89" s="53">
        <v>1.5035000000000001</v>
      </c>
      <c r="IE89" s="507">
        <v>525330.22946458263</v>
      </c>
      <c r="IF89" s="380">
        <f t="shared" si="95"/>
        <v>-230.7948121051304</v>
      </c>
      <c r="IG89" s="506">
        <v>787558</v>
      </c>
      <c r="IH89" s="53">
        <v>1.5035000000000001</v>
      </c>
      <c r="II89" s="507">
        <v>523816.4283338876</v>
      </c>
      <c r="IJ89" s="380">
        <f t="shared" si="96"/>
        <v>-1513.8011306950357</v>
      </c>
      <c r="IK89" s="506">
        <v>979306</v>
      </c>
      <c r="IL89" s="53">
        <v>1.5035000000000001</v>
      </c>
      <c r="IM89" s="507">
        <v>651350.84802128363</v>
      </c>
      <c r="IN89" s="380">
        <f t="shared" si="97"/>
        <v>127534.41968739603</v>
      </c>
      <c r="IO89" s="506">
        <v>991353</v>
      </c>
      <c r="IP89" s="53">
        <v>1.5035000000000001</v>
      </c>
      <c r="IQ89" s="507">
        <v>659363.48520119721</v>
      </c>
      <c r="IR89" s="380">
        <f t="shared" si="98"/>
        <v>8012.6371799135813</v>
      </c>
      <c r="IS89" s="506">
        <v>991353</v>
      </c>
      <c r="IT89" s="53">
        <v>1.5035000000000001</v>
      </c>
      <c r="IU89" s="507">
        <v>659363.48520119721</v>
      </c>
      <c r="IV89" s="380">
        <f t="shared" si="99"/>
        <v>0</v>
      </c>
      <c r="IW89" s="506">
        <v>914806</v>
      </c>
      <c r="IX89" s="53">
        <v>1.5035000000000001</v>
      </c>
      <c r="IY89" s="507">
        <v>608450.94778849347</v>
      </c>
      <c r="IZ89" s="380">
        <f t="shared" si="100"/>
        <v>-50912.537412703736</v>
      </c>
    </row>
    <row r="90" spans="1:260">
      <c r="A90" s="13" t="s">
        <v>644</v>
      </c>
      <c r="B90" s="13" t="s">
        <v>645</v>
      </c>
      <c r="C90" s="13" t="s">
        <v>121</v>
      </c>
      <c r="D90" s="13" t="s">
        <v>462</v>
      </c>
      <c r="E90" s="13" t="s">
        <v>2</v>
      </c>
      <c r="F90" s="13">
        <v>1155225</v>
      </c>
      <c r="G90" s="13"/>
      <c r="H90" s="49" t="s">
        <v>646</v>
      </c>
      <c r="I90" s="14" t="s">
        <v>494</v>
      </c>
      <c r="J90" s="14">
        <f>+VLOOKUP(E90,'Summary - Colar'!$M$39:$N$54,2,FALSE)</f>
        <v>1</v>
      </c>
      <c r="K90" s="14"/>
      <c r="L90" s="506" t="s">
        <v>494</v>
      </c>
      <c r="M90" s="53">
        <v>1</v>
      </c>
      <c r="N90" s="507"/>
      <c r="O90" s="506" t="s">
        <v>494</v>
      </c>
      <c r="P90" s="53">
        <v>1</v>
      </c>
      <c r="Q90" s="507"/>
      <c r="R90" s="506" t="s">
        <v>494</v>
      </c>
      <c r="S90" s="53">
        <v>1</v>
      </c>
      <c r="T90" s="507"/>
      <c r="U90" s="506" t="s">
        <v>494</v>
      </c>
      <c r="V90" s="53">
        <v>1</v>
      </c>
      <c r="W90" s="507"/>
      <c r="X90" s="506" t="s">
        <v>494</v>
      </c>
      <c r="Y90" s="53">
        <v>1</v>
      </c>
      <c r="Z90" s="507"/>
      <c r="AA90" s="506" t="s">
        <v>494</v>
      </c>
      <c r="AB90" s="53">
        <v>1</v>
      </c>
      <c r="AC90" s="507"/>
      <c r="AD90" s="506" t="s">
        <v>494</v>
      </c>
      <c r="AE90" s="53">
        <v>1</v>
      </c>
      <c r="AF90" s="507"/>
      <c r="AG90" s="506" t="s">
        <v>494</v>
      </c>
      <c r="AH90" s="53">
        <v>1</v>
      </c>
      <c r="AI90" s="507"/>
      <c r="AJ90" s="506" t="s">
        <v>494</v>
      </c>
      <c r="AK90" s="53">
        <v>1</v>
      </c>
      <c r="AL90" s="507"/>
      <c r="AM90" s="506" t="s">
        <v>494</v>
      </c>
      <c r="AN90" s="53">
        <v>1</v>
      </c>
      <c r="AO90" s="507"/>
      <c r="AP90" s="506" t="s">
        <v>494</v>
      </c>
      <c r="AQ90" s="53">
        <v>1</v>
      </c>
      <c r="AR90" s="507"/>
      <c r="AS90" s="506" t="s">
        <v>494</v>
      </c>
      <c r="AT90" s="53">
        <v>1</v>
      </c>
      <c r="AU90" s="507"/>
      <c r="AV90" s="506" t="s">
        <v>494</v>
      </c>
      <c r="AW90" s="53">
        <v>1</v>
      </c>
      <c r="AX90" s="507"/>
      <c r="AY90" s="506" t="s">
        <v>494</v>
      </c>
      <c r="AZ90" s="53">
        <v>1</v>
      </c>
      <c r="BA90" s="507"/>
      <c r="BB90" s="506" t="s">
        <v>494</v>
      </c>
      <c r="BC90" s="53">
        <v>1</v>
      </c>
      <c r="BD90" s="507"/>
      <c r="BE90" s="506" t="s">
        <v>494</v>
      </c>
      <c r="BF90" s="53">
        <v>1</v>
      </c>
      <c r="BG90" s="507"/>
      <c r="BH90" s="380">
        <f t="shared" si="51"/>
        <v>-1</v>
      </c>
      <c r="BI90" s="506" t="s">
        <v>494</v>
      </c>
      <c r="BJ90" s="53">
        <v>1</v>
      </c>
      <c r="BK90" s="507"/>
      <c r="BL90" s="380">
        <f t="shared" si="52"/>
        <v>0</v>
      </c>
      <c r="BM90" s="506" t="s">
        <v>494</v>
      </c>
      <c r="BN90" s="53">
        <v>1</v>
      </c>
      <c r="BO90" s="507"/>
      <c r="BP90">
        <v>0</v>
      </c>
      <c r="BQ90" s="506" t="s">
        <v>494</v>
      </c>
      <c r="BR90" s="53">
        <v>1</v>
      </c>
      <c r="BS90" s="507"/>
      <c r="BT90" s="380">
        <f t="shared" si="53"/>
        <v>0</v>
      </c>
      <c r="BU90" s="506" t="s">
        <v>494</v>
      </c>
      <c r="BV90" s="53">
        <v>1</v>
      </c>
      <c r="BW90" s="507"/>
      <c r="BX90" s="380">
        <f t="shared" si="54"/>
        <v>0</v>
      </c>
      <c r="BY90" s="506" t="s">
        <v>494</v>
      </c>
      <c r="BZ90" s="53">
        <v>1</v>
      </c>
      <c r="CA90" s="507"/>
      <c r="CB90" s="380">
        <f t="shared" si="55"/>
        <v>0</v>
      </c>
      <c r="CC90" s="506" t="s">
        <v>494</v>
      </c>
      <c r="CD90" s="53">
        <v>1</v>
      </c>
      <c r="CE90" s="507"/>
      <c r="CF90" s="380">
        <f t="shared" si="56"/>
        <v>0</v>
      </c>
      <c r="CG90" s="506" t="s">
        <v>494</v>
      </c>
      <c r="CH90" s="53">
        <v>1</v>
      </c>
      <c r="CI90" s="507"/>
      <c r="CJ90" s="380">
        <f t="shared" si="57"/>
        <v>0</v>
      </c>
      <c r="CK90" s="506" t="s">
        <v>494</v>
      </c>
      <c r="CL90" s="53">
        <v>1</v>
      </c>
      <c r="CM90" s="507"/>
      <c r="CN90" s="380">
        <f t="shared" si="58"/>
        <v>0</v>
      </c>
      <c r="CO90" s="506" t="s">
        <v>494</v>
      </c>
      <c r="CP90" s="53">
        <v>1</v>
      </c>
      <c r="CQ90" s="507"/>
      <c r="CR90" s="380">
        <f t="shared" si="59"/>
        <v>0</v>
      </c>
      <c r="CS90" s="506" t="s">
        <v>494</v>
      </c>
      <c r="CT90" s="53">
        <v>1</v>
      </c>
      <c r="CU90" s="507"/>
      <c r="CV90" s="380">
        <f t="shared" si="60"/>
        <v>0</v>
      </c>
      <c r="CW90" s="506" t="s">
        <v>494</v>
      </c>
      <c r="CX90" s="53">
        <v>1</v>
      </c>
      <c r="CY90" s="507"/>
      <c r="CZ90" s="380">
        <f t="shared" si="61"/>
        <v>0</v>
      </c>
      <c r="DA90" s="506" t="s">
        <v>494</v>
      </c>
      <c r="DB90" s="53">
        <v>1</v>
      </c>
      <c r="DC90" s="507"/>
      <c r="DD90" s="380">
        <f t="shared" si="62"/>
        <v>0</v>
      </c>
      <c r="DE90" s="506" t="s">
        <v>494</v>
      </c>
      <c r="DF90" s="53">
        <v>1</v>
      </c>
      <c r="DG90" s="507"/>
      <c r="DH90" s="380">
        <f t="shared" si="63"/>
        <v>0</v>
      </c>
      <c r="DI90" s="506" t="s">
        <v>494</v>
      </c>
      <c r="DJ90" s="53">
        <v>1</v>
      </c>
      <c r="DK90" s="507"/>
      <c r="DL90" s="380">
        <f t="shared" si="64"/>
        <v>0</v>
      </c>
      <c r="DM90" s="506" t="s">
        <v>494</v>
      </c>
      <c r="DN90" s="53">
        <v>1</v>
      </c>
      <c r="DO90" s="507"/>
      <c r="DP90" s="380">
        <f t="shared" si="65"/>
        <v>0</v>
      </c>
      <c r="DQ90" s="506" t="s">
        <v>494</v>
      </c>
      <c r="DR90" s="53">
        <v>1</v>
      </c>
      <c r="DS90" s="507"/>
      <c r="DT90" s="380">
        <f t="shared" si="66"/>
        <v>0</v>
      </c>
      <c r="DU90" s="506" t="s">
        <v>494</v>
      </c>
      <c r="DV90" s="53">
        <v>1</v>
      </c>
      <c r="DW90" s="507"/>
      <c r="DX90" s="380">
        <f t="shared" si="67"/>
        <v>0</v>
      </c>
      <c r="DY90" s="506" t="s">
        <v>494</v>
      </c>
      <c r="DZ90" s="53">
        <v>1</v>
      </c>
      <c r="EA90" s="507"/>
      <c r="EB90" s="380">
        <f t="shared" si="68"/>
        <v>0</v>
      </c>
      <c r="EC90" s="506" t="s">
        <v>494</v>
      </c>
      <c r="ED90" s="53">
        <v>1</v>
      </c>
      <c r="EE90" s="507"/>
      <c r="EF90" s="380">
        <f t="shared" si="69"/>
        <v>0</v>
      </c>
      <c r="EG90" s="506" t="s">
        <v>494</v>
      </c>
      <c r="EH90" s="53">
        <v>1</v>
      </c>
      <c r="EI90" s="507"/>
      <c r="EJ90" s="380">
        <f t="shared" si="70"/>
        <v>0</v>
      </c>
      <c r="EK90" s="506" t="s">
        <v>494</v>
      </c>
      <c r="EL90" s="53">
        <v>1</v>
      </c>
      <c r="EM90" s="507"/>
      <c r="EN90" s="380">
        <f t="shared" si="71"/>
        <v>0</v>
      </c>
      <c r="EO90" s="506" t="s">
        <v>494</v>
      </c>
      <c r="EP90" s="53">
        <v>1</v>
      </c>
      <c r="EQ90" s="507"/>
      <c r="ER90" s="380">
        <f t="shared" si="72"/>
        <v>0</v>
      </c>
      <c r="ES90" s="506" t="s">
        <v>494</v>
      </c>
      <c r="ET90" s="53">
        <v>1</v>
      </c>
      <c r="EU90" s="507"/>
      <c r="EV90" s="380">
        <f t="shared" si="73"/>
        <v>0</v>
      </c>
      <c r="EW90" s="506" t="s">
        <v>494</v>
      </c>
      <c r="EX90" s="53">
        <v>1</v>
      </c>
      <c r="EY90" s="507"/>
      <c r="EZ90" s="380">
        <f t="shared" si="74"/>
        <v>0</v>
      </c>
      <c r="FA90" s="506" t="s">
        <v>494</v>
      </c>
      <c r="FB90" s="53">
        <v>1</v>
      </c>
      <c r="FC90" s="507"/>
      <c r="FD90" s="380">
        <f t="shared" si="75"/>
        <v>0</v>
      </c>
      <c r="FE90" s="506" t="s">
        <v>494</v>
      </c>
      <c r="FF90" s="53">
        <v>1</v>
      </c>
      <c r="FG90" s="507"/>
      <c r="FH90" s="380">
        <f t="shared" si="76"/>
        <v>0</v>
      </c>
      <c r="FI90" s="506" t="s">
        <v>494</v>
      </c>
      <c r="FJ90" s="53">
        <v>1</v>
      </c>
      <c r="FK90" s="507"/>
      <c r="FL90" s="380">
        <f t="shared" si="77"/>
        <v>0</v>
      </c>
      <c r="FM90" s="506" t="s">
        <v>494</v>
      </c>
      <c r="FN90" s="53">
        <v>1</v>
      </c>
      <c r="FO90" s="507"/>
      <c r="FP90" s="380">
        <f t="shared" si="78"/>
        <v>0</v>
      </c>
      <c r="FQ90" s="506" t="s">
        <v>494</v>
      </c>
      <c r="FR90" s="53">
        <v>1</v>
      </c>
      <c r="FS90" s="507"/>
      <c r="FT90" s="380">
        <f t="shared" si="79"/>
        <v>0</v>
      </c>
      <c r="FU90" s="506" t="s">
        <v>494</v>
      </c>
      <c r="FV90" s="53">
        <v>1</v>
      </c>
      <c r="FW90" s="507"/>
      <c r="FX90" s="380">
        <f t="shared" si="80"/>
        <v>0</v>
      </c>
      <c r="FY90" s="506" t="s">
        <v>494</v>
      </c>
      <c r="FZ90" s="53">
        <v>1</v>
      </c>
      <c r="GA90" s="507"/>
      <c r="GB90" s="380">
        <f t="shared" si="81"/>
        <v>0</v>
      </c>
      <c r="GC90" s="506" t="s">
        <v>494</v>
      </c>
      <c r="GD90" s="53">
        <v>1</v>
      </c>
      <c r="GE90" s="507"/>
      <c r="GF90" s="380">
        <f t="shared" si="82"/>
        <v>0</v>
      </c>
      <c r="GG90" s="506" t="s">
        <v>494</v>
      </c>
      <c r="GH90" s="53">
        <v>1</v>
      </c>
      <c r="GI90" s="507"/>
      <c r="GJ90" s="380">
        <f t="shared" si="83"/>
        <v>0</v>
      </c>
      <c r="GK90" s="506" t="s">
        <v>494</v>
      </c>
      <c r="GL90" s="53">
        <v>1</v>
      </c>
      <c r="GM90" s="507"/>
      <c r="GN90" s="380">
        <f t="shared" si="84"/>
        <v>0</v>
      </c>
      <c r="GO90" s="506" t="s">
        <v>494</v>
      </c>
      <c r="GP90" s="53">
        <v>1</v>
      </c>
      <c r="GQ90" s="507"/>
      <c r="GR90" s="380">
        <f t="shared" si="85"/>
        <v>0</v>
      </c>
      <c r="GS90" s="506" t="s">
        <v>494</v>
      </c>
      <c r="GT90" s="53">
        <v>1</v>
      </c>
      <c r="GU90" s="507"/>
      <c r="GV90" s="380">
        <f t="shared" si="86"/>
        <v>0</v>
      </c>
      <c r="GW90" s="506" t="s">
        <v>494</v>
      </c>
      <c r="GX90" s="53">
        <v>1</v>
      </c>
      <c r="GY90" s="507"/>
      <c r="GZ90" s="380">
        <f t="shared" si="87"/>
        <v>0</v>
      </c>
      <c r="HA90" s="506" t="s">
        <v>494</v>
      </c>
      <c r="HB90" s="53">
        <v>1</v>
      </c>
      <c r="HC90" s="507"/>
      <c r="HD90" s="380">
        <f t="shared" si="88"/>
        <v>0</v>
      </c>
      <c r="HE90" s="506" t="s">
        <v>494</v>
      </c>
      <c r="HF90" s="53">
        <v>1</v>
      </c>
      <c r="HG90" s="507"/>
      <c r="HH90" s="380">
        <f t="shared" si="89"/>
        <v>0</v>
      </c>
      <c r="HI90" s="506" t="s">
        <v>494</v>
      </c>
      <c r="HJ90" s="53">
        <v>1</v>
      </c>
      <c r="HK90" s="507"/>
      <c r="HL90" s="380">
        <f t="shared" si="90"/>
        <v>0</v>
      </c>
      <c r="HM90" s="506" t="s">
        <v>494</v>
      </c>
      <c r="HN90" s="53">
        <v>1</v>
      </c>
      <c r="HO90" s="507"/>
      <c r="HP90" s="380">
        <f t="shared" si="91"/>
        <v>0</v>
      </c>
      <c r="HQ90" s="506" t="s">
        <v>494</v>
      </c>
      <c r="HR90" s="53">
        <v>1</v>
      </c>
      <c r="HS90" s="507"/>
      <c r="HT90" s="380">
        <f t="shared" si="92"/>
        <v>0</v>
      </c>
      <c r="HU90" s="506" t="s">
        <v>494</v>
      </c>
      <c r="HV90" s="53">
        <v>1</v>
      </c>
      <c r="HW90" s="507"/>
      <c r="HX90" s="380">
        <f t="shared" si="93"/>
        <v>0</v>
      </c>
      <c r="HY90" s="506" t="s">
        <v>494</v>
      </c>
      <c r="HZ90" s="53">
        <v>1</v>
      </c>
      <c r="IA90" s="507"/>
      <c r="IB90" s="380">
        <f t="shared" si="94"/>
        <v>0</v>
      </c>
      <c r="IC90" s="506" t="s">
        <v>494</v>
      </c>
      <c r="ID90" s="53">
        <v>1</v>
      </c>
      <c r="IE90" s="507"/>
      <c r="IF90" s="380">
        <f t="shared" si="95"/>
        <v>0</v>
      </c>
      <c r="IG90" s="506" t="s">
        <v>494</v>
      </c>
      <c r="IH90" s="53">
        <v>1</v>
      </c>
      <c r="II90" s="507"/>
      <c r="IJ90" s="380">
        <f t="shared" si="96"/>
        <v>0</v>
      </c>
      <c r="IK90" s="506" t="s">
        <v>494</v>
      </c>
      <c r="IL90" s="53">
        <v>1</v>
      </c>
      <c r="IM90" s="507"/>
      <c r="IN90" s="380">
        <f t="shared" si="97"/>
        <v>0</v>
      </c>
      <c r="IO90" s="506" t="s">
        <v>494</v>
      </c>
      <c r="IP90" s="53">
        <v>1</v>
      </c>
      <c r="IQ90" s="507"/>
      <c r="IR90" s="380">
        <f t="shared" si="98"/>
        <v>0</v>
      </c>
      <c r="IS90" s="506" t="s">
        <v>494</v>
      </c>
      <c r="IT90" s="53">
        <v>1</v>
      </c>
      <c r="IU90" s="507"/>
      <c r="IV90" s="380">
        <f t="shared" si="99"/>
        <v>0</v>
      </c>
      <c r="IW90" s="506" t="s">
        <v>494</v>
      </c>
      <c r="IX90" s="53">
        <v>1</v>
      </c>
      <c r="IY90" s="507"/>
      <c r="IZ90" s="380">
        <f t="shared" si="100"/>
        <v>0</v>
      </c>
    </row>
    <row r="91" spans="1:260">
      <c r="A91" s="13" t="s">
        <v>644</v>
      </c>
      <c r="B91" s="13" t="s">
        <v>645</v>
      </c>
      <c r="C91" s="13" t="s">
        <v>121</v>
      </c>
      <c r="D91" s="13" t="s">
        <v>462</v>
      </c>
      <c r="E91" s="13" t="s">
        <v>2</v>
      </c>
      <c r="F91" s="13">
        <v>1147461</v>
      </c>
      <c r="G91" s="13" t="s">
        <v>120</v>
      </c>
      <c r="H91" s="49" t="s">
        <v>508</v>
      </c>
      <c r="I91" s="14">
        <f>+'IBP export - Colar'!A35</f>
        <v>530728</v>
      </c>
      <c r="J91" s="14">
        <f>+VLOOKUP(E91,'Summary - Colar'!$M$39:$N$54,2,FALSE)</f>
        <v>1</v>
      </c>
      <c r="K91" s="14">
        <f t="shared" si="101"/>
        <v>530728</v>
      </c>
      <c r="L91" s="506">
        <v>718405.21</v>
      </c>
      <c r="M91" s="53">
        <v>1</v>
      </c>
      <c r="N91" s="507">
        <v>718405.21</v>
      </c>
      <c r="O91" s="506">
        <v>566298.43999999994</v>
      </c>
      <c r="P91" s="53">
        <v>1</v>
      </c>
      <c r="Q91" s="507">
        <v>566298.43999999994</v>
      </c>
      <c r="R91" s="506">
        <v>533803.98</v>
      </c>
      <c r="S91" s="53">
        <v>1</v>
      </c>
      <c r="T91" s="507">
        <v>533803.98</v>
      </c>
      <c r="U91" s="506">
        <v>471472.24</v>
      </c>
      <c r="V91" s="53">
        <v>1</v>
      </c>
      <c r="W91" s="507">
        <v>471472.24</v>
      </c>
      <c r="X91" s="506">
        <v>695267.21</v>
      </c>
      <c r="Y91" s="53">
        <v>1</v>
      </c>
      <c r="Z91" s="507">
        <v>695267.21</v>
      </c>
      <c r="AA91" s="506">
        <v>403506.25</v>
      </c>
      <c r="AB91" s="53">
        <v>1</v>
      </c>
      <c r="AC91" s="507">
        <v>403506.25</v>
      </c>
      <c r="AD91" s="506">
        <v>397877.67</v>
      </c>
      <c r="AE91" s="53">
        <v>1</v>
      </c>
      <c r="AF91" s="507">
        <v>397877.67</v>
      </c>
      <c r="AG91" s="506">
        <v>380768.95</v>
      </c>
      <c r="AH91" s="53">
        <v>1</v>
      </c>
      <c r="AI91" s="507">
        <v>380768.95</v>
      </c>
      <c r="AJ91" s="506">
        <v>327868.53000000003</v>
      </c>
      <c r="AK91" s="53">
        <v>1</v>
      </c>
      <c r="AL91" s="507">
        <v>327868.53000000003</v>
      </c>
      <c r="AM91" s="506">
        <v>626885.24</v>
      </c>
      <c r="AN91" s="53">
        <v>1</v>
      </c>
      <c r="AO91" s="507">
        <v>626885.24</v>
      </c>
      <c r="AP91" s="506">
        <v>628396.01</v>
      </c>
      <c r="AQ91" s="53">
        <v>1</v>
      </c>
      <c r="AR91" s="507">
        <v>628396.01</v>
      </c>
      <c r="AS91" s="506">
        <v>333930</v>
      </c>
      <c r="AT91" s="53">
        <v>1</v>
      </c>
      <c r="AU91" s="507">
        <v>333930</v>
      </c>
      <c r="AV91" s="506">
        <v>258192.06</v>
      </c>
      <c r="AW91" s="53">
        <v>1</v>
      </c>
      <c r="AX91" s="507">
        <v>258192.06</v>
      </c>
      <c r="AY91" s="506">
        <v>317767.42</v>
      </c>
      <c r="AZ91" s="53">
        <v>1</v>
      </c>
      <c r="BA91" s="507">
        <v>317767.42</v>
      </c>
      <c r="BB91" s="506">
        <v>430835.41</v>
      </c>
      <c r="BC91" s="53">
        <v>1</v>
      </c>
      <c r="BD91" s="507">
        <v>430835.41</v>
      </c>
      <c r="BE91" s="506">
        <v>416731.06</v>
      </c>
      <c r="BF91" s="53">
        <v>1</v>
      </c>
      <c r="BG91" s="507">
        <v>416731.06</v>
      </c>
      <c r="BH91" s="380">
        <f t="shared" si="51"/>
        <v>416730.06</v>
      </c>
      <c r="BI91" s="506">
        <v>416731.06</v>
      </c>
      <c r="BJ91" s="53">
        <v>1</v>
      </c>
      <c r="BK91" s="507">
        <v>416731.06</v>
      </c>
      <c r="BL91" s="380">
        <f t="shared" si="52"/>
        <v>0</v>
      </c>
      <c r="BM91" s="506">
        <v>416731.06</v>
      </c>
      <c r="BN91" s="53">
        <v>1</v>
      </c>
      <c r="BO91" s="507">
        <v>416731.06</v>
      </c>
      <c r="BP91">
        <v>299016.70999999996</v>
      </c>
      <c r="BQ91" s="506">
        <v>416731.06</v>
      </c>
      <c r="BR91" s="53">
        <v>1</v>
      </c>
      <c r="BS91" s="507">
        <v>416731.06</v>
      </c>
      <c r="BT91" s="380">
        <f t="shared" si="53"/>
        <v>0</v>
      </c>
      <c r="BU91" s="506">
        <v>416731.06</v>
      </c>
      <c r="BV91" s="53">
        <v>1</v>
      </c>
      <c r="BW91" s="507">
        <v>416731.06</v>
      </c>
      <c r="BX91" s="380">
        <f t="shared" si="54"/>
        <v>0</v>
      </c>
      <c r="BY91" s="506">
        <v>441029.4</v>
      </c>
      <c r="BZ91" s="53">
        <v>1</v>
      </c>
      <c r="CA91" s="507">
        <v>441029.4</v>
      </c>
      <c r="CB91" s="380">
        <f t="shared" si="55"/>
        <v>24298.340000000026</v>
      </c>
      <c r="CC91" s="506">
        <v>439842.7</v>
      </c>
      <c r="CD91" s="53">
        <v>1</v>
      </c>
      <c r="CE91" s="507">
        <v>439842.7</v>
      </c>
      <c r="CF91" s="380">
        <f t="shared" si="56"/>
        <v>-1186.7000000000116</v>
      </c>
      <c r="CG91" s="506">
        <v>476417.05</v>
      </c>
      <c r="CH91" s="53">
        <v>1</v>
      </c>
      <c r="CI91" s="507">
        <v>476417.05</v>
      </c>
      <c r="CJ91" s="380">
        <f t="shared" si="57"/>
        <v>36574.349999999977</v>
      </c>
      <c r="CK91" s="506">
        <v>415120.38</v>
      </c>
      <c r="CL91" s="53">
        <v>1</v>
      </c>
      <c r="CM91" s="507">
        <v>415120.38</v>
      </c>
      <c r="CN91" s="380">
        <f t="shared" si="58"/>
        <v>-61296.669999999984</v>
      </c>
      <c r="CO91" s="506">
        <v>419651.64</v>
      </c>
      <c r="CP91" s="53">
        <v>1</v>
      </c>
      <c r="CQ91" s="507">
        <v>419651.64</v>
      </c>
      <c r="CR91" s="380">
        <f t="shared" si="59"/>
        <v>4531.2600000000093</v>
      </c>
      <c r="CS91" s="506">
        <v>460473.63</v>
      </c>
      <c r="CT91" s="53">
        <v>1</v>
      </c>
      <c r="CU91" s="507">
        <v>460473.63</v>
      </c>
      <c r="CV91" s="380">
        <f t="shared" si="60"/>
        <v>40821.989999999991</v>
      </c>
      <c r="CW91" s="506">
        <v>404061.67</v>
      </c>
      <c r="CX91" s="53">
        <v>1</v>
      </c>
      <c r="CY91" s="507">
        <v>404061.67</v>
      </c>
      <c r="CZ91" s="380">
        <f t="shared" si="61"/>
        <v>-56411.960000000021</v>
      </c>
      <c r="DA91" s="506">
        <v>421629.01</v>
      </c>
      <c r="DB91" s="53">
        <v>1</v>
      </c>
      <c r="DC91" s="507">
        <v>421629.01</v>
      </c>
      <c r="DD91" s="380">
        <f t="shared" si="62"/>
        <v>17567.340000000026</v>
      </c>
      <c r="DE91" s="506">
        <v>421629.01</v>
      </c>
      <c r="DF91" s="53">
        <v>1</v>
      </c>
      <c r="DG91" s="507">
        <v>421629.01</v>
      </c>
      <c r="DH91" s="380">
        <f t="shared" si="63"/>
        <v>0</v>
      </c>
      <c r="DI91" s="506">
        <v>425380.77</v>
      </c>
      <c r="DJ91" s="53">
        <v>1</v>
      </c>
      <c r="DK91" s="507">
        <v>425380.77</v>
      </c>
      <c r="DL91" s="380">
        <f t="shared" si="64"/>
        <v>3751.7600000000093</v>
      </c>
      <c r="DM91" s="506">
        <v>435248.71</v>
      </c>
      <c r="DN91" s="53">
        <v>1</v>
      </c>
      <c r="DO91" s="507">
        <v>435248.71</v>
      </c>
      <c r="DP91" s="380">
        <f t="shared" si="65"/>
        <v>9867.9400000000023</v>
      </c>
      <c r="DQ91" s="506">
        <v>314331.73</v>
      </c>
      <c r="DR91" s="53">
        <v>1</v>
      </c>
      <c r="DS91" s="507">
        <v>314331.73</v>
      </c>
      <c r="DT91" s="380">
        <f t="shared" si="66"/>
        <v>-120916.98000000004</v>
      </c>
      <c r="DU91" s="506">
        <v>253569.69</v>
      </c>
      <c r="DV91" s="53">
        <v>1</v>
      </c>
      <c r="DW91" s="507">
        <v>253569.69</v>
      </c>
      <c r="DX91" s="380">
        <f t="shared" si="67"/>
        <v>-60762.039999999979</v>
      </c>
      <c r="DY91" s="506">
        <v>253570</v>
      </c>
      <c r="DZ91" s="53">
        <v>1</v>
      </c>
      <c r="EA91" s="507">
        <v>253570</v>
      </c>
      <c r="EB91" s="380">
        <f t="shared" si="68"/>
        <v>0.30999999999767169</v>
      </c>
      <c r="EC91" s="506">
        <v>253570</v>
      </c>
      <c r="ED91" s="53">
        <v>1</v>
      </c>
      <c r="EE91" s="507">
        <v>253570</v>
      </c>
      <c r="EF91" s="380">
        <f t="shared" si="69"/>
        <v>0</v>
      </c>
      <c r="EG91" s="506">
        <v>298506</v>
      </c>
      <c r="EH91" s="53">
        <v>1</v>
      </c>
      <c r="EI91" s="507">
        <v>298506</v>
      </c>
      <c r="EJ91" s="380">
        <f t="shared" si="70"/>
        <v>44936</v>
      </c>
      <c r="EK91" s="506">
        <v>39122</v>
      </c>
      <c r="EL91" s="53">
        <v>1</v>
      </c>
      <c r="EM91" s="507">
        <v>39122</v>
      </c>
      <c r="EN91" s="380">
        <f t="shared" si="71"/>
        <v>-259384</v>
      </c>
      <c r="EO91" s="506">
        <v>189122</v>
      </c>
      <c r="EP91" s="53">
        <v>1</v>
      </c>
      <c r="EQ91" s="507">
        <v>189122</v>
      </c>
      <c r="ER91" s="380">
        <f t="shared" si="72"/>
        <v>150000</v>
      </c>
      <c r="ES91" s="506">
        <v>228077</v>
      </c>
      <c r="ET91" s="53">
        <v>1</v>
      </c>
      <c r="EU91" s="507">
        <v>228077</v>
      </c>
      <c r="EV91" s="380">
        <f t="shared" si="73"/>
        <v>38955</v>
      </c>
      <c r="EW91" s="506">
        <v>227632</v>
      </c>
      <c r="EX91" s="53">
        <v>1</v>
      </c>
      <c r="EY91" s="507">
        <v>227632</v>
      </c>
      <c r="EZ91" s="380">
        <f t="shared" si="74"/>
        <v>-445</v>
      </c>
      <c r="FA91" s="506">
        <v>235866</v>
      </c>
      <c r="FB91" s="53">
        <v>1</v>
      </c>
      <c r="FC91" s="507">
        <v>235866</v>
      </c>
      <c r="FD91" s="380">
        <f t="shared" si="75"/>
        <v>8234</v>
      </c>
      <c r="FE91" s="506">
        <v>235866</v>
      </c>
      <c r="FF91" s="53">
        <v>1</v>
      </c>
      <c r="FG91" s="507">
        <v>235866</v>
      </c>
      <c r="FH91" s="380">
        <f t="shared" si="76"/>
        <v>0</v>
      </c>
      <c r="FI91" s="506">
        <v>262972</v>
      </c>
      <c r="FJ91" s="53">
        <v>1</v>
      </c>
      <c r="FK91" s="507">
        <v>262972</v>
      </c>
      <c r="FL91" s="380">
        <f t="shared" si="77"/>
        <v>27106</v>
      </c>
      <c r="FM91" s="506">
        <v>249229</v>
      </c>
      <c r="FN91" s="53">
        <v>1</v>
      </c>
      <c r="FO91" s="507">
        <v>249229</v>
      </c>
      <c r="FP91" s="380">
        <f t="shared" si="78"/>
        <v>-13743</v>
      </c>
      <c r="FQ91" s="506">
        <v>249144</v>
      </c>
      <c r="FR91" s="53">
        <v>1</v>
      </c>
      <c r="FS91" s="507">
        <v>249144</v>
      </c>
      <c r="FT91" s="380">
        <f t="shared" si="79"/>
        <v>-85</v>
      </c>
      <c r="FU91" s="506">
        <v>249144</v>
      </c>
      <c r="FV91" s="53">
        <v>1</v>
      </c>
      <c r="FW91" s="507">
        <v>249144</v>
      </c>
      <c r="FX91" s="380">
        <f t="shared" si="80"/>
        <v>0</v>
      </c>
      <c r="FY91" s="506">
        <v>264201</v>
      </c>
      <c r="FZ91" s="53">
        <v>1</v>
      </c>
      <c r="GA91" s="507">
        <v>264201</v>
      </c>
      <c r="GB91" s="380">
        <f t="shared" si="81"/>
        <v>15057</v>
      </c>
      <c r="GC91" s="506">
        <v>277303</v>
      </c>
      <c r="GD91" s="53">
        <v>1</v>
      </c>
      <c r="GE91" s="507">
        <v>277303</v>
      </c>
      <c r="GF91" s="380">
        <f t="shared" si="82"/>
        <v>13102</v>
      </c>
      <c r="GG91" s="506">
        <v>245591</v>
      </c>
      <c r="GH91" s="53">
        <v>1</v>
      </c>
      <c r="GI91" s="507">
        <v>245591</v>
      </c>
      <c r="GJ91" s="380">
        <f t="shared" si="83"/>
        <v>-31712</v>
      </c>
      <c r="GK91" s="506">
        <v>252627</v>
      </c>
      <c r="GL91" s="53">
        <v>1</v>
      </c>
      <c r="GM91" s="507">
        <v>252627</v>
      </c>
      <c r="GN91" s="380">
        <f t="shared" si="84"/>
        <v>7036</v>
      </c>
      <c r="GO91" s="506">
        <v>252627</v>
      </c>
      <c r="GP91" s="53">
        <v>1</v>
      </c>
      <c r="GQ91" s="507">
        <v>252627</v>
      </c>
      <c r="GR91" s="380">
        <f t="shared" si="85"/>
        <v>0</v>
      </c>
      <c r="GS91" s="506">
        <v>269698</v>
      </c>
      <c r="GT91" s="53">
        <v>1</v>
      </c>
      <c r="GU91" s="507">
        <v>269698</v>
      </c>
      <c r="GV91" s="380">
        <f t="shared" si="86"/>
        <v>17071</v>
      </c>
      <c r="GW91" s="506">
        <v>273190</v>
      </c>
      <c r="GX91" s="53">
        <v>1</v>
      </c>
      <c r="GY91" s="507">
        <v>273190</v>
      </c>
      <c r="GZ91" s="380">
        <f t="shared" si="87"/>
        <v>3492</v>
      </c>
      <c r="HA91" s="506">
        <v>276955</v>
      </c>
      <c r="HB91" s="53">
        <v>1</v>
      </c>
      <c r="HC91" s="507">
        <v>276955</v>
      </c>
      <c r="HD91" s="380">
        <f t="shared" si="88"/>
        <v>3765</v>
      </c>
      <c r="HE91" s="506">
        <v>276455</v>
      </c>
      <c r="HF91" s="53">
        <v>1</v>
      </c>
      <c r="HG91" s="507">
        <v>276455</v>
      </c>
      <c r="HH91" s="380">
        <f t="shared" si="89"/>
        <v>-500</v>
      </c>
      <c r="HI91" s="506">
        <v>282078</v>
      </c>
      <c r="HJ91" s="53">
        <v>1</v>
      </c>
      <c r="HK91" s="507">
        <v>282078</v>
      </c>
      <c r="HL91" s="380">
        <f t="shared" si="90"/>
        <v>5623</v>
      </c>
      <c r="HM91" s="506">
        <v>332485</v>
      </c>
      <c r="HN91" s="53">
        <v>1</v>
      </c>
      <c r="HO91" s="507">
        <v>332485</v>
      </c>
      <c r="HP91" s="380">
        <f t="shared" si="91"/>
        <v>50407</v>
      </c>
      <c r="HQ91" s="506">
        <v>293324</v>
      </c>
      <c r="HR91" s="53">
        <v>1</v>
      </c>
      <c r="HS91" s="507">
        <v>293324</v>
      </c>
      <c r="HT91" s="380">
        <f t="shared" si="92"/>
        <v>-39161</v>
      </c>
      <c r="HU91" s="506">
        <v>293324</v>
      </c>
      <c r="HV91" s="53">
        <v>1</v>
      </c>
      <c r="HW91" s="507">
        <v>293324</v>
      </c>
      <c r="HX91" s="380">
        <f t="shared" si="93"/>
        <v>0</v>
      </c>
      <c r="HY91" s="506">
        <v>512104</v>
      </c>
      <c r="HZ91" s="53">
        <v>1</v>
      </c>
      <c r="IA91" s="507">
        <v>512104</v>
      </c>
      <c r="IB91" s="380">
        <f t="shared" si="94"/>
        <v>218780</v>
      </c>
      <c r="IC91" s="506">
        <v>582790</v>
      </c>
      <c r="ID91" s="53">
        <v>1</v>
      </c>
      <c r="IE91" s="507">
        <v>582790</v>
      </c>
      <c r="IF91" s="380">
        <f t="shared" si="95"/>
        <v>70686</v>
      </c>
      <c r="IG91" s="506">
        <v>575154</v>
      </c>
      <c r="IH91" s="53">
        <v>1</v>
      </c>
      <c r="II91" s="507">
        <v>575154</v>
      </c>
      <c r="IJ91" s="380">
        <f t="shared" si="96"/>
        <v>-7636</v>
      </c>
      <c r="IK91" s="506">
        <v>520098</v>
      </c>
      <c r="IL91" s="53">
        <v>1</v>
      </c>
      <c r="IM91" s="507">
        <v>520098</v>
      </c>
      <c r="IN91" s="380">
        <f t="shared" si="97"/>
        <v>-55056</v>
      </c>
      <c r="IO91" s="506">
        <v>520098</v>
      </c>
      <c r="IP91" s="53">
        <v>1</v>
      </c>
      <c r="IQ91" s="507">
        <v>520098</v>
      </c>
      <c r="IR91" s="380">
        <f t="shared" si="98"/>
        <v>0</v>
      </c>
      <c r="IS91" s="506">
        <v>520021</v>
      </c>
      <c r="IT91" s="53">
        <v>1</v>
      </c>
      <c r="IU91" s="507">
        <v>520021</v>
      </c>
      <c r="IV91" s="380">
        <f t="shared" si="99"/>
        <v>-77</v>
      </c>
      <c r="IW91" s="506">
        <v>530728</v>
      </c>
      <c r="IX91" s="53">
        <v>1</v>
      </c>
      <c r="IY91" s="507">
        <v>530728</v>
      </c>
      <c r="IZ91" s="380">
        <f t="shared" si="100"/>
        <v>10707</v>
      </c>
    </row>
    <row r="92" spans="1:260">
      <c r="A92" s="13" t="s">
        <v>647</v>
      </c>
      <c r="B92" s="13" t="s">
        <v>648</v>
      </c>
      <c r="C92" s="13" t="s">
        <v>417</v>
      </c>
      <c r="D92" s="13" t="s">
        <v>463</v>
      </c>
      <c r="E92" s="13" t="s">
        <v>9</v>
      </c>
      <c r="F92" s="13">
        <v>27300296153</v>
      </c>
      <c r="G92" s="13"/>
      <c r="H92" s="49" t="s">
        <v>649</v>
      </c>
      <c r="I92" s="14">
        <f>+'Summary - Colar'!L31</f>
        <v>109617</v>
      </c>
      <c r="J92" s="14">
        <f>+VLOOKUP(E92,'Summary - Colar'!$M$39:$N$54,2,FALSE)</f>
        <v>0.93874999999999997</v>
      </c>
      <c r="K92" s="14">
        <f t="shared" si="101"/>
        <v>116769.10785619175</v>
      </c>
      <c r="L92" s="506">
        <v>282981.52</v>
      </c>
      <c r="M92" s="53">
        <v>0.9412499680306784</v>
      </c>
      <c r="N92" s="507">
        <v>300644.38736934622</v>
      </c>
      <c r="O92" s="506">
        <v>282981.52</v>
      </c>
      <c r="P92" s="53">
        <v>0.93609996904458936</v>
      </c>
      <c r="Q92" s="507">
        <v>302298.39692102448</v>
      </c>
      <c r="R92" s="506">
        <v>297852.71999999997</v>
      </c>
      <c r="S92" s="53">
        <v>0.94154998249985755</v>
      </c>
      <c r="T92" s="507">
        <v>316342.97226493235</v>
      </c>
      <c r="U92" s="506">
        <v>297852.71999999997</v>
      </c>
      <c r="V92" s="53">
        <v>0.93950001246199755</v>
      </c>
      <c r="W92" s="507">
        <v>317033.22623643716</v>
      </c>
      <c r="X92" s="506">
        <v>281767.17</v>
      </c>
      <c r="Y92" s="53">
        <v>0.94989998646757867</v>
      </c>
      <c r="Z92" s="507">
        <v>296628.24930424092</v>
      </c>
      <c r="AA92" s="506">
        <v>279259.56</v>
      </c>
      <c r="AB92" s="53">
        <v>0.9447499727906381</v>
      </c>
      <c r="AC92" s="507">
        <v>295590.96908477548</v>
      </c>
      <c r="AD92" s="506">
        <v>264783.77</v>
      </c>
      <c r="AE92" s="53">
        <v>0.94145002196641914</v>
      </c>
      <c r="AF92" s="507">
        <v>281251.01048587012</v>
      </c>
      <c r="AG92" s="506">
        <v>264783.77</v>
      </c>
      <c r="AH92" s="53">
        <v>0.94385003315614324</v>
      </c>
      <c r="AI92" s="507">
        <v>280535.84859724878</v>
      </c>
      <c r="AJ92" s="506">
        <v>246442.82</v>
      </c>
      <c r="AK92" s="53">
        <v>0.94149999957989661</v>
      </c>
      <c r="AL92" s="507">
        <v>261755.51790755644</v>
      </c>
      <c r="AM92" s="506">
        <v>230527.87</v>
      </c>
      <c r="AN92" s="53">
        <v>0.93840005930338399</v>
      </c>
      <c r="AO92" s="507">
        <v>245660.54500372801</v>
      </c>
      <c r="AP92" s="506">
        <v>229844.27</v>
      </c>
      <c r="AQ92" s="53">
        <v>0.95524993903103506</v>
      </c>
      <c r="AR92" s="507">
        <v>240611.65628876589</v>
      </c>
      <c r="AS92" s="506">
        <v>206142</v>
      </c>
      <c r="AT92" s="53">
        <v>0.96445000000000003</v>
      </c>
      <c r="AU92" s="507">
        <v>213740.47384519674</v>
      </c>
      <c r="AV92" s="506">
        <v>205869.03</v>
      </c>
      <c r="AW92" s="53">
        <v>0.95460004628670969</v>
      </c>
      <c r="AX92" s="507">
        <v>215659.98325770895</v>
      </c>
      <c r="AY92" s="506">
        <v>193427.18</v>
      </c>
      <c r="AZ92" s="53">
        <v>0.95169988960021024</v>
      </c>
      <c r="BA92" s="507">
        <v>203243.88193556987</v>
      </c>
      <c r="BB92" s="506">
        <v>193407.18</v>
      </c>
      <c r="BC92" s="53">
        <v>0.95369987765870579</v>
      </c>
      <c r="BD92" s="507">
        <v>202796.69163301846</v>
      </c>
      <c r="BE92" s="506">
        <v>187029.96</v>
      </c>
      <c r="BF92" s="53">
        <v>0.95165006798770702</v>
      </c>
      <c r="BG92" s="507">
        <v>196532.2824969482</v>
      </c>
      <c r="BH92" s="380">
        <f t="shared" si="51"/>
        <v>196531.32879707054</v>
      </c>
      <c r="BI92" s="506">
        <v>187029.96</v>
      </c>
      <c r="BJ92" s="53">
        <v>0.95419996244501371</v>
      </c>
      <c r="BK92" s="507">
        <v>196007.09218302625</v>
      </c>
      <c r="BL92" s="380">
        <f t="shared" si="52"/>
        <v>-525.19031392195029</v>
      </c>
      <c r="BM92" s="506">
        <v>187029.96</v>
      </c>
      <c r="BN92" s="53">
        <v>0.95360009958744285</v>
      </c>
      <c r="BO92" s="507">
        <v>196130.39059131284</v>
      </c>
      <c r="BP92">
        <v>-16094.972903828428</v>
      </c>
      <c r="BQ92" s="506">
        <v>187029.96</v>
      </c>
      <c r="BR92" s="53">
        <v>0.94094993650071412</v>
      </c>
      <c r="BS92" s="507">
        <v>198767.17426172868</v>
      </c>
      <c r="BT92" s="380">
        <f t="shared" si="53"/>
        <v>2636.7836704158399</v>
      </c>
      <c r="BU92" s="506">
        <v>187029.96</v>
      </c>
      <c r="BV92" s="53">
        <v>0.93814995922633604</v>
      </c>
      <c r="BW92" s="507">
        <v>199360.40945334363</v>
      </c>
      <c r="BX92" s="380">
        <f t="shared" si="54"/>
        <v>593.23519161494914</v>
      </c>
      <c r="BY92" s="506">
        <v>187029.96</v>
      </c>
      <c r="BZ92" s="53">
        <v>0.93449988490420532</v>
      </c>
      <c r="CA92" s="507">
        <v>200139.0936705918</v>
      </c>
      <c r="CB92" s="380">
        <f t="shared" si="55"/>
        <v>778.68421724817017</v>
      </c>
      <c r="CC92" s="506">
        <v>184146.96</v>
      </c>
      <c r="CD92" s="53">
        <v>0.9272498819158187</v>
      </c>
      <c r="CE92" s="507">
        <v>198594.75163213658</v>
      </c>
      <c r="CF92" s="380">
        <f t="shared" si="56"/>
        <v>-1544.3420384552155</v>
      </c>
      <c r="CG92" s="506">
        <v>184146.96</v>
      </c>
      <c r="CH92" s="53">
        <v>0.9297500076516424</v>
      </c>
      <c r="CI92" s="507">
        <v>198060.7243716162</v>
      </c>
      <c r="CJ92" s="380">
        <f t="shared" si="57"/>
        <v>-534.02726052037906</v>
      </c>
      <c r="CK92" s="506">
        <v>184146.96</v>
      </c>
      <c r="CL92" s="53">
        <v>0.92415005289795293</v>
      </c>
      <c r="CM92" s="507">
        <v>199260.88779906608</v>
      </c>
      <c r="CN92" s="380">
        <f t="shared" si="58"/>
        <v>1200.1634274498792</v>
      </c>
      <c r="CO92" s="506">
        <v>184146.96</v>
      </c>
      <c r="CP92" s="53">
        <v>0.93365011536207365</v>
      </c>
      <c r="CQ92" s="507">
        <v>197233.3714419207</v>
      </c>
      <c r="CR92" s="380">
        <f t="shared" si="59"/>
        <v>-2027.5163571453886</v>
      </c>
      <c r="CS92" s="506">
        <v>184146.96</v>
      </c>
      <c r="CT92" s="53">
        <v>0.92355009685546685</v>
      </c>
      <c r="CU92" s="507">
        <v>199390.33153370835</v>
      </c>
      <c r="CV92" s="380">
        <f t="shared" si="60"/>
        <v>2156.9600917876523</v>
      </c>
      <c r="CW92" s="506">
        <v>184146.96</v>
      </c>
      <c r="CX92" s="53">
        <v>0.92679992635648722</v>
      </c>
      <c r="CY92" s="507">
        <v>198691.16814017648</v>
      </c>
      <c r="CZ92" s="380">
        <f t="shared" si="61"/>
        <v>-699.16339353186777</v>
      </c>
      <c r="DA92" s="506">
        <v>184146.96</v>
      </c>
      <c r="DB92" s="53">
        <v>0.93120011077831821</v>
      </c>
      <c r="DC92" s="507">
        <v>197752.29606242827</v>
      </c>
      <c r="DD92" s="380">
        <f t="shared" si="62"/>
        <v>-938.87207774820854</v>
      </c>
      <c r="DE92" s="506">
        <v>184146.96</v>
      </c>
      <c r="DF92" s="53">
        <v>0.92994998180364785</v>
      </c>
      <c r="DG92" s="507">
        <v>198018.13388161481</v>
      </c>
      <c r="DH92" s="380">
        <f t="shared" si="63"/>
        <v>265.83781918653403</v>
      </c>
      <c r="DI92" s="506">
        <v>181659.75</v>
      </c>
      <c r="DJ92" s="53">
        <v>0.93195002815326489</v>
      </c>
      <c r="DK92" s="507">
        <v>194924.34627634878</v>
      </c>
      <c r="DL92" s="380">
        <f t="shared" si="64"/>
        <v>-3093.7876052660285</v>
      </c>
      <c r="DM92" s="506">
        <v>165801.25</v>
      </c>
      <c r="DN92" s="53">
        <v>0.93824987665418513</v>
      </c>
      <c r="DO92" s="507">
        <v>176713.31926122928</v>
      </c>
      <c r="DP92" s="380">
        <f t="shared" si="65"/>
        <v>-18211.0270151195</v>
      </c>
      <c r="DQ92" s="506">
        <v>165801.25</v>
      </c>
      <c r="DR92" s="53">
        <v>0.94195000839359433</v>
      </c>
      <c r="DS92" s="507">
        <v>176019.16080743837</v>
      </c>
      <c r="DT92" s="380">
        <f t="shared" si="66"/>
        <v>-694.15845379090752</v>
      </c>
      <c r="DU92" s="506">
        <v>165801.25</v>
      </c>
      <c r="DV92" s="53">
        <v>0.9373000236467175</v>
      </c>
      <c r="DW92" s="507">
        <v>176892.39925005377</v>
      </c>
      <c r="DX92" s="380">
        <f t="shared" si="67"/>
        <v>873.23844261540216</v>
      </c>
      <c r="DY92" s="506">
        <v>166841</v>
      </c>
      <c r="DZ92" s="53">
        <v>0.93435000000000001</v>
      </c>
      <c r="EA92" s="507">
        <v>178563.70739016429</v>
      </c>
      <c r="EB92" s="380">
        <f t="shared" si="68"/>
        <v>1671.3081401105155</v>
      </c>
      <c r="EC92" s="506">
        <v>166841</v>
      </c>
      <c r="ED92" s="53">
        <v>0.93379999999999996</v>
      </c>
      <c r="EE92" s="507">
        <v>178668.87984579141</v>
      </c>
      <c r="EF92" s="380">
        <f t="shared" si="69"/>
        <v>105.17245562712196</v>
      </c>
      <c r="EG92" s="506">
        <v>166841</v>
      </c>
      <c r="EH92" s="53">
        <v>0.93425000000000002</v>
      </c>
      <c r="EI92" s="507">
        <v>178582.82044420659</v>
      </c>
      <c r="EJ92" s="380">
        <f t="shared" si="70"/>
        <v>-86.059401584818261</v>
      </c>
      <c r="EK92" s="506">
        <v>154209</v>
      </c>
      <c r="EL92" s="53">
        <v>0.93684999999999996</v>
      </c>
      <c r="EM92" s="507">
        <v>164603.72524950633</v>
      </c>
      <c r="EN92" s="380">
        <f t="shared" si="71"/>
        <v>-13979.095194700261</v>
      </c>
      <c r="EO92" s="506">
        <v>154209</v>
      </c>
      <c r="EP92" s="53">
        <v>0.93189999999999995</v>
      </c>
      <c r="EQ92" s="507">
        <v>165478.05558536324</v>
      </c>
      <c r="ER92" s="380">
        <f t="shared" si="72"/>
        <v>874.3303358569101</v>
      </c>
      <c r="ES92" s="506">
        <v>151326</v>
      </c>
      <c r="ET92" s="53">
        <v>0.93494999999999995</v>
      </c>
      <c r="EU92" s="507">
        <v>161854.64463340287</v>
      </c>
      <c r="EV92" s="380">
        <f t="shared" si="73"/>
        <v>-3623.4109519603662</v>
      </c>
      <c r="EW92" s="506">
        <v>151326</v>
      </c>
      <c r="EX92" s="53">
        <v>0.93610000000000004</v>
      </c>
      <c r="EY92" s="507">
        <v>161655.80600363208</v>
      </c>
      <c r="EZ92" s="380">
        <f t="shared" si="74"/>
        <v>-198.83862977079116</v>
      </c>
      <c r="FA92" s="506">
        <v>151326</v>
      </c>
      <c r="FB92" s="53">
        <v>0.93505000000000005</v>
      </c>
      <c r="FC92" s="507">
        <v>161837.33490187689</v>
      </c>
      <c r="FD92" s="380">
        <f t="shared" si="75"/>
        <v>181.52889824481099</v>
      </c>
      <c r="FE92" s="506">
        <v>151039</v>
      </c>
      <c r="FF92" s="53">
        <v>0.93874999999999997</v>
      </c>
      <c r="FG92" s="507">
        <v>160893.741677763</v>
      </c>
      <c r="FH92" s="380">
        <f t="shared" si="76"/>
        <v>-943.59322411389439</v>
      </c>
      <c r="FI92" s="506">
        <v>151039</v>
      </c>
      <c r="FJ92" s="53">
        <v>0.93815000000000004</v>
      </c>
      <c r="FK92" s="507">
        <v>160996.64232798593</v>
      </c>
      <c r="FL92" s="380">
        <f t="shared" si="77"/>
        <v>102.90065022293129</v>
      </c>
      <c r="FM92" s="506">
        <v>151039</v>
      </c>
      <c r="FN92" s="53">
        <v>0.9395</v>
      </c>
      <c r="FO92" s="507">
        <v>160765.30069185738</v>
      </c>
      <c r="FP92" s="380">
        <f t="shared" si="78"/>
        <v>-231.341636128549</v>
      </c>
      <c r="FQ92" s="506">
        <v>151039</v>
      </c>
      <c r="FR92" s="53">
        <v>0.93674999999999997</v>
      </c>
      <c r="FS92" s="507">
        <v>161237.25647184416</v>
      </c>
      <c r="FT92" s="380">
        <f t="shared" si="79"/>
        <v>471.95577998677618</v>
      </c>
      <c r="FU92" s="506">
        <v>132404</v>
      </c>
      <c r="FV92" s="53">
        <v>0.93479999999999996</v>
      </c>
      <c r="FW92" s="507">
        <v>141638.85323063759</v>
      </c>
      <c r="FX92" s="380">
        <f t="shared" si="80"/>
        <v>-19598.403241206572</v>
      </c>
      <c r="FY92" s="506">
        <v>132404</v>
      </c>
      <c r="FZ92" s="53">
        <v>0.93189999999999995</v>
      </c>
      <c r="GA92" s="507">
        <v>142079.62227706835</v>
      </c>
      <c r="GB92" s="380">
        <f t="shared" si="81"/>
        <v>440.76904643076705</v>
      </c>
      <c r="GC92" s="506">
        <v>132404</v>
      </c>
      <c r="GD92" s="53">
        <v>0.93559999999999999</v>
      </c>
      <c r="GE92" s="507">
        <v>141517.74262505345</v>
      </c>
      <c r="GF92" s="380">
        <f t="shared" si="82"/>
        <v>-561.87965201490442</v>
      </c>
      <c r="GG92" s="506">
        <v>132404</v>
      </c>
      <c r="GH92" s="53">
        <v>0.93830000000000002</v>
      </c>
      <c r="GI92" s="507">
        <v>141110.51902376639</v>
      </c>
      <c r="GJ92" s="380">
        <f t="shared" si="83"/>
        <v>-407.22360128705623</v>
      </c>
      <c r="GK92" s="506">
        <v>127266</v>
      </c>
      <c r="GL92" s="53">
        <v>0.93625000000000003</v>
      </c>
      <c r="GM92" s="507">
        <v>135931.6421895861</v>
      </c>
      <c r="GN92" s="380">
        <f t="shared" si="84"/>
        <v>-5178.8768341802934</v>
      </c>
      <c r="GO92" s="506">
        <v>127266</v>
      </c>
      <c r="GP92" s="53">
        <v>0.93384999999999996</v>
      </c>
      <c r="GQ92" s="507">
        <v>136280.98731059593</v>
      </c>
      <c r="GR92" s="380">
        <f t="shared" si="85"/>
        <v>349.34512100982829</v>
      </c>
      <c r="GS92" s="506">
        <v>130239</v>
      </c>
      <c r="GT92" s="53">
        <v>0.93435000000000001</v>
      </c>
      <c r="GU92" s="507">
        <v>139389.95023278214</v>
      </c>
      <c r="GV92" s="380">
        <f t="shared" si="86"/>
        <v>3108.9629221862124</v>
      </c>
      <c r="GW92" s="506">
        <v>130239</v>
      </c>
      <c r="GX92" s="53">
        <v>0.93384999999999996</v>
      </c>
      <c r="GY92" s="507">
        <v>139464.58210633401</v>
      </c>
      <c r="GZ92" s="380">
        <f t="shared" si="87"/>
        <v>74.631873551872559</v>
      </c>
      <c r="HA92" s="506">
        <v>130239</v>
      </c>
      <c r="HB92" s="53">
        <v>0.93540000000000001</v>
      </c>
      <c r="HC92" s="507">
        <v>139233.48300192432</v>
      </c>
      <c r="HD92" s="380">
        <f t="shared" si="88"/>
        <v>-231.09910440968815</v>
      </c>
      <c r="HE92" s="506">
        <v>130239</v>
      </c>
      <c r="HF92" s="53">
        <v>0.93725000000000003</v>
      </c>
      <c r="HG92" s="507">
        <v>138958.65564150439</v>
      </c>
      <c r="HH92" s="380">
        <f t="shared" si="89"/>
        <v>-274.82736041993485</v>
      </c>
      <c r="HI92" s="506">
        <v>130239</v>
      </c>
      <c r="HJ92" s="53">
        <v>0.93635000000000002</v>
      </c>
      <c r="HK92" s="507">
        <v>139092.21978960859</v>
      </c>
      <c r="HL92" s="380">
        <f t="shared" si="90"/>
        <v>133.56414810419665</v>
      </c>
      <c r="HM92" s="506">
        <v>127356</v>
      </c>
      <c r="HN92" s="53">
        <v>0.93884999999999996</v>
      </c>
      <c r="HO92" s="507">
        <v>135651.06247004314</v>
      </c>
      <c r="HP92" s="380">
        <f t="shared" si="91"/>
        <v>-3441.1573195654491</v>
      </c>
      <c r="HQ92" s="506">
        <v>126361</v>
      </c>
      <c r="HR92" s="53">
        <v>0.93855</v>
      </c>
      <c r="HS92" s="507">
        <v>134634.27627723617</v>
      </c>
      <c r="HT92" s="380">
        <f t="shared" si="92"/>
        <v>-1016.7861928069615</v>
      </c>
      <c r="HU92" s="506">
        <v>126361</v>
      </c>
      <c r="HV92" s="53">
        <v>0.94035000000000002</v>
      </c>
      <c r="HW92" s="507">
        <v>134376.56191843463</v>
      </c>
      <c r="HX92" s="380">
        <f t="shared" si="93"/>
        <v>-257.71435880154604</v>
      </c>
      <c r="HY92" s="506">
        <v>126361</v>
      </c>
      <c r="HZ92" s="53">
        <v>0.93579999999999997</v>
      </c>
      <c r="IA92" s="507">
        <v>135029.92092327421</v>
      </c>
      <c r="IB92" s="380">
        <f t="shared" si="94"/>
        <v>653.3590048395854</v>
      </c>
      <c r="IC92" s="506">
        <v>126361</v>
      </c>
      <c r="ID92" s="53">
        <v>0.93579999999999997</v>
      </c>
      <c r="IE92" s="507">
        <v>135029.92092327421</v>
      </c>
      <c r="IF92" s="380">
        <f t="shared" si="95"/>
        <v>0</v>
      </c>
      <c r="IG92" s="506">
        <v>126361</v>
      </c>
      <c r="IH92" s="53">
        <v>0.93579999999999997</v>
      </c>
      <c r="II92" s="507">
        <v>135029.92092327421</v>
      </c>
      <c r="IJ92" s="380">
        <f t="shared" si="96"/>
        <v>0</v>
      </c>
      <c r="IK92" s="506">
        <v>126361</v>
      </c>
      <c r="IL92" s="53">
        <v>0.93579999999999997</v>
      </c>
      <c r="IM92" s="507">
        <v>135029.92092327421</v>
      </c>
      <c r="IN92" s="380">
        <f t="shared" si="97"/>
        <v>0</v>
      </c>
      <c r="IO92" s="506">
        <v>126361</v>
      </c>
      <c r="IP92" s="53">
        <v>0.93579999999999997</v>
      </c>
      <c r="IQ92" s="507">
        <v>135029.92092327421</v>
      </c>
      <c r="IR92" s="380">
        <f t="shared" si="98"/>
        <v>0</v>
      </c>
      <c r="IS92" s="506">
        <v>109617</v>
      </c>
      <c r="IT92" s="53">
        <v>0.93579999999999997</v>
      </c>
      <c r="IU92" s="507">
        <v>117137.20880530028</v>
      </c>
      <c r="IV92" s="380">
        <f t="shared" si="99"/>
        <v>-17892.712117973933</v>
      </c>
      <c r="IW92" s="506">
        <v>109617</v>
      </c>
      <c r="IX92" s="53">
        <v>0.93874999999999997</v>
      </c>
      <c r="IY92" s="507">
        <v>116769.10785619175</v>
      </c>
      <c r="IZ92" s="380">
        <f t="shared" si="100"/>
        <v>-368.10094910852786</v>
      </c>
    </row>
    <row r="93" spans="1:260">
      <c r="A93" s="13" t="s">
        <v>552</v>
      </c>
      <c r="B93" s="13" t="s">
        <v>556</v>
      </c>
      <c r="C93" s="13" t="s">
        <v>431</v>
      </c>
      <c r="D93" s="13" t="s">
        <v>304</v>
      </c>
      <c r="E93" s="13" t="s">
        <v>259</v>
      </c>
      <c r="F93" s="13" t="s">
        <v>650</v>
      </c>
      <c r="G93" s="13"/>
      <c r="H93" s="49" t="s">
        <v>651</v>
      </c>
      <c r="I93" s="14">
        <f>+'Summary - Colar'!L13</f>
        <v>9125</v>
      </c>
      <c r="J93" s="14">
        <f>+VLOOKUP(E93,'Summary - Colar'!$M$39:$N$54,2,FALSE)</f>
        <v>4.8617999999999997</v>
      </c>
      <c r="K93" s="14">
        <f t="shared" si="101"/>
        <v>1876.8768768768771</v>
      </c>
      <c r="L93" s="506">
        <v>462451.58</v>
      </c>
      <c r="M93" s="53">
        <v>4.8617999300000001</v>
      </c>
      <c r="N93" s="507">
        <v>95119.418046476465</v>
      </c>
      <c r="O93" s="506">
        <v>831271.58</v>
      </c>
      <c r="P93" s="53">
        <v>4.8617999300000001</v>
      </c>
      <c r="Q93" s="507">
        <v>170980.21143786554</v>
      </c>
      <c r="R93" s="506">
        <v>400519.29</v>
      </c>
      <c r="S93" s="53">
        <v>4.8617999300000001</v>
      </c>
      <c r="T93" s="507">
        <v>82380.866297803412</v>
      </c>
      <c r="U93" s="506">
        <v>10499.07</v>
      </c>
      <c r="V93" s="53">
        <v>4.8617999300000001</v>
      </c>
      <c r="W93" s="507">
        <v>2159.5026844307022</v>
      </c>
      <c r="X93" s="506">
        <v>229449.34</v>
      </c>
      <c r="Y93" s="53">
        <v>4.8617999300000001</v>
      </c>
      <c r="Z93" s="507">
        <v>47194.319656012667</v>
      </c>
      <c r="AA93" s="506">
        <v>243408.34</v>
      </c>
      <c r="AB93" s="53">
        <v>4.8617999300000001</v>
      </c>
      <c r="AC93" s="507">
        <v>50065.478527414431</v>
      </c>
      <c r="AD93" s="506">
        <v>243408.34</v>
      </c>
      <c r="AE93" s="53">
        <v>4.8617999300000001</v>
      </c>
      <c r="AF93" s="507">
        <v>50065.478527414431</v>
      </c>
      <c r="AG93" s="506">
        <v>716945.79</v>
      </c>
      <c r="AH93" s="53">
        <v>4.8617999300000001</v>
      </c>
      <c r="AI93" s="507">
        <v>147465.09529856362</v>
      </c>
      <c r="AJ93" s="506">
        <v>150036.18</v>
      </c>
      <c r="AK93" s="53">
        <v>4.8617999300000001</v>
      </c>
      <c r="AL93" s="507">
        <v>30860.212711385677</v>
      </c>
      <c r="AM93" s="506">
        <v>238382.92</v>
      </c>
      <c r="AN93" s="53">
        <v>4.8617999300000001</v>
      </c>
      <c r="AO93" s="507">
        <v>49031.824310384574</v>
      </c>
      <c r="AP93" s="506">
        <v>337129.81</v>
      </c>
      <c r="AQ93" s="53">
        <v>4.8617999300000001</v>
      </c>
      <c r="AR93" s="507">
        <v>69342.592219750179</v>
      </c>
      <c r="AS93" s="506">
        <v>1168604</v>
      </c>
      <c r="AT93" s="53">
        <v>4.8617999999999997</v>
      </c>
      <c r="AU93" s="507">
        <v>240364.47406310422</v>
      </c>
      <c r="AV93" s="506">
        <v>11927.3</v>
      </c>
      <c r="AW93" s="53">
        <v>4.8617999300000001</v>
      </c>
      <c r="AX93" s="507">
        <v>2453.2683721520393</v>
      </c>
      <c r="AY93" s="506">
        <v>13242.74</v>
      </c>
      <c r="AZ93" s="53">
        <v>4.8617999300000001</v>
      </c>
      <c r="BA93" s="507">
        <v>2723.834832915471</v>
      </c>
      <c r="BB93" s="506">
        <v>13242.74</v>
      </c>
      <c r="BC93" s="53">
        <v>4.8617999300000001</v>
      </c>
      <c r="BD93" s="507">
        <v>2723.834832915471</v>
      </c>
      <c r="BE93" s="506">
        <v>13242.74</v>
      </c>
      <c r="BF93" s="53">
        <v>4.8617999300000001</v>
      </c>
      <c r="BG93" s="507">
        <v>2723.834832915471</v>
      </c>
      <c r="BH93" s="380">
        <f t="shared" si="51"/>
        <v>2718.973032985471</v>
      </c>
      <c r="BI93" s="506">
        <v>13242.74</v>
      </c>
      <c r="BJ93" s="53">
        <v>4.8617999300000001</v>
      </c>
      <c r="BK93" s="507">
        <v>2723.834832915471</v>
      </c>
      <c r="BL93" s="380">
        <f t="shared" si="52"/>
        <v>0</v>
      </c>
      <c r="BM93" s="506">
        <v>13242.74</v>
      </c>
      <c r="BN93" s="53">
        <v>4.8617999300000001</v>
      </c>
      <c r="BO93" s="507">
        <v>2723.834832915471</v>
      </c>
      <c r="BP93">
        <v>18171.611598998898</v>
      </c>
      <c r="BQ93" s="506">
        <v>13242.74</v>
      </c>
      <c r="BR93" s="53">
        <v>4.8617999300000001</v>
      </c>
      <c r="BS93" s="507">
        <v>2723.834832915471</v>
      </c>
      <c r="BT93" s="380">
        <f t="shared" si="53"/>
        <v>0</v>
      </c>
      <c r="BU93" s="506">
        <v>13242.74</v>
      </c>
      <c r="BV93" s="53">
        <v>4.8617999300000001</v>
      </c>
      <c r="BW93" s="507">
        <v>2723.834832915471</v>
      </c>
      <c r="BX93" s="380">
        <f t="shared" si="54"/>
        <v>0</v>
      </c>
      <c r="BY93" s="506">
        <v>13242.74</v>
      </c>
      <c r="BZ93" s="53">
        <v>4.8617999300000001</v>
      </c>
      <c r="CA93" s="507">
        <v>2723.834832915471</v>
      </c>
      <c r="CB93" s="380">
        <f t="shared" si="55"/>
        <v>0</v>
      </c>
      <c r="CC93" s="506">
        <v>13242.74</v>
      </c>
      <c r="CD93" s="53">
        <v>4.8617999300000001</v>
      </c>
      <c r="CE93" s="507">
        <v>2723.834832915471</v>
      </c>
      <c r="CF93" s="380">
        <f t="shared" si="56"/>
        <v>0</v>
      </c>
      <c r="CG93" s="506">
        <v>54329.57</v>
      </c>
      <c r="CH93" s="53">
        <v>4.8617999300000001</v>
      </c>
      <c r="CI93" s="507">
        <v>11174.78521992574</v>
      </c>
      <c r="CJ93" s="380">
        <f t="shared" si="57"/>
        <v>8450.950387010269</v>
      </c>
      <c r="CK93" s="506">
        <v>54329.57</v>
      </c>
      <c r="CL93" s="53">
        <v>4.8617999300000001</v>
      </c>
      <c r="CM93" s="507">
        <v>11174.78521992574</v>
      </c>
      <c r="CN93" s="380">
        <f t="shared" si="58"/>
        <v>0</v>
      </c>
      <c r="CO93" s="506">
        <v>54329.57</v>
      </c>
      <c r="CP93" s="53">
        <v>4.8617999300000001</v>
      </c>
      <c r="CQ93" s="507">
        <v>11174.78521992574</v>
      </c>
      <c r="CR93" s="380">
        <f t="shared" si="59"/>
        <v>0</v>
      </c>
      <c r="CS93" s="506">
        <v>54329.57</v>
      </c>
      <c r="CT93" s="53">
        <v>4.8617999300000001</v>
      </c>
      <c r="CU93" s="507">
        <v>11174.78521992574</v>
      </c>
      <c r="CV93" s="380">
        <f t="shared" si="60"/>
        <v>0</v>
      </c>
      <c r="CW93" s="506">
        <v>54329.57</v>
      </c>
      <c r="CX93" s="53">
        <v>4.8617999300000001</v>
      </c>
      <c r="CY93" s="507">
        <v>11174.78521992574</v>
      </c>
      <c r="CZ93" s="380">
        <f t="shared" si="61"/>
        <v>0</v>
      </c>
      <c r="DA93" s="506">
        <v>99409.48</v>
      </c>
      <c r="DB93" s="53">
        <v>4.8617999300000001</v>
      </c>
      <c r="DC93" s="507">
        <v>20447.052826379877</v>
      </c>
      <c r="DD93" s="380">
        <f t="shared" si="62"/>
        <v>9272.2676064541374</v>
      </c>
      <c r="DE93" s="506">
        <v>99409.48</v>
      </c>
      <c r="DF93" s="53">
        <v>4.8617999300000001</v>
      </c>
      <c r="DG93" s="507">
        <v>20447.052826379877</v>
      </c>
      <c r="DH93" s="380">
        <f t="shared" si="63"/>
        <v>0</v>
      </c>
      <c r="DI93" s="506">
        <v>99409.48</v>
      </c>
      <c r="DJ93" s="53">
        <v>4.8617999300000001</v>
      </c>
      <c r="DK93" s="507">
        <v>20447.052826379877</v>
      </c>
      <c r="DL93" s="380">
        <f t="shared" si="64"/>
        <v>0</v>
      </c>
      <c r="DM93" s="506">
        <v>99409.48</v>
      </c>
      <c r="DN93" s="53">
        <v>4.8617999300000001</v>
      </c>
      <c r="DO93" s="507">
        <v>20447.052826379877</v>
      </c>
      <c r="DP93" s="380">
        <f t="shared" si="65"/>
        <v>0</v>
      </c>
      <c r="DQ93" s="506">
        <v>99409.48</v>
      </c>
      <c r="DR93" s="53">
        <v>4.8617999300000001</v>
      </c>
      <c r="DS93" s="507">
        <v>20447.052826379877</v>
      </c>
      <c r="DT93" s="380">
        <f t="shared" si="66"/>
        <v>0</v>
      </c>
      <c r="DU93" s="506">
        <v>99409.48</v>
      </c>
      <c r="DV93" s="53">
        <v>4.8617999300000001</v>
      </c>
      <c r="DW93" s="507">
        <v>20447.052826379877</v>
      </c>
      <c r="DX93" s="380">
        <f t="shared" si="67"/>
        <v>0</v>
      </c>
      <c r="DY93" s="506">
        <v>99409</v>
      </c>
      <c r="DZ93" s="53">
        <v>4.8617999999999997</v>
      </c>
      <c r="EA93" s="507">
        <v>20446.953803118187</v>
      </c>
      <c r="EB93" s="380">
        <f t="shared" si="68"/>
        <v>-9.9023261689580977E-2</v>
      </c>
      <c r="EC93" s="506">
        <v>99409</v>
      </c>
      <c r="ED93" s="53">
        <v>4.8617999999999997</v>
      </c>
      <c r="EE93" s="507">
        <v>20446.953803118187</v>
      </c>
      <c r="EF93" s="380">
        <f t="shared" si="69"/>
        <v>0</v>
      </c>
      <c r="EG93" s="506">
        <v>99409</v>
      </c>
      <c r="EH93" s="53">
        <v>4.8617999999999997</v>
      </c>
      <c r="EI93" s="507">
        <v>20446.953803118187</v>
      </c>
      <c r="EJ93" s="380">
        <f t="shared" si="70"/>
        <v>0</v>
      </c>
      <c r="EK93" s="506">
        <v>248954</v>
      </c>
      <c r="EL93" s="53">
        <v>4.8617999999999997</v>
      </c>
      <c r="EM93" s="507">
        <v>51206.137644493814</v>
      </c>
      <c r="EN93" s="380">
        <f t="shared" si="71"/>
        <v>30759.183841375627</v>
      </c>
      <c r="EO93" s="506">
        <v>248954</v>
      </c>
      <c r="EP93" s="53">
        <v>4.8617999999999997</v>
      </c>
      <c r="EQ93" s="507">
        <v>51206.137644493814</v>
      </c>
      <c r="ER93" s="380">
        <f t="shared" si="72"/>
        <v>0</v>
      </c>
      <c r="ES93" s="506">
        <v>248954</v>
      </c>
      <c r="ET93" s="53">
        <v>4.8617999999999997</v>
      </c>
      <c r="EU93" s="507">
        <v>51206.137644493814</v>
      </c>
      <c r="EV93" s="380">
        <f t="shared" si="73"/>
        <v>0</v>
      </c>
      <c r="EW93" s="506">
        <v>248954</v>
      </c>
      <c r="EX93" s="53">
        <v>4.8617999999999997</v>
      </c>
      <c r="EY93" s="507">
        <v>51206.137644493814</v>
      </c>
      <c r="EZ93" s="380">
        <f t="shared" si="74"/>
        <v>0</v>
      </c>
      <c r="FA93" s="506">
        <v>248954</v>
      </c>
      <c r="FB93" s="53">
        <v>4.8617999999999997</v>
      </c>
      <c r="FC93" s="507">
        <v>51206.137644493814</v>
      </c>
      <c r="FD93" s="380">
        <f t="shared" si="75"/>
        <v>0</v>
      </c>
      <c r="FE93" s="506">
        <v>368086</v>
      </c>
      <c r="FF93" s="53">
        <v>4.8617999999999997</v>
      </c>
      <c r="FG93" s="507">
        <v>75709.819408449548</v>
      </c>
      <c r="FH93" s="380">
        <f t="shared" si="76"/>
        <v>24503.681763955734</v>
      </c>
      <c r="FI93" s="506">
        <v>130086</v>
      </c>
      <c r="FJ93" s="53">
        <v>4.8617999999999997</v>
      </c>
      <c r="FK93" s="507">
        <v>26756.75675675676</v>
      </c>
      <c r="FL93" s="380">
        <f t="shared" si="77"/>
        <v>-48953.062651692788</v>
      </c>
      <c r="FM93" s="506">
        <v>147236</v>
      </c>
      <c r="FN93" s="53">
        <v>4.8617999999999997</v>
      </c>
      <c r="FO93" s="507">
        <v>30284.256859599329</v>
      </c>
      <c r="FP93" s="380">
        <f t="shared" si="78"/>
        <v>3527.5001028425686</v>
      </c>
      <c r="FQ93" s="506">
        <v>147236</v>
      </c>
      <c r="FR93" s="53">
        <v>4.8617999999999997</v>
      </c>
      <c r="FS93" s="507">
        <v>30284.256859599329</v>
      </c>
      <c r="FT93" s="380">
        <f t="shared" si="79"/>
        <v>0</v>
      </c>
      <c r="FU93" s="506">
        <v>147236</v>
      </c>
      <c r="FV93" s="53">
        <v>4.8617999999999997</v>
      </c>
      <c r="FW93" s="507">
        <v>30284.256859599329</v>
      </c>
      <c r="FX93" s="380">
        <f t="shared" si="80"/>
        <v>0</v>
      </c>
      <c r="FY93" s="506">
        <v>147236</v>
      </c>
      <c r="FZ93" s="53">
        <v>4.8617999999999997</v>
      </c>
      <c r="GA93" s="507">
        <v>30284.256859599329</v>
      </c>
      <c r="GB93" s="380">
        <f t="shared" si="81"/>
        <v>0</v>
      </c>
      <c r="GC93" s="506">
        <v>147236</v>
      </c>
      <c r="GD93" s="53">
        <v>4.8617999999999997</v>
      </c>
      <c r="GE93" s="507">
        <v>30284.256859599329</v>
      </c>
      <c r="GF93" s="380">
        <f t="shared" si="82"/>
        <v>0</v>
      </c>
      <c r="GG93" s="506">
        <v>351352</v>
      </c>
      <c r="GH93" s="53">
        <v>4.8617999999999997</v>
      </c>
      <c r="GI93" s="507">
        <v>72267.884322678845</v>
      </c>
      <c r="GJ93" s="380">
        <f t="shared" si="83"/>
        <v>41983.627463079516</v>
      </c>
      <c r="GK93" s="506">
        <v>351352</v>
      </c>
      <c r="GL93" s="53">
        <v>4.8617999999999997</v>
      </c>
      <c r="GM93" s="507">
        <v>72267.884322678845</v>
      </c>
      <c r="GN93" s="380">
        <f t="shared" si="84"/>
        <v>0</v>
      </c>
      <c r="GO93" s="506">
        <v>351352</v>
      </c>
      <c r="GP93" s="53">
        <v>4.8617999999999997</v>
      </c>
      <c r="GQ93" s="507">
        <v>72267.884322678845</v>
      </c>
      <c r="GR93" s="380">
        <f t="shared" si="85"/>
        <v>0</v>
      </c>
      <c r="GS93" s="506">
        <v>351352</v>
      </c>
      <c r="GT93" s="53">
        <v>4.8617999999999997</v>
      </c>
      <c r="GU93" s="507">
        <v>72267.884322678845</v>
      </c>
      <c r="GV93" s="380">
        <f t="shared" si="86"/>
        <v>0</v>
      </c>
      <c r="GW93" s="506">
        <v>351352</v>
      </c>
      <c r="GX93" s="53">
        <v>4.8617999999999997</v>
      </c>
      <c r="GY93" s="507">
        <v>72267.884322678845</v>
      </c>
      <c r="GZ93" s="380">
        <f t="shared" si="87"/>
        <v>0</v>
      </c>
      <c r="HA93" s="506">
        <v>351352</v>
      </c>
      <c r="HB93" s="53">
        <v>4.8617999999999997</v>
      </c>
      <c r="HC93" s="507">
        <v>72267.884322678845</v>
      </c>
      <c r="HD93" s="380">
        <f t="shared" si="88"/>
        <v>0</v>
      </c>
      <c r="HE93" s="506">
        <v>351352</v>
      </c>
      <c r="HF93" s="53">
        <v>4.8617999999999997</v>
      </c>
      <c r="HG93" s="507">
        <v>72267.884322678845</v>
      </c>
      <c r="HH93" s="380">
        <f t="shared" si="89"/>
        <v>0</v>
      </c>
      <c r="HI93" s="506">
        <v>351352</v>
      </c>
      <c r="HJ93" s="53">
        <v>4.8617999999999997</v>
      </c>
      <c r="HK93" s="507">
        <v>72267.884322678845</v>
      </c>
      <c r="HL93" s="380">
        <f t="shared" si="90"/>
        <v>0</v>
      </c>
      <c r="HM93" s="506">
        <v>351352</v>
      </c>
      <c r="HN93" s="53">
        <v>4.8617999999999997</v>
      </c>
      <c r="HO93" s="507">
        <v>72267.884322678845</v>
      </c>
      <c r="HP93" s="380">
        <f t="shared" si="91"/>
        <v>0</v>
      </c>
      <c r="HQ93" s="506">
        <v>352</v>
      </c>
      <c r="HR93" s="53">
        <v>4.8617999999999997</v>
      </c>
      <c r="HS93" s="507">
        <v>72.401168291579253</v>
      </c>
      <c r="HT93" s="380">
        <f t="shared" si="92"/>
        <v>-72195.483154387271</v>
      </c>
      <c r="HU93" s="506">
        <v>352</v>
      </c>
      <c r="HV93" s="53">
        <v>4.8617999999999997</v>
      </c>
      <c r="HW93" s="507">
        <v>72.401168291579253</v>
      </c>
      <c r="HX93" s="380">
        <f t="shared" si="93"/>
        <v>0</v>
      </c>
      <c r="HY93" s="506">
        <v>352</v>
      </c>
      <c r="HZ93" s="53">
        <v>4.8617999999999997</v>
      </c>
      <c r="IA93" s="507">
        <v>72.401168291579253</v>
      </c>
      <c r="IB93" s="380">
        <f t="shared" si="94"/>
        <v>0</v>
      </c>
      <c r="IC93" s="506">
        <v>252</v>
      </c>
      <c r="ID93" s="53">
        <v>4.8617999999999997</v>
      </c>
      <c r="IE93" s="507">
        <v>51.832654572380605</v>
      </c>
      <c r="IF93" s="380">
        <f t="shared" si="95"/>
        <v>-20.568513719198648</v>
      </c>
      <c r="IG93" s="506">
        <v>252</v>
      </c>
      <c r="IH93" s="53">
        <v>4.8617999999999997</v>
      </c>
      <c r="II93" s="507">
        <v>51.832654572380605</v>
      </c>
      <c r="IJ93" s="380">
        <f t="shared" si="96"/>
        <v>0</v>
      </c>
      <c r="IK93" s="506">
        <v>329125</v>
      </c>
      <c r="IL93" s="53">
        <v>4.8617999999999997</v>
      </c>
      <c r="IM93" s="507">
        <v>67696.120778312557</v>
      </c>
      <c r="IN93" s="380">
        <f t="shared" si="97"/>
        <v>67644.288123740174</v>
      </c>
      <c r="IO93" s="506">
        <v>329125</v>
      </c>
      <c r="IP93" s="53">
        <v>4.8617999999999997</v>
      </c>
      <c r="IQ93" s="507">
        <v>67696.120778312557</v>
      </c>
      <c r="IR93" s="380">
        <f t="shared" si="98"/>
        <v>0</v>
      </c>
      <c r="IS93" s="506">
        <v>329125</v>
      </c>
      <c r="IT93" s="53">
        <v>4.8617999999999997</v>
      </c>
      <c r="IU93" s="507">
        <v>67696.120778312557</v>
      </c>
      <c r="IV93" s="380">
        <f t="shared" si="99"/>
        <v>0</v>
      </c>
      <c r="IW93" s="506">
        <v>9125</v>
      </c>
      <c r="IX93" s="53">
        <v>4.8617999999999997</v>
      </c>
      <c r="IY93" s="507">
        <v>1876.8768768768771</v>
      </c>
      <c r="IZ93" s="380">
        <f t="shared" si="100"/>
        <v>-65819.243901435679</v>
      </c>
    </row>
    <row r="94" spans="1:260">
      <c r="A94" s="13" t="s">
        <v>558</v>
      </c>
      <c r="B94" s="13" t="s">
        <v>559</v>
      </c>
      <c r="C94" s="13" t="s">
        <v>446</v>
      </c>
      <c r="D94" s="13" t="s">
        <v>304</v>
      </c>
      <c r="E94" s="13" t="s">
        <v>16</v>
      </c>
      <c r="F94" s="13">
        <v>1373030274</v>
      </c>
      <c r="G94" s="13"/>
      <c r="H94" s="49" t="s">
        <v>652</v>
      </c>
      <c r="I94" s="14">
        <f>+'Summary - Colar'!L12</f>
        <v>555477</v>
      </c>
      <c r="J94" s="14">
        <f>+VLOOKUP(E94,'Summary - Colar'!$M$39:$N$54,2,FALSE)</f>
        <v>1.4857499999999999</v>
      </c>
      <c r="K94" s="14">
        <f t="shared" si="101"/>
        <v>373869.76274608786</v>
      </c>
      <c r="L94" s="506">
        <v>405087.9</v>
      </c>
      <c r="M94" s="53">
        <v>1.4168580060422962</v>
      </c>
      <c r="N94" s="507">
        <v>285905.78468164953</v>
      </c>
      <c r="O94" s="506">
        <v>674743.53</v>
      </c>
      <c r="P94" s="53">
        <v>1.411201829525166</v>
      </c>
      <c r="Q94" s="507">
        <v>478133.96771674696</v>
      </c>
      <c r="R94" s="506">
        <v>719666.79</v>
      </c>
      <c r="S94" s="53">
        <v>1.4089959496908975</v>
      </c>
      <c r="T94" s="507">
        <v>510765.69109931012</v>
      </c>
      <c r="U94" s="506">
        <v>425843.7</v>
      </c>
      <c r="V94" s="53">
        <v>1.4082454458293385</v>
      </c>
      <c r="W94" s="507">
        <v>302393.09579248365</v>
      </c>
      <c r="X94" s="506">
        <v>712627.71</v>
      </c>
      <c r="Y94" s="53">
        <v>1.4129417046110435</v>
      </c>
      <c r="Z94" s="507">
        <v>504357.4746745642</v>
      </c>
      <c r="AA94" s="506">
        <v>12117.21</v>
      </c>
      <c r="AB94" s="53">
        <v>1.4085455514118275</v>
      </c>
      <c r="AC94" s="507">
        <v>8602.6397853122726</v>
      </c>
      <c r="AD94" s="506">
        <v>12067.21</v>
      </c>
      <c r="AE94" s="53">
        <v>1.4017942355411339</v>
      </c>
      <c r="AF94" s="507">
        <v>8608.4032121459677</v>
      </c>
      <c r="AG94" s="506">
        <v>10967.21</v>
      </c>
      <c r="AH94" s="53">
        <v>1.4043855175930648</v>
      </c>
      <c r="AI94" s="507">
        <v>7809.2588271604927</v>
      </c>
      <c r="AJ94" s="506">
        <v>28625.21</v>
      </c>
      <c r="AK94" s="53">
        <v>1.3989986992907451</v>
      </c>
      <c r="AL94" s="507">
        <v>20461.212733444438</v>
      </c>
      <c r="AM94" s="506">
        <v>193696.15</v>
      </c>
      <c r="AN94" s="53">
        <v>1.4035109316525505</v>
      </c>
      <c r="AO94" s="507">
        <v>138008.29450749935</v>
      </c>
      <c r="AP94" s="506">
        <v>235040.18</v>
      </c>
      <c r="AQ94" s="53">
        <v>1.4448471637856743</v>
      </c>
      <c r="AR94" s="507">
        <v>162674.76996263486</v>
      </c>
      <c r="AS94" s="506">
        <v>1040</v>
      </c>
      <c r="AT94" s="53">
        <v>1.4539500000000001</v>
      </c>
      <c r="AU94" s="507">
        <v>715.29282299941531</v>
      </c>
      <c r="AV94" s="506">
        <v>1029.98</v>
      </c>
      <c r="AW94" s="53">
        <v>1.4452501077504245</v>
      </c>
      <c r="AX94" s="507">
        <v>712.66557565125879</v>
      </c>
      <c r="AY94" s="506">
        <v>54592.02</v>
      </c>
      <c r="AZ94" s="53">
        <v>1.4473416950185343</v>
      </c>
      <c r="BA94" s="507">
        <v>37718.819396895015</v>
      </c>
      <c r="BB94" s="506">
        <v>54592.02</v>
      </c>
      <c r="BC94" s="53">
        <v>1.4520977150571872</v>
      </c>
      <c r="BD94" s="507">
        <v>37595.27987264275</v>
      </c>
      <c r="BE94" s="506">
        <v>54592.02</v>
      </c>
      <c r="BF94" s="53">
        <v>1.4486499954386285</v>
      </c>
      <c r="BG94" s="507">
        <v>37684.754890342156</v>
      </c>
      <c r="BH94" s="380">
        <f t="shared" si="51"/>
        <v>37683.302792627095</v>
      </c>
      <c r="BI94" s="506">
        <v>54592.02</v>
      </c>
      <c r="BJ94" s="53">
        <v>1.4508411595530781</v>
      </c>
      <c r="BK94" s="507">
        <v>37627.840677484433</v>
      </c>
      <c r="BL94" s="380">
        <f t="shared" si="52"/>
        <v>-56.914212857722305</v>
      </c>
      <c r="BM94" s="506">
        <v>54592.02</v>
      </c>
      <c r="BN94" s="53">
        <v>1.4796010115200902</v>
      </c>
      <c r="BO94" s="507">
        <v>36896.446795419579</v>
      </c>
      <c r="BP94">
        <v>117547.08177405491</v>
      </c>
      <c r="BQ94" s="506">
        <v>105669.42</v>
      </c>
      <c r="BR94" s="53">
        <v>1.4811824932493252</v>
      </c>
      <c r="BS94" s="507">
        <v>71341.256382384759</v>
      </c>
      <c r="BT94" s="380">
        <f t="shared" si="53"/>
        <v>34444.809586965181</v>
      </c>
      <c r="BU94" s="506">
        <v>105669.42</v>
      </c>
      <c r="BV94" s="53">
        <v>1.4764895555867099</v>
      </c>
      <c r="BW94" s="507">
        <v>71568.01048823561</v>
      </c>
      <c r="BX94" s="380">
        <f t="shared" si="54"/>
        <v>226.75410585085046</v>
      </c>
      <c r="BY94" s="506">
        <v>105669.42</v>
      </c>
      <c r="BZ94" s="53">
        <v>1.4759101992768855</v>
      </c>
      <c r="CA94" s="507">
        <v>71596.103917279106</v>
      </c>
      <c r="CB94" s="380">
        <f t="shared" si="55"/>
        <v>28.093429043496144</v>
      </c>
      <c r="CC94" s="506">
        <v>142539.09</v>
      </c>
      <c r="CD94" s="53">
        <v>1.4879206577943545</v>
      </c>
      <c r="CE94" s="507">
        <v>95797.507248333612</v>
      </c>
      <c r="CF94" s="380">
        <f t="shared" si="56"/>
        <v>24201.403331054506</v>
      </c>
      <c r="CG94" s="506">
        <v>142539.09</v>
      </c>
      <c r="CH94" s="53">
        <v>1.4801416645585632</v>
      </c>
      <c r="CI94" s="507">
        <v>96300.978084088187</v>
      </c>
      <c r="CJ94" s="380">
        <f t="shared" si="57"/>
        <v>503.47083575457509</v>
      </c>
      <c r="CK94" s="506">
        <v>142539.09</v>
      </c>
      <c r="CL94" s="53">
        <v>1.4968447981807846</v>
      </c>
      <c r="CM94" s="507">
        <v>95226.365601321697</v>
      </c>
      <c r="CN94" s="380">
        <f t="shared" si="58"/>
        <v>-1074.6124827664898</v>
      </c>
      <c r="CO94" s="506">
        <v>142539.09</v>
      </c>
      <c r="CP94" s="53">
        <v>1.4975684668543641</v>
      </c>
      <c r="CQ94" s="507">
        <v>95180.349449666712</v>
      </c>
      <c r="CR94" s="380">
        <f t="shared" si="59"/>
        <v>-46.016151654985151</v>
      </c>
      <c r="CS94" s="506">
        <v>142539.09</v>
      </c>
      <c r="CT94" s="53">
        <v>1.4914606168748408</v>
      </c>
      <c r="CU94" s="507">
        <v>95570.133322508962</v>
      </c>
      <c r="CV94" s="380">
        <f t="shared" si="60"/>
        <v>389.78387284225028</v>
      </c>
      <c r="CW94" s="506">
        <v>142539.09</v>
      </c>
      <c r="CX94" s="53">
        <v>1.4929829038019904</v>
      </c>
      <c r="CY94" s="507">
        <v>95472.687354298396</v>
      </c>
      <c r="CZ94" s="380">
        <f t="shared" si="61"/>
        <v>-97.445968210566207</v>
      </c>
      <c r="DA94" s="506">
        <v>141439.09</v>
      </c>
      <c r="DB94" s="53">
        <v>1.4898992756903577</v>
      </c>
      <c r="DC94" s="507">
        <v>94931.981180045186</v>
      </c>
      <c r="DD94" s="380">
        <f t="shared" si="62"/>
        <v>-540.70617425320961</v>
      </c>
      <c r="DE94" s="506">
        <v>141439.09</v>
      </c>
      <c r="DF94" s="53">
        <v>1.5047578225460783</v>
      </c>
      <c r="DG94" s="507">
        <v>93994.586956645566</v>
      </c>
      <c r="DH94" s="380">
        <f t="shared" si="63"/>
        <v>-937.39422339962039</v>
      </c>
      <c r="DI94" s="506">
        <v>141439.09</v>
      </c>
      <c r="DJ94" s="53">
        <v>1.5021965443941787</v>
      </c>
      <c r="DK94" s="507">
        <v>94154.849794998707</v>
      </c>
      <c r="DL94" s="380">
        <f t="shared" si="64"/>
        <v>160.26283835314098</v>
      </c>
      <c r="DM94" s="506">
        <v>141439.09</v>
      </c>
      <c r="DN94" s="53">
        <v>1.4955936618189711</v>
      </c>
      <c r="DO94" s="507">
        <v>94570.533167397167</v>
      </c>
      <c r="DP94" s="380">
        <f t="shared" si="65"/>
        <v>415.68337239846005</v>
      </c>
      <c r="DQ94" s="506">
        <v>145123.9</v>
      </c>
      <c r="DR94" s="53">
        <v>1.4919498710322392</v>
      </c>
      <c r="DS94" s="507">
        <v>97271.297660686643</v>
      </c>
      <c r="DT94" s="380">
        <f t="shared" si="66"/>
        <v>2700.7644932894764</v>
      </c>
      <c r="DU94" s="506">
        <v>145123.9</v>
      </c>
      <c r="DV94" s="53">
        <v>1.4813999182855941</v>
      </c>
      <c r="DW94" s="507">
        <v>97964.025924849586</v>
      </c>
      <c r="DX94" s="380">
        <f t="shared" si="67"/>
        <v>692.72826416294265</v>
      </c>
      <c r="DY94" s="506">
        <v>145124</v>
      </c>
      <c r="DZ94" s="53">
        <v>1.4701500000000001</v>
      </c>
      <c r="EA94" s="507">
        <v>98713.736693534665</v>
      </c>
      <c r="EB94" s="380">
        <f t="shared" si="68"/>
        <v>749.71076868507953</v>
      </c>
      <c r="EC94" s="506">
        <v>156700</v>
      </c>
      <c r="ED94" s="53">
        <v>1.4619500000000001</v>
      </c>
      <c r="EE94" s="507">
        <v>107185.60826293648</v>
      </c>
      <c r="EF94" s="380">
        <f t="shared" si="69"/>
        <v>8471.8715694018174</v>
      </c>
      <c r="EG94" s="506">
        <v>156700</v>
      </c>
      <c r="EH94" s="53">
        <v>1.4600500000000001</v>
      </c>
      <c r="EI94" s="507">
        <v>107325.09160645182</v>
      </c>
      <c r="EJ94" s="380">
        <f t="shared" si="70"/>
        <v>139.4833435153414</v>
      </c>
      <c r="EK94" s="506">
        <v>156700</v>
      </c>
      <c r="EL94" s="53">
        <v>1.4666999999999999</v>
      </c>
      <c r="EM94" s="507">
        <v>106838.48094361492</v>
      </c>
      <c r="EN94" s="380">
        <f t="shared" si="71"/>
        <v>-486.61066283690161</v>
      </c>
      <c r="EO94" s="506">
        <v>156700</v>
      </c>
      <c r="EP94" s="53">
        <v>1.46435</v>
      </c>
      <c r="EQ94" s="507">
        <v>107009.93614914466</v>
      </c>
      <c r="ER94" s="380">
        <f t="shared" si="72"/>
        <v>171.45520552973903</v>
      </c>
      <c r="ES94" s="506">
        <v>156700</v>
      </c>
      <c r="ET94" s="53">
        <v>1.4601999999999999</v>
      </c>
      <c r="EU94" s="507">
        <v>107314.0665662238</v>
      </c>
      <c r="EV94" s="380">
        <f t="shared" si="73"/>
        <v>304.1304170791409</v>
      </c>
      <c r="EW94" s="506">
        <v>156700</v>
      </c>
      <c r="EX94" s="53">
        <v>1.45035</v>
      </c>
      <c r="EY94" s="507">
        <v>108042.88619988278</v>
      </c>
      <c r="EZ94" s="380">
        <f t="shared" si="74"/>
        <v>728.81963365897536</v>
      </c>
      <c r="FA94" s="506">
        <v>168690</v>
      </c>
      <c r="FB94" s="53">
        <v>1.4494</v>
      </c>
      <c r="FC94" s="507">
        <v>116386.09079619152</v>
      </c>
      <c r="FD94" s="380">
        <f t="shared" si="75"/>
        <v>8343.2045963087439</v>
      </c>
      <c r="FE94" s="506">
        <v>168690</v>
      </c>
      <c r="FF94" s="53">
        <v>1.4559500000000001</v>
      </c>
      <c r="FG94" s="507">
        <v>115862.49527799718</v>
      </c>
      <c r="FH94" s="380">
        <f t="shared" si="76"/>
        <v>-523.59551819434273</v>
      </c>
      <c r="FI94" s="506">
        <v>193816</v>
      </c>
      <c r="FJ94" s="53">
        <v>1.4536</v>
      </c>
      <c r="FK94" s="507">
        <v>133335.16785910842</v>
      </c>
      <c r="FL94" s="380">
        <f t="shared" si="77"/>
        <v>17472.672581111241</v>
      </c>
      <c r="FM94" s="506">
        <v>193816</v>
      </c>
      <c r="FN94" s="53">
        <v>1.45845</v>
      </c>
      <c r="FO94" s="507">
        <v>132891.76865850732</v>
      </c>
      <c r="FP94" s="380">
        <f t="shared" si="78"/>
        <v>-443.3992006010958</v>
      </c>
      <c r="FQ94" s="506">
        <v>193816</v>
      </c>
      <c r="FR94" s="53">
        <v>1.4572499999999999</v>
      </c>
      <c r="FS94" s="507">
        <v>133001.20089209126</v>
      </c>
      <c r="FT94" s="380">
        <f t="shared" si="79"/>
        <v>109.4322335839388</v>
      </c>
      <c r="FU94" s="506">
        <v>273104</v>
      </c>
      <c r="FV94" s="53">
        <v>1.4603999999999999</v>
      </c>
      <c r="FW94" s="507">
        <v>187006.29964393319</v>
      </c>
      <c r="FX94" s="380">
        <f t="shared" si="80"/>
        <v>54005.098751841928</v>
      </c>
      <c r="FY94" s="506">
        <v>273104</v>
      </c>
      <c r="FZ94" s="53">
        <v>1.4576499999999999</v>
      </c>
      <c r="GA94" s="507">
        <v>187359.10540939184</v>
      </c>
      <c r="GB94" s="380">
        <f t="shared" si="81"/>
        <v>352.8057654586446</v>
      </c>
      <c r="GC94" s="506">
        <v>273104</v>
      </c>
      <c r="GD94" s="53">
        <v>1.4608000000000001</v>
      </c>
      <c r="GE94" s="507">
        <v>186955.09309967139</v>
      </c>
      <c r="GF94" s="380">
        <f t="shared" si="82"/>
        <v>-404.01230972044868</v>
      </c>
      <c r="GG94" s="506">
        <v>273104</v>
      </c>
      <c r="GH94" s="53">
        <v>1.4618</v>
      </c>
      <c r="GI94" s="507">
        <v>186827.19934327542</v>
      </c>
      <c r="GJ94" s="380">
        <f t="shared" si="83"/>
        <v>-127.89375639596255</v>
      </c>
      <c r="GK94" s="506">
        <v>273104</v>
      </c>
      <c r="GL94" s="53">
        <v>1.45875</v>
      </c>
      <c r="GM94" s="507">
        <v>187217.82347900601</v>
      </c>
      <c r="GN94" s="380">
        <f t="shared" si="84"/>
        <v>390.62413573058438</v>
      </c>
      <c r="GO94" s="506">
        <v>273104</v>
      </c>
      <c r="GP94" s="53">
        <v>1.4540999999999999</v>
      </c>
      <c r="GQ94" s="507">
        <v>187816.51880888522</v>
      </c>
      <c r="GR94" s="380">
        <f t="shared" si="85"/>
        <v>598.69532987920684</v>
      </c>
      <c r="GS94" s="506">
        <v>253847</v>
      </c>
      <c r="GT94" s="53">
        <v>1.4633</v>
      </c>
      <c r="GU94" s="507">
        <v>173475.70559693841</v>
      </c>
      <c r="GV94" s="380">
        <f t="shared" si="86"/>
        <v>-14340.813211946806</v>
      </c>
      <c r="GW94" s="506">
        <v>253847</v>
      </c>
      <c r="GX94" s="53">
        <v>1.4684999999999999</v>
      </c>
      <c r="GY94" s="507">
        <v>172861.42322097378</v>
      </c>
      <c r="GZ94" s="380">
        <f t="shared" si="87"/>
        <v>-614.28237596462714</v>
      </c>
      <c r="HA94" s="506">
        <v>253847</v>
      </c>
      <c r="HB94" s="53">
        <v>1.4674</v>
      </c>
      <c r="HC94" s="507">
        <v>172991.00449775113</v>
      </c>
      <c r="HD94" s="380">
        <f t="shared" si="88"/>
        <v>129.58127677734592</v>
      </c>
      <c r="HE94" s="506">
        <v>253847</v>
      </c>
      <c r="HF94" s="53">
        <v>1.4676</v>
      </c>
      <c r="HG94" s="507">
        <v>172967.42981738894</v>
      </c>
      <c r="HH94" s="380">
        <f t="shared" si="89"/>
        <v>-23.574680362187792</v>
      </c>
      <c r="HI94" s="506">
        <v>253847</v>
      </c>
      <c r="HJ94" s="53">
        <v>1.4678</v>
      </c>
      <c r="HK94" s="507">
        <v>172943.86156152064</v>
      </c>
      <c r="HL94" s="380">
        <f t="shared" si="90"/>
        <v>-23.568255868303822</v>
      </c>
      <c r="HM94" s="506">
        <v>356961</v>
      </c>
      <c r="HN94" s="53">
        <v>1.4688000000000001</v>
      </c>
      <c r="HO94" s="507">
        <v>243029.00326797384</v>
      </c>
      <c r="HP94" s="380">
        <f t="shared" si="91"/>
        <v>70085.1417064532</v>
      </c>
      <c r="HQ94" s="506">
        <v>33446</v>
      </c>
      <c r="HR94" s="53">
        <v>1.4694</v>
      </c>
      <c r="HS94" s="507">
        <v>22761.671430515857</v>
      </c>
      <c r="HT94" s="380">
        <f t="shared" si="92"/>
        <v>-220267.33183745798</v>
      </c>
      <c r="HU94" s="506">
        <v>33446</v>
      </c>
      <c r="HV94" s="53">
        <v>1.4711000000000001</v>
      </c>
      <c r="HW94" s="507">
        <v>22735.368091904016</v>
      </c>
      <c r="HX94" s="380">
        <f t="shared" si="93"/>
        <v>-26.303338611840445</v>
      </c>
      <c r="HY94" s="506">
        <v>33446</v>
      </c>
      <c r="HZ94" s="53">
        <v>1.4773000000000001</v>
      </c>
      <c r="IA94" s="507">
        <v>22639.95126243823</v>
      </c>
      <c r="IB94" s="380">
        <f t="shared" si="94"/>
        <v>-95.416829465786577</v>
      </c>
      <c r="IC94" s="506">
        <v>500977</v>
      </c>
      <c r="ID94" s="53">
        <v>1.4773000000000001</v>
      </c>
      <c r="IE94" s="507">
        <v>339116.63169295335</v>
      </c>
      <c r="IF94" s="380">
        <f t="shared" si="95"/>
        <v>316476.68043051515</v>
      </c>
      <c r="IG94" s="506">
        <v>500977</v>
      </c>
      <c r="IH94" s="53">
        <v>1.4773000000000001</v>
      </c>
      <c r="II94" s="507">
        <v>339116.63169295335</v>
      </c>
      <c r="IJ94" s="380">
        <f t="shared" si="96"/>
        <v>0</v>
      </c>
      <c r="IK94" s="506">
        <v>555477</v>
      </c>
      <c r="IL94" s="53">
        <v>1.4773000000000001</v>
      </c>
      <c r="IM94" s="507">
        <v>376008.25830907736</v>
      </c>
      <c r="IN94" s="380">
        <f t="shared" si="97"/>
        <v>36891.626616124006</v>
      </c>
      <c r="IO94" s="506">
        <v>555477</v>
      </c>
      <c r="IP94" s="53">
        <v>1.4773000000000001</v>
      </c>
      <c r="IQ94" s="507">
        <v>376008.25830907736</v>
      </c>
      <c r="IR94" s="380">
        <f t="shared" si="98"/>
        <v>0</v>
      </c>
      <c r="IS94" s="506">
        <v>555477</v>
      </c>
      <c r="IT94" s="53">
        <v>1.4773000000000001</v>
      </c>
      <c r="IU94" s="507">
        <v>376008.25830907736</v>
      </c>
      <c r="IV94" s="380">
        <f t="shared" si="99"/>
        <v>0</v>
      </c>
      <c r="IW94" s="506">
        <v>555477</v>
      </c>
      <c r="IX94" s="53">
        <v>1.4857499999999999</v>
      </c>
      <c r="IY94" s="507">
        <v>373869.76274608786</v>
      </c>
      <c r="IZ94" s="380">
        <f t="shared" si="100"/>
        <v>-2138.4955629894976</v>
      </c>
    </row>
    <row r="95" spans="1:260">
      <c r="A95" s="13" t="s">
        <v>558</v>
      </c>
      <c r="B95" s="13" t="s">
        <v>559</v>
      </c>
      <c r="C95" s="13" t="s">
        <v>446</v>
      </c>
      <c r="D95" s="13" t="s">
        <v>304</v>
      </c>
      <c r="E95" s="13" t="s">
        <v>16</v>
      </c>
      <c r="F95" s="13" t="s">
        <v>653</v>
      </c>
      <c r="G95" s="13"/>
      <c r="H95" s="49" t="s">
        <v>494</v>
      </c>
      <c r="I95" s="14" t="s">
        <v>494</v>
      </c>
      <c r="J95" s="14">
        <f>+VLOOKUP(E95,'Summary - Colar'!$M$39:$N$54,2,FALSE)</f>
        <v>1.4857499999999999</v>
      </c>
      <c r="K95" s="14"/>
      <c r="L95" s="506" t="s">
        <v>494</v>
      </c>
      <c r="M95" s="53">
        <v>1.4168580060422962</v>
      </c>
      <c r="N95" s="507"/>
      <c r="O95" s="506" t="s">
        <v>494</v>
      </c>
      <c r="P95" s="53">
        <v>1.411201829525166</v>
      </c>
      <c r="Q95" s="507"/>
      <c r="R95" s="506" t="s">
        <v>494</v>
      </c>
      <c r="S95" s="53">
        <v>1.4089959496908975</v>
      </c>
      <c r="T95" s="507"/>
      <c r="U95" s="506" t="s">
        <v>494</v>
      </c>
      <c r="V95" s="53">
        <v>1.4082454458293385</v>
      </c>
      <c r="W95" s="507"/>
      <c r="X95" s="506" t="s">
        <v>494</v>
      </c>
      <c r="Y95" s="53">
        <v>1.4129417046110435</v>
      </c>
      <c r="Z95" s="507"/>
      <c r="AA95" s="506" t="s">
        <v>494</v>
      </c>
      <c r="AB95" s="53">
        <v>1.4085455514118275</v>
      </c>
      <c r="AC95" s="507"/>
      <c r="AD95" s="506" t="s">
        <v>494</v>
      </c>
      <c r="AE95" s="53">
        <v>1.4017942355411339</v>
      </c>
      <c r="AF95" s="507"/>
      <c r="AG95" s="506" t="s">
        <v>494</v>
      </c>
      <c r="AH95" s="53">
        <v>1.4043855175930648</v>
      </c>
      <c r="AI95" s="507"/>
      <c r="AJ95" s="506" t="s">
        <v>494</v>
      </c>
      <c r="AK95" s="53">
        <v>1.3989986992907451</v>
      </c>
      <c r="AL95" s="507"/>
      <c r="AM95" s="506" t="s">
        <v>494</v>
      </c>
      <c r="AN95" s="53">
        <v>1.4035109316525505</v>
      </c>
      <c r="AO95" s="507"/>
      <c r="AP95" s="506" t="s">
        <v>494</v>
      </c>
      <c r="AQ95" s="53">
        <v>1.4448471637856743</v>
      </c>
      <c r="AR95" s="507"/>
      <c r="AS95" s="506" t="s">
        <v>494</v>
      </c>
      <c r="AT95" s="53">
        <v>1.4539500000000001</v>
      </c>
      <c r="AU95" s="507"/>
      <c r="AV95" s="506" t="s">
        <v>494</v>
      </c>
      <c r="AW95" s="53">
        <v>1.4452501077504245</v>
      </c>
      <c r="AX95" s="507"/>
      <c r="AY95" s="506" t="s">
        <v>494</v>
      </c>
      <c r="AZ95" s="53">
        <v>1.4473416950185343</v>
      </c>
      <c r="BA95" s="507"/>
      <c r="BB95" s="506" t="s">
        <v>494</v>
      </c>
      <c r="BC95" s="53">
        <v>1.4520977150571872</v>
      </c>
      <c r="BD95" s="507"/>
      <c r="BE95" s="506" t="s">
        <v>494</v>
      </c>
      <c r="BF95" s="53">
        <v>1.4486499954386285</v>
      </c>
      <c r="BG95" s="507"/>
      <c r="BH95" s="380">
        <f t="shared" si="51"/>
        <v>-1.4520977150571872</v>
      </c>
      <c r="BI95" s="506" t="s">
        <v>494</v>
      </c>
      <c r="BJ95" s="53">
        <v>1.4508411595530781</v>
      </c>
      <c r="BK95" s="507"/>
      <c r="BL95" s="380">
        <f t="shared" si="52"/>
        <v>0</v>
      </c>
      <c r="BM95" s="506" t="s">
        <v>494</v>
      </c>
      <c r="BN95" s="53">
        <v>1.4796010115200902</v>
      </c>
      <c r="BO95" s="507"/>
      <c r="BP95">
        <v>0</v>
      </c>
      <c r="BQ95" s="506" t="s">
        <v>494</v>
      </c>
      <c r="BR95" s="53">
        <v>1.4811824932493252</v>
      </c>
      <c r="BS95" s="507"/>
      <c r="BT95" s="380">
        <f t="shared" si="53"/>
        <v>0</v>
      </c>
      <c r="BU95" s="506" t="s">
        <v>494</v>
      </c>
      <c r="BV95" s="53">
        <v>1.4764895555867099</v>
      </c>
      <c r="BW95" s="507"/>
      <c r="BX95" s="380">
        <f t="shared" si="54"/>
        <v>0</v>
      </c>
      <c r="BY95" s="506" t="s">
        <v>494</v>
      </c>
      <c r="BZ95" s="53">
        <v>1.4759101992768855</v>
      </c>
      <c r="CA95" s="507"/>
      <c r="CB95" s="380">
        <f t="shared" si="55"/>
        <v>0</v>
      </c>
      <c r="CC95" s="506" t="s">
        <v>494</v>
      </c>
      <c r="CD95" s="53">
        <v>1.4879206577943545</v>
      </c>
      <c r="CE95" s="507"/>
      <c r="CF95" s="380">
        <f t="shared" si="56"/>
        <v>0</v>
      </c>
      <c r="CG95" s="506" t="s">
        <v>494</v>
      </c>
      <c r="CH95" s="53">
        <v>1.4801416645585632</v>
      </c>
      <c r="CI95" s="507"/>
      <c r="CJ95" s="380">
        <f t="shared" si="57"/>
        <v>0</v>
      </c>
      <c r="CK95" s="506" t="s">
        <v>494</v>
      </c>
      <c r="CL95" s="53">
        <v>1.4968447981807846</v>
      </c>
      <c r="CM95" s="507"/>
      <c r="CN95" s="380">
        <f t="shared" si="58"/>
        <v>0</v>
      </c>
      <c r="CO95" s="506" t="s">
        <v>494</v>
      </c>
      <c r="CP95" s="53">
        <v>1.4975684668543641</v>
      </c>
      <c r="CQ95" s="507"/>
      <c r="CR95" s="380">
        <f t="shared" si="59"/>
        <v>0</v>
      </c>
      <c r="CS95" s="506" t="s">
        <v>494</v>
      </c>
      <c r="CT95" s="53">
        <v>1.4914606168748408</v>
      </c>
      <c r="CU95" s="507"/>
      <c r="CV95" s="380">
        <f t="shared" si="60"/>
        <v>0</v>
      </c>
      <c r="CW95" s="506" t="s">
        <v>494</v>
      </c>
      <c r="CX95" s="53">
        <v>1.4929829038019904</v>
      </c>
      <c r="CY95" s="507"/>
      <c r="CZ95" s="380">
        <f t="shared" si="61"/>
        <v>0</v>
      </c>
      <c r="DA95" s="506" t="s">
        <v>494</v>
      </c>
      <c r="DB95" s="53">
        <v>1.4898992756903577</v>
      </c>
      <c r="DC95" s="507"/>
      <c r="DD95" s="380">
        <f t="shared" si="62"/>
        <v>0</v>
      </c>
      <c r="DE95" s="506" t="s">
        <v>494</v>
      </c>
      <c r="DF95" s="53">
        <v>1.5047578225460783</v>
      </c>
      <c r="DG95" s="507"/>
      <c r="DH95" s="380">
        <f t="shared" si="63"/>
        <v>0</v>
      </c>
      <c r="DI95" s="506" t="s">
        <v>494</v>
      </c>
      <c r="DJ95" s="53">
        <v>1.5021965443941787</v>
      </c>
      <c r="DK95" s="507"/>
      <c r="DL95" s="380">
        <f t="shared" si="64"/>
        <v>0</v>
      </c>
      <c r="DM95" s="506" t="s">
        <v>494</v>
      </c>
      <c r="DN95" s="53">
        <v>1.4955936618189711</v>
      </c>
      <c r="DO95" s="507"/>
      <c r="DP95" s="380">
        <f t="shared" si="65"/>
        <v>0</v>
      </c>
      <c r="DQ95" s="506" t="s">
        <v>494</v>
      </c>
      <c r="DR95" s="53">
        <v>1.4919498710322392</v>
      </c>
      <c r="DS95" s="507"/>
      <c r="DT95" s="380">
        <f t="shared" si="66"/>
        <v>0</v>
      </c>
      <c r="DU95" s="506" t="s">
        <v>494</v>
      </c>
      <c r="DV95" s="53">
        <v>1.4813999182855941</v>
      </c>
      <c r="DW95" s="507"/>
      <c r="DX95" s="380">
        <f t="shared" si="67"/>
        <v>0</v>
      </c>
      <c r="DY95" s="506" t="s">
        <v>494</v>
      </c>
      <c r="DZ95" s="53">
        <v>1.4701500000000001</v>
      </c>
      <c r="EA95" s="507"/>
      <c r="EB95" s="380">
        <f t="shared" si="68"/>
        <v>0</v>
      </c>
      <c r="EC95" s="506" t="s">
        <v>494</v>
      </c>
      <c r="ED95" s="53">
        <v>1.4619500000000001</v>
      </c>
      <c r="EE95" s="507"/>
      <c r="EF95" s="380">
        <f t="shared" si="69"/>
        <v>0</v>
      </c>
      <c r="EG95" s="506" t="s">
        <v>494</v>
      </c>
      <c r="EH95" s="53">
        <v>1.4600500000000001</v>
      </c>
      <c r="EI95" s="507"/>
      <c r="EJ95" s="380">
        <f t="shared" si="70"/>
        <v>0</v>
      </c>
      <c r="EK95" s="506" t="s">
        <v>494</v>
      </c>
      <c r="EL95" s="53">
        <v>1.4666999999999999</v>
      </c>
      <c r="EM95" s="507"/>
      <c r="EN95" s="380">
        <f t="shared" si="71"/>
        <v>0</v>
      </c>
      <c r="EO95" s="506" t="s">
        <v>494</v>
      </c>
      <c r="EP95" s="53">
        <v>1.46435</v>
      </c>
      <c r="EQ95" s="507"/>
      <c r="ER95" s="380">
        <f t="shared" si="72"/>
        <v>0</v>
      </c>
      <c r="ES95" s="506" t="s">
        <v>494</v>
      </c>
      <c r="ET95" s="53">
        <v>1.4601999999999999</v>
      </c>
      <c r="EU95" s="507"/>
      <c r="EV95" s="380">
        <f t="shared" si="73"/>
        <v>0</v>
      </c>
      <c r="EW95" s="506" t="s">
        <v>494</v>
      </c>
      <c r="EX95" s="53">
        <v>1.45035</v>
      </c>
      <c r="EY95" s="507"/>
      <c r="EZ95" s="380">
        <f t="shared" si="74"/>
        <v>0</v>
      </c>
      <c r="FA95" s="506" t="s">
        <v>494</v>
      </c>
      <c r="FB95" s="53">
        <v>1.4494</v>
      </c>
      <c r="FC95" s="507"/>
      <c r="FD95" s="380">
        <f t="shared" si="75"/>
        <v>0</v>
      </c>
      <c r="FE95" s="506" t="s">
        <v>494</v>
      </c>
      <c r="FF95" s="53">
        <v>1.4559500000000001</v>
      </c>
      <c r="FG95" s="507"/>
      <c r="FH95" s="380">
        <f t="shared" si="76"/>
        <v>0</v>
      </c>
      <c r="FI95" s="506" t="s">
        <v>494</v>
      </c>
      <c r="FJ95" s="53">
        <v>1.4536</v>
      </c>
      <c r="FK95" s="507"/>
      <c r="FL95" s="380">
        <f t="shared" si="77"/>
        <v>0</v>
      </c>
      <c r="FM95" s="506" t="s">
        <v>494</v>
      </c>
      <c r="FN95" s="53">
        <v>1.45845</v>
      </c>
      <c r="FO95" s="507"/>
      <c r="FP95" s="380">
        <f t="shared" si="78"/>
        <v>0</v>
      </c>
      <c r="FQ95" s="506" t="s">
        <v>494</v>
      </c>
      <c r="FR95" s="53">
        <v>1.4572499999999999</v>
      </c>
      <c r="FS95" s="507"/>
      <c r="FT95" s="380">
        <f t="shared" si="79"/>
        <v>0</v>
      </c>
      <c r="FU95" s="506" t="s">
        <v>494</v>
      </c>
      <c r="FV95" s="53">
        <v>1.4603999999999999</v>
      </c>
      <c r="FW95" s="507"/>
      <c r="FX95" s="380">
        <f t="shared" si="80"/>
        <v>0</v>
      </c>
      <c r="FY95" s="506" t="s">
        <v>494</v>
      </c>
      <c r="FZ95" s="53">
        <v>1.4576499999999999</v>
      </c>
      <c r="GA95" s="507"/>
      <c r="GB95" s="380">
        <f t="shared" si="81"/>
        <v>0</v>
      </c>
      <c r="GC95" s="506" t="s">
        <v>494</v>
      </c>
      <c r="GD95" s="53">
        <v>1.4608000000000001</v>
      </c>
      <c r="GE95" s="507"/>
      <c r="GF95" s="380">
        <f t="shared" si="82"/>
        <v>0</v>
      </c>
      <c r="GG95" s="506" t="s">
        <v>494</v>
      </c>
      <c r="GH95" s="53">
        <v>1.4618</v>
      </c>
      <c r="GI95" s="507"/>
      <c r="GJ95" s="380">
        <f t="shared" si="83"/>
        <v>0</v>
      </c>
      <c r="GK95" s="506" t="s">
        <v>494</v>
      </c>
      <c r="GL95" s="53">
        <v>1.45875</v>
      </c>
      <c r="GM95" s="507"/>
      <c r="GN95" s="380">
        <f t="shared" si="84"/>
        <v>0</v>
      </c>
      <c r="GO95" s="506" t="s">
        <v>494</v>
      </c>
      <c r="GP95" s="53">
        <v>1.4540999999999999</v>
      </c>
      <c r="GQ95" s="507"/>
      <c r="GR95" s="380">
        <f t="shared" si="85"/>
        <v>0</v>
      </c>
      <c r="GS95" s="506" t="s">
        <v>494</v>
      </c>
      <c r="GT95" s="53">
        <v>1.4633</v>
      </c>
      <c r="GU95" s="507"/>
      <c r="GV95" s="380">
        <f t="shared" si="86"/>
        <v>0</v>
      </c>
      <c r="GW95" s="506" t="s">
        <v>494</v>
      </c>
      <c r="GX95" s="53">
        <v>1.4684999999999999</v>
      </c>
      <c r="GY95" s="507"/>
      <c r="GZ95" s="380">
        <f t="shared" si="87"/>
        <v>0</v>
      </c>
      <c r="HA95" s="506" t="s">
        <v>494</v>
      </c>
      <c r="HB95" s="53">
        <v>1.4674</v>
      </c>
      <c r="HC95" s="507"/>
      <c r="HD95" s="380">
        <f t="shared" si="88"/>
        <v>0</v>
      </c>
      <c r="HE95" s="506" t="s">
        <v>494</v>
      </c>
      <c r="HF95" s="53">
        <v>1.4676</v>
      </c>
      <c r="HG95" s="507"/>
      <c r="HH95" s="380">
        <f t="shared" si="89"/>
        <v>0</v>
      </c>
      <c r="HI95" s="506" t="s">
        <v>494</v>
      </c>
      <c r="HJ95" s="53">
        <v>1.4678</v>
      </c>
      <c r="HK95" s="507"/>
      <c r="HL95" s="380">
        <f t="shared" si="90"/>
        <v>0</v>
      </c>
      <c r="HM95" s="506" t="s">
        <v>494</v>
      </c>
      <c r="HN95" s="53">
        <v>1.4688000000000001</v>
      </c>
      <c r="HO95" s="507"/>
      <c r="HP95" s="380">
        <f t="shared" si="91"/>
        <v>0</v>
      </c>
      <c r="HQ95" s="506" t="s">
        <v>494</v>
      </c>
      <c r="HR95" s="53">
        <v>1.4694</v>
      </c>
      <c r="HS95" s="507"/>
      <c r="HT95" s="380">
        <f t="shared" si="92"/>
        <v>0</v>
      </c>
      <c r="HU95" s="506" t="s">
        <v>494</v>
      </c>
      <c r="HV95" s="53">
        <v>1.4711000000000001</v>
      </c>
      <c r="HW95" s="507"/>
      <c r="HX95" s="380">
        <f t="shared" si="93"/>
        <v>0</v>
      </c>
      <c r="HY95" s="506" t="s">
        <v>494</v>
      </c>
      <c r="HZ95" s="53">
        <v>1.4773000000000001</v>
      </c>
      <c r="IA95" s="507"/>
      <c r="IB95" s="380">
        <f t="shared" si="94"/>
        <v>0</v>
      </c>
      <c r="IC95" s="506" t="s">
        <v>494</v>
      </c>
      <c r="ID95" s="53">
        <v>1.4773000000000001</v>
      </c>
      <c r="IE95" s="507"/>
      <c r="IF95" s="380">
        <f t="shared" si="95"/>
        <v>0</v>
      </c>
      <c r="IG95" s="506" t="s">
        <v>494</v>
      </c>
      <c r="IH95" s="53">
        <v>1.4773000000000001</v>
      </c>
      <c r="II95" s="507"/>
      <c r="IJ95" s="380">
        <f t="shared" si="96"/>
        <v>0</v>
      </c>
      <c r="IK95" s="506" t="s">
        <v>494</v>
      </c>
      <c r="IL95" s="53">
        <v>1.4773000000000001</v>
      </c>
      <c r="IM95" s="507"/>
      <c r="IN95" s="380">
        <f t="shared" si="97"/>
        <v>0</v>
      </c>
      <c r="IO95" s="506" t="s">
        <v>494</v>
      </c>
      <c r="IP95" s="53">
        <v>1.4773000000000001</v>
      </c>
      <c r="IQ95" s="507"/>
      <c r="IR95" s="380">
        <f t="shared" si="98"/>
        <v>0</v>
      </c>
      <c r="IS95" s="506" t="s">
        <v>494</v>
      </c>
      <c r="IT95" s="53">
        <v>1.4773000000000001</v>
      </c>
      <c r="IU95" s="507"/>
      <c r="IV95" s="380">
        <f t="shared" si="99"/>
        <v>0</v>
      </c>
      <c r="IW95" s="506" t="s">
        <v>494</v>
      </c>
      <c r="IX95" s="53">
        <v>1.4857499999999999</v>
      </c>
      <c r="IY95" s="507"/>
      <c r="IZ95" s="380">
        <f t="shared" si="100"/>
        <v>0</v>
      </c>
    </row>
    <row r="96" spans="1:260">
      <c r="A96" s="13" t="s">
        <v>647</v>
      </c>
      <c r="B96" s="13" t="s">
        <v>648</v>
      </c>
      <c r="C96" s="13" t="s">
        <v>417</v>
      </c>
      <c r="D96" s="13" t="s">
        <v>306</v>
      </c>
      <c r="E96" s="13" t="s">
        <v>9</v>
      </c>
      <c r="F96" s="13" t="s">
        <v>654</v>
      </c>
      <c r="G96" s="13" t="s">
        <v>421</v>
      </c>
      <c r="H96" s="49"/>
      <c r="I96" s="14">
        <f>VLOOKUP(G96,'HSBC - Banco'!B:G,6,FALSE)</f>
        <v>60065.84</v>
      </c>
      <c r="J96" s="14">
        <f>+VLOOKUP(E96,'Summary - Colar'!$M$39:$N$54,2,FALSE)</f>
        <v>0.93874999999999997</v>
      </c>
      <c r="K96" s="14">
        <f t="shared" si="101"/>
        <v>63984.916111850864</v>
      </c>
      <c r="L96" s="506"/>
      <c r="M96" s="53"/>
      <c r="N96" s="507"/>
      <c r="O96" s="506"/>
      <c r="P96" s="53"/>
      <c r="Q96" s="507"/>
      <c r="R96" s="506"/>
      <c r="S96" s="53"/>
      <c r="T96" s="507"/>
      <c r="U96" s="506"/>
      <c r="V96" s="53"/>
      <c r="W96" s="507"/>
      <c r="X96" s="506"/>
      <c r="Y96" s="53"/>
      <c r="Z96" s="507"/>
      <c r="AA96" s="506"/>
      <c r="AB96" s="53"/>
      <c r="AC96" s="507"/>
      <c r="AD96" s="506"/>
      <c r="AE96" s="53"/>
      <c r="AF96" s="507"/>
      <c r="AG96" s="506"/>
      <c r="AH96" s="53"/>
      <c r="AI96" s="507"/>
      <c r="AJ96" s="506"/>
      <c r="AK96" s="53"/>
      <c r="AL96" s="507"/>
      <c r="AM96" s="506"/>
      <c r="AN96" s="53"/>
      <c r="AO96" s="507"/>
      <c r="AP96" s="506"/>
      <c r="AQ96" s="53"/>
      <c r="AR96" s="507"/>
      <c r="AS96" s="506"/>
      <c r="AT96" s="53"/>
      <c r="AU96" s="507"/>
      <c r="AV96" s="506">
        <v>4950</v>
      </c>
      <c r="AW96" s="53">
        <v>0.95460004628670969</v>
      </c>
      <c r="AX96" s="507">
        <v>5185.417724684763</v>
      </c>
      <c r="AY96" s="506">
        <v>4950</v>
      </c>
      <c r="AZ96" s="53">
        <v>0.95169988960021024</v>
      </c>
      <c r="BA96" s="507">
        <v>5201.21947484873</v>
      </c>
      <c r="BB96" s="506">
        <v>4950</v>
      </c>
      <c r="BC96" s="53">
        <v>0.95369987765870579</v>
      </c>
      <c r="BD96" s="507">
        <v>5190.3120845019375</v>
      </c>
      <c r="BE96" s="506">
        <v>4950</v>
      </c>
      <c r="BF96" s="53">
        <v>0.95165006798770702</v>
      </c>
      <c r="BG96" s="507">
        <v>5201.4917736168773</v>
      </c>
      <c r="BH96" s="380">
        <f t="shared" si="51"/>
        <v>5200.5380737392188</v>
      </c>
      <c r="BI96" s="506">
        <v>4950</v>
      </c>
      <c r="BJ96" s="53">
        <v>0.95419996244501371</v>
      </c>
      <c r="BK96" s="507">
        <v>5187.5919040242534</v>
      </c>
      <c r="BL96" s="380">
        <f t="shared" si="52"/>
        <v>-13.899869592623872</v>
      </c>
      <c r="BM96" s="506">
        <v>4950</v>
      </c>
      <c r="BN96" s="53">
        <v>0.95360009958744285</v>
      </c>
      <c r="BO96" s="507">
        <v>5190.8551626006793</v>
      </c>
      <c r="BP96">
        <f>SUM(BP3:BP95)</f>
        <v>-4281565.4857855383</v>
      </c>
      <c r="BQ96" s="506">
        <v>4950</v>
      </c>
      <c r="BR96" s="53">
        <v>0.94094993650071412</v>
      </c>
      <c r="BS96" s="507">
        <v>5260.6411967128533</v>
      </c>
      <c r="BT96" s="380">
        <f t="shared" si="53"/>
        <v>69.786034112174093</v>
      </c>
      <c r="BU96" s="506">
        <v>4950</v>
      </c>
      <c r="BV96" s="53">
        <v>0.93814995922633604</v>
      </c>
      <c r="BW96" s="507">
        <v>5276.3419657152845</v>
      </c>
      <c r="BX96" s="380">
        <f t="shared" si="54"/>
        <v>15.700769002431116</v>
      </c>
      <c r="BY96" s="506">
        <v>4950</v>
      </c>
      <c r="BZ96" s="53">
        <v>0.93449988490420532</v>
      </c>
      <c r="CA96" s="507">
        <v>5296.9508931586652</v>
      </c>
      <c r="CB96" s="380">
        <f t="shared" si="55"/>
        <v>20.608927443380708</v>
      </c>
      <c r="CC96" s="506">
        <v>4950</v>
      </c>
      <c r="CD96" s="53">
        <v>0.9272498819158187</v>
      </c>
      <c r="CE96" s="507">
        <v>5338.3668162595577</v>
      </c>
      <c r="CF96" s="380">
        <f t="shared" si="56"/>
        <v>41.415923100892542</v>
      </c>
      <c r="CG96" s="506">
        <v>4950</v>
      </c>
      <c r="CH96" s="53">
        <v>0.9297500076516424</v>
      </c>
      <c r="CI96" s="507">
        <v>5324.0117873219315</v>
      </c>
      <c r="CJ96" s="380">
        <f t="shared" si="57"/>
        <v>-14.35502893762623</v>
      </c>
      <c r="CK96" s="506">
        <v>4950</v>
      </c>
      <c r="CL96" s="53">
        <v>0.92415005289795293</v>
      </c>
      <c r="CM96" s="507">
        <v>5356.2730256604682</v>
      </c>
      <c r="CN96" s="380">
        <f t="shared" si="58"/>
        <v>32.261238338536714</v>
      </c>
      <c r="CO96" s="506">
        <v>4950</v>
      </c>
      <c r="CP96" s="53">
        <v>0.93365011536207365</v>
      </c>
      <c r="CQ96" s="507">
        <v>5301.7719577749613</v>
      </c>
      <c r="CR96" s="380">
        <f t="shared" si="59"/>
        <v>-54.501067885506927</v>
      </c>
      <c r="CS96" s="506">
        <v>4950</v>
      </c>
      <c r="CT96" s="53">
        <v>0.92355009685546685</v>
      </c>
      <c r="CU96" s="507">
        <v>5359.7525644292818</v>
      </c>
      <c r="CV96" s="380">
        <f t="shared" si="60"/>
        <v>57.980606654320582</v>
      </c>
      <c r="CW96" s="506">
        <v>4950</v>
      </c>
      <c r="CX96" s="53">
        <v>0.92679992635648722</v>
      </c>
      <c r="CY96" s="507">
        <v>5340.9585599125485</v>
      </c>
      <c r="CZ96" s="380">
        <f t="shared" si="61"/>
        <v>-18.794004516733366</v>
      </c>
      <c r="DA96" s="506">
        <v>4950</v>
      </c>
      <c r="DB96" s="53">
        <v>0.93120011077831821</v>
      </c>
      <c r="DC96" s="507">
        <v>5315.7210171105735</v>
      </c>
      <c r="DD96" s="380">
        <f t="shared" si="62"/>
        <v>-25.237542801974996</v>
      </c>
      <c r="DE96" s="506">
        <v>4950</v>
      </c>
      <c r="DF96" s="53">
        <v>0.92994998180364785</v>
      </c>
      <c r="DG96" s="507">
        <v>5322.8669249494715</v>
      </c>
      <c r="DH96" s="380">
        <f t="shared" si="63"/>
        <v>7.1459078388979833</v>
      </c>
      <c r="DI96" s="506">
        <v>4950</v>
      </c>
      <c r="DJ96" s="53">
        <v>0.93195002815326489</v>
      </c>
      <c r="DK96" s="507">
        <v>5311.4435865288069</v>
      </c>
      <c r="DL96" s="380">
        <f t="shared" si="64"/>
        <v>-11.42333842066455</v>
      </c>
      <c r="DM96" s="506">
        <v>4950</v>
      </c>
      <c r="DN96" s="53">
        <v>0.93824987665418513</v>
      </c>
      <c r="DO96" s="507">
        <v>5275.7800700723601</v>
      </c>
      <c r="DP96" s="380">
        <f t="shared" si="65"/>
        <v>-35.663516456446814</v>
      </c>
      <c r="DQ96" s="506">
        <v>4069.84</v>
      </c>
      <c r="DR96" s="53">
        <v>0.94195000839359433</v>
      </c>
      <c r="DS96" s="507">
        <v>4320.6539240237635</v>
      </c>
      <c r="DT96" s="380">
        <f t="shared" si="66"/>
        <v>-955.12614604859664</v>
      </c>
      <c r="DU96" s="506">
        <v>4069.84</v>
      </c>
      <c r="DV96" s="53">
        <v>0.9373000236467175</v>
      </c>
      <c r="DW96" s="507">
        <v>4342.0888694375881</v>
      </c>
      <c r="DX96" s="380">
        <f t="shared" si="67"/>
        <v>21.434945413824607</v>
      </c>
      <c r="DY96" s="506">
        <v>4069.84</v>
      </c>
      <c r="DZ96" s="53">
        <v>0.93435000000000001</v>
      </c>
      <c r="EA96" s="507">
        <v>4355.7981484454431</v>
      </c>
      <c r="EB96" s="380">
        <f t="shared" si="68"/>
        <v>13.709279007855002</v>
      </c>
      <c r="EC96" s="506">
        <v>4069.84</v>
      </c>
      <c r="ED96" s="53">
        <v>0.93379999999999996</v>
      </c>
      <c r="EE96" s="507">
        <v>4358.3636753052051</v>
      </c>
      <c r="EF96" s="380">
        <f t="shared" si="69"/>
        <v>2.5655268597620307</v>
      </c>
      <c r="EG96" s="506">
        <v>38359.08</v>
      </c>
      <c r="EH96" s="53">
        <v>0.93425000000000002</v>
      </c>
      <c r="EI96" s="507">
        <v>41058.688787797699</v>
      </c>
      <c r="EJ96" s="380">
        <f t="shared" si="70"/>
        <v>36700.325112492494</v>
      </c>
      <c r="EK96" s="506">
        <v>38359.08</v>
      </c>
      <c r="EL96" s="53">
        <v>0.93684999999999996</v>
      </c>
      <c r="EM96" s="507">
        <v>40944.74035331163</v>
      </c>
      <c r="EN96" s="380">
        <f t="shared" si="71"/>
        <v>-113.94843448606844</v>
      </c>
      <c r="EO96" s="506">
        <v>38359.08</v>
      </c>
      <c r="EP96" s="53">
        <v>0.93189999999999995</v>
      </c>
      <c r="EQ96" s="507">
        <v>41162.227706835503</v>
      </c>
      <c r="ER96" s="380">
        <f t="shared" si="72"/>
        <v>217.48735352387303</v>
      </c>
      <c r="ES96" s="506">
        <v>38359.08</v>
      </c>
      <c r="ET96" s="53">
        <v>0.93494999999999995</v>
      </c>
      <c r="EU96" s="507">
        <v>41027.948018610623</v>
      </c>
      <c r="EV96" s="380">
        <f t="shared" si="73"/>
        <v>-134.27968822488037</v>
      </c>
      <c r="EW96" s="506">
        <v>38359.08</v>
      </c>
      <c r="EX96" s="53">
        <v>0.93610000000000004</v>
      </c>
      <c r="EY96" s="507">
        <v>40977.545134066873</v>
      </c>
      <c r="EZ96" s="380">
        <f t="shared" si="74"/>
        <v>-50.402884543749678</v>
      </c>
      <c r="FA96" s="506">
        <v>38359.08</v>
      </c>
      <c r="FB96" s="53">
        <v>0.93505000000000005</v>
      </c>
      <c r="FC96" s="507">
        <v>41023.560237420461</v>
      </c>
      <c r="FD96" s="380">
        <f t="shared" si="75"/>
        <v>46.015103353587619</v>
      </c>
      <c r="FE96" s="506">
        <v>38359.08</v>
      </c>
      <c r="FF96" s="53">
        <v>0.93874999999999997</v>
      </c>
      <c r="FG96" s="507">
        <v>40861.869507323572</v>
      </c>
      <c r="FH96" s="380">
        <f t="shared" si="76"/>
        <v>-161.69073009688873</v>
      </c>
      <c r="FI96" s="506">
        <v>38359.08</v>
      </c>
      <c r="FJ96" s="53">
        <v>0.93815000000000004</v>
      </c>
      <c r="FK96" s="507">
        <v>40888.002984597348</v>
      </c>
      <c r="FL96" s="380">
        <f t="shared" si="77"/>
        <v>26.133477273775497</v>
      </c>
      <c r="FM96" s="506">
        <v>38359.08</v>
      </c>
      <c r="FN96" s="53">
        <v>0.9395</v>
      </c>
      <c r="FO96" s="507">
        <v>40829.249600851515</v>
      </c>
      <c r="FP96" s="380">
        <f t="shared" si="78"/>
        <v>-58.753383745832252</v>
      </c>
      <c r="FQ96" s="506">
        <v>38359.08</v>
      </c>
      <c r="FR96" s="53">
        <v>0.93674999999999997</v>
      </c>
      <c r="FS96" s="507">
        <v>40949.111289031229</v>
      </c>
      <c r="FT96" s="380">
        <f t="shared" si="79"/>
        <v>119.86168817971338</v>
      </c>
      <c r="FU96" s="506">
        <v>38359.08</v>
      </c>
      <c r="FV96" s="53">
        <v>0.93479999999999996</v>
      </c>
      <c r="FW96" s="507">
        <v>41034.53145057767</v>
      </c>
      <c r="FX96" s="380">
        <f t="shared" si="80"/>
        <v>85.420161546440795</v>
      </c>
      <c r="FY96" s="506">
        <v>38359.08</v>
      </c>
      <c r="FZ96" s="53">
        <v>0.93189999999999995</v>
      </c>
      <c r="GA96" s="507">
        <v>41162.227706835503</v>
      </c>
      <c r="GB96" s="380">
        <f t="shared" si="81"/>
        <v>127.69625625783374</v>
      </c>
      <c r="GC96" s="506">
        <v>38359.08</v>
      </c>
      <c r="GD96" s="53">
        <v>0.93559999999999999</v>
      </c>
      <c r="GE96" s="507">
        <v>40999.44420692604</v>
      </c>
      <c r="GF96" s="380">
        <f t="shared" si="82"/>
        <v>-162.78349990946299</v>
      </c>
      <c r="GG96" s="506">
        <v>38359.08</v>
      </c>
      <c r="GH96" s="53">
        <v>0.93830000000000002</v>
      </c>
      <c r="GI96" s="507">
        <v>40881.466481935415</v>
      </c>
      <c r="GJ96" s="380">
        <f t="shared" si="83"/>
        <v>-117.97772499062557</v>
      </c>
      <c r="GK96" s="506">
        <v>38109.08</v>
      </c>
      <c r="GL96" s="53">
        <v>0.93625000000000003</v>
      </c>
      <c r="GM96" s="507">
        <v>40703.957276368492</v>
      </c>
      <c r="GN96" s="380">
        <f t="shared" si="84"/>
        <v>-177.5092055669229</v>
      </c>
      <c r="GO96" s="506">
        <v>38109.08</v>
      </c>
      <c r="GP96" s="53">
        <v>0.93384999999999996</v>
      </c>
      <c r="GQ96" s="507">
        <v>40808.566686298662</v>
      </c>
      <c r="GR96" s="380">
        <f t="shared" si="85"/>
        <v>104.60940993016993</v>
      </c>
      <c r="GS96" s="506">
        <v>54161.96</v>
      </c>
      <c r="GT96" s="53">
        <v>0.93435000000000001</v>
      </c>
      <c r="GU96" s="507">
        <v>57967.528228180017</v>
      </c>
      <c r="GV96" s="380">
        <f t="shared" si="86"/>
        <v>17158.961541881356</v>
      </c>
      <c r="GW96" s="506">
        <v>54161.96</v>
      </c>
      <c r="GX96" s="53">
        <v>0.93384999999999996</v>
      </c>
      <c r="GY96" s="507">
        <v>57998.56508004498</v>
      </c>
      <c r="GZ96" s="380">
        <f t="shared" si="87"/>
        <v>31.036851864962955</v>
      </c>
      <c r="HA96" s="506">
        <v>54161.96</v>
      </c>
      <c r="HB96" s="53">
        <v>0.93540000000000001</v>
      </c>
      <c r="HC96" s="507">
        <v>57902.458841137479</v>
      </c>
      <c r="HD96" s="380">
        <f t="shared" si="88"/>
        <v>-96.106238907501393</v>
      </c>
      <c r="HE96" s="506">
        <v>54161.96</v>
      </c>
      <c r="HF96" s="53">
        <v>0.93725000000000003</v>
      </c>
      <c r="HG96" s="507">
        <v>57788.167511336353</v>
      </c>
      <c r="HH96" s="380">
        <f t="shared" si="89"/>
        <v>-114.29132980112627</v>
      </c>
      <c r="HI96" s="506">
        <v>54161.96</v>
      </c>
      <c r="HJ96" s="53">
        <v>0.93635000000000002</v>
      </c>
      <c r="HK96" s="507">
        <v>57843.712287072143</v>
      </c>
      <c r="HL96" s="380">
        <f t="shared" si="90"/>
        <v>55.544775735790608</v>
      </c>
      <c r="HM96" s="506">
        <v>54161.96</v>
      </c>
      <c r="HN96" s="53">
        <v>0.93884999999999996</v>
      </c>
      <c r="HO96" s="507">
        <v>57689.684188102467</v>
      </c>
      <c r="HP96" s="380">
        <f t="shared" si="91"/>
        <v>-154.02809896967665</v>
      </c>
      <c r="HQ96" s="506">
        <v>54161.96</v>
      </c>
      <c r="HR96" s="53">
        <v>0.93855</v>
      </c>
      <c r="HS96" s="507">
        <v>57708.12423419104</v>
      </c>
      <c r="HT96" s="380">
        <f t="shared" si="92"/>
        <v>18.440046088573581</v>
      </c>
      <c r="HU96" s="506">
        <v>54161.96</v>
      </c>
      <c r="HV96" s="53">
        <v>0.94035000000000002</v>
      </c>
      <c r="HW96" s="507">
        <v>57597.660445578775</v>
      </c>
      <c r="HX96" s="380">
        <f t="shared" si="93"/>
        <v>-110.46378861226549</v>
      </c>
      <c r="HY96" s="506">
        <v>60065.84</v>
      </c>
      <c r="HZ96" s="53">
        <v>0.93579999999999997</v>
      </c>
      <c r="IA96" s="507">
        <v>64186.621072878821</v>
      </c>
      <c r="IB96" s="380">
        <f t="shared" si="94"/>
        <v>6588.9606273000463</v>
      </c>
      <c r="IC96" s="506">
        <v>60065.84</v>
      </c>
      <c r="ID96" s="53">
        <v>0.93579999999999997</v>
      </c>
      <c r="IE96" s="507">
        <v>64186.621072878821</v>
      </c>
      <c r="IF96" s="380">
        <f t="shared" si="95"/>
        <v>0</v>
      </c>
      <c r="IG96" s="506">
        <v>60065.84</v>
      </c>
      <c r="IH96" s="53">
        <v>0.93579999999999997</v>
      </c>
      <c r="II96" s="507">
        <v>64186.621072878821</v>
      </c>
      <c r="IJ96" s="380">
        <f t="shared" si="96"/>
        <v>0</v>
      </c>
      <c r="IK96" s="506">
        <v>60065.84</v>
      </c>
      <c r="IL96" s="53">
        <v>0.93579999999999997</v>
      </c>
      <c r="IM96" s="507">
        <v>64186.621072878821</v>
      </c>
      <c r="IN96" s="380">
        <f t="shared" si="97"/>
        <v>0</v>
      </c>
      <c r="IO96" s="506">
        <v>60065.84</v>
      </c>
      <c r="IP96" s="53">
        <v>0.93579999999999997</v>
      </c>
      <c r="IQ96" s="507">
        <v>64186.621072878821</v>
      </c>
      <c r="IR96" s="380">
        <f t="shared" si="98"/>
        <v>0</v>
      </c>
      <c r="IS96" s="506">
        <v>60065.84</v>
      </c>
      <c r="IT96" s="53">
        <v>0.93579999999999997</v>
      </c>
      <c r="IU96" s="507">
        <v>64186.621072878821</v>
      </c>
      <c r="IV96" s="380">
        <f t="shared" si="99"/>
        <v>0</v>
      </c>
      <c r="IW96" s="506">
        <v>60065.84</v>
      </c>
      <c r="IX96" s="53">
        <v>0.93874999999999997</v>
      </c>
      <c r="IY96" s="507">
        <v>63984.916111850864</v>
      </c>
      <c r="IZ96" s="380">
        <f t="shared" si="100"/>
        <v>-201.70496102795732</v>
      </c>
    </row>
    <row r="97" spans="1:260">
      <c r="A97" s="13" t="s">
        <v>509</v>
      </c>
      <c r="B97" s="13" t="s">
        <v>510</v>
      </c>
      <c r="C97" s="13" t="s">
        <v>417</v>
      </c>
      <c r="D97" s="13" t="s">
        <v>306</v>
      </c>
      <c r="E97" s="13" t="s">
        <v>9</v>
      </c>
      <c r="F97" s="13" t="s">
        <v>655</v>
      </c>
      <c r="G97" s="13" t="s">
        <v>423</v>
      </c>
      <c r="H97" s="49"/>
      <c r="I97" s="14">
        <f>VLOOKUP(G97,'HSBC - Banco'!B:G,6,FALSE)</f>
        <v>45225.71</v>
      </c>
      <c r="J97" s="14">
        <f>+VLOOKUP(E97,'Summary - Colar'!$M$39:$N$54,2,FALSE)</f>
        <v>0.93874999999999997</v>
      </c>
      <c r="K97" s="14">
        <f t="shared" si="101"/>
        <v>48176.521970705726</v>
      </c>
      <c r="L97" s="506"/>
      <c r="M97" s="53"/>
      <c r="N97" s="507"/>
      <c r="O97" s="506"/>
      <c r="P97" s="53"/>
      <c r="Q97" s="507"/>
      <c r="R97" s="506"/>
      <c r="S97" s="53"/>
      <c r="T97" s="507"/>
      <c r="U97" s="506"/>
      <c r="V97" s="53"/>
      <c r="W97" s="507"/>
      <c r="X97" s="506"/>
      <c r="Y97" s="53"/>
      <c r="Z97" s="507"/>
      <c r="AA97" s="506"/>
      <c r="AB97" s="53"/>
      <c r="AC97" s="507"/>
      <c r="AD97" s="506"/>
      <c r="AE97" s="53"/>
      <c r="AF97" s="507"/>
      <c r="AG97" s="506"/>
      <c r="AH97" s="53"/>
      <c r="AI97" s="507"/>
      <c r="AJ97" s="506"/>
      <c r="AK97" s="53"/>
      <c r="AL97" s="507"/>
      <c r="AM97" s="506"/>
      <c r="AN97" s="53"/>
      <c r="AO97" s="507"/>
      <c r="AP97" s="506"/>
      <c r="AQ97" s="53"/>
      <c r="AR97" s="507"/>
      <c r="AS97" s="506"/>
      <c r="AT97" s="53"/>
      <c r="AU97" s="507"/>
      <c r="AV97" s="506">
        <v>4950</v>
      </c>
      <c r="AW97" s="53">
        <v>0.95460004628670969</v>
      </c>
      <c r="AX97" s="507">
        <v>5185.417724684763</v>
      </c>
      <c r="AY97" s="506">
        <v>4950</v>
      </c>
      <c r="AZ97" s="53">
        <v>0.95169988960021024</v>
      </c>
      <c r="BA97" s="507">
        <v>5201.21947484873</v>
      </c>
      <c r="BB97" s="506">
        <v>4950</v>
      </c>
      <c r="BC97" s="53">
        <v>0.95369987765870579</v>
      </c>
      <c r="BD97" s="507">
        <v>5190.3120845019375</v>
      </c>
      <c r="BE97" s="506">
        <v>4950</v>
      </c>
      <c r="BF97" s="53">
        <v>0.95165006798770702</v>
      </c>
      <c r="BG97" s="507">
        <v>5201.4917736168773</v>
      </c>
      <c r="BH97" s="380">
        <f t="shared" si="51"/>
        <v>5200.5380737392188</v>
      </c>
      <c r="BI97" s="506">
        <v>4950</v>
      </c>
      <c r="BJ97" s="53">
        <v>0.95419996244501371</v>
      </c>
      <c r="BK97" s="507">
        <v>5187.5919040242534</v>
      </c>
      <c r="BL97" s="380">
        <f t="shared" si="52"/>
        <v>-13.899869592623872</v>
      </c>
      <c r="BM97" s="506">
        <v>4950</v>
      </c>
      <c r="BN97" s="53">
        <v>0.95360009958744285</v>
      </c>
      <c r="BO97" s="507">
        <v>5190.8551626006793</v>
      </c>
      <c r="BP97" t="s">
        <v>656</v>
      </c>
      <c r="BQ97" s="506">
        <v>4950</v>
      </c>
      <c r="BR97" s="53">
        <v>0.94094993650071412</v>
      </c>
      <c r="BS97" s="507">
        <v>5260.6411967128533</v>
      </c>
      <c r="BT97" s="380">
        <f t="shared" si="53"/>
        <v>69.786034112174093</v>
      </c>
      <c r="BU97" s="506">
        <v>4950</v>
      </c>
      <c r="BV97" s="53">
        <v>0.93814995922633604</v>
      </c>
      <c r="BW97" s="507">
        <v>5276.3419657152845</v>
      </c>
      <c r="BX97" s="380">
        <f t="shared" si="54"/>
        <v>15.700769002431116</v>
      </c>
      <c r="BY97" s="506">
        <v>4950</v>
      </c>
      <c r="BZ97" s="53">
        <v>0.93449988490420532</v>
      </c>
      <c r="CA97" s="507">
        <v>5296.9508931586652</v>
      </c>
      <c r="CB97" s="380">
        <f t="shared" si="55"/>
        <v>20.608927443380708</v>
      </c>
      <c r="CC97" s="506">
        <v>4950</v>
      </c>
      <c r="CD97" s="53">
        <v>0.9272498819158187</v>
      </c>
      <c r="CE97" s="507">
        <v>5338.3668162595577</v>
      </c>
      <c r="CF97" s="380">
        <f t="shared" si="56"/>
        <v>41.415923100892542</v>
      </c>
      <c r="CG97" s="506">
        <v>4950</v>
      </c>
      <c r="CH97" s="53">
        <v>0.9297500076516424</v>
      </c>
      <c r="CI97" s="507">
        <v>5324.0117873219315</v>
      </c>
      <c r="CJ97" s="380">
        <f t="shared" si="57"/>
        <v>-14.35502893762623</v>
      </c>
      <c r="CK97" s="506">
        <v>4950</v>
      </c>
      <c r="CL97" s="53">
        <v>0.92415005289795293</v>
      </c>
      <c r="CM97" s="507">
        <v>5356.2730256604682</v>
      </c>
      <c r="CN97" s="380">
        <f t="shared" si="58"/>
        <v>32.261238338536714</v>
      </c>
      <c r="CO97" s="506">
        <v>4950</v>
      </c>
      <c r="CP97" s="53">
        <v>0.93365011536207365</v>
      </c>
      <c r="CQ97" s="507">
        <v>5301.7719577749613</v>
      </c>
      <c r="CR97" s="380">
        <f t="shared" si="59"/>
        <v>-54.501067885506927</v>
      </c>
      <c r="CS97" s="506">
        <v>4950</v>
      </c>
      <c r="CT97" s="53">
        <v>0.92355009685546685</v>
      </c>
      <c r="CU97" s="507">
        <v>5359.7525644292818</v>
      </c>
      <c r="CV97" s="380">
        <f t="shared" si="60"/>
        <v>57.980606654320582</v>
      </c>
      <c r="CW97" s="506">
        <v>4950</v>
      </c>
      <c r="CX97" s="53">
        <v>0.92679992635648722</v>
      </c>
      <c r="CY97" s="507">
        <v>5340.9585599125485</v>
      </c>
      <c r="CZ97" s="380">
        <f t="shared" si="61"/>
        <v>-18.794004516733366</v>
      </c>
      <c r="DA97" s="506">
        <v>4950</v>
      </c>
      <c r="DB97" s="53">
        <v>0.93120011077831821</v>
      </c>
      <c r="DC97" s="507">
        <v>5315.7210171105735</v>
      </c>
      <c r="DD97" s="380">
        <f t="shared" si="62"/>
        <v>-25.237542801974996</v>
      </c>
      <c r="DE97" s="506">
        <v>4950</v>
      </c>
      <c r="DF97" s="53">
        <v>0.92994998180364785</v>
      </c>
      <c r="DG97" s="507">
        <v>5322.8669249494715</v>
      </c>
      <c r="DH97" s="380">
        <f t="shared" si="63"/>
        <v>7.1459078388979833</v>
      </c>
      <c r="DI97" s="506">
        <v>4950</v>
      </c>
      <c r="DJ97" s="53">
        <v>0.93195002815326489</v>
      </c>
      <c r="DK97" s="507">
        <v>5311.4435865288069</v>
      </c>
      <c r="DL97" s="380">
        <f t="shared" si="64"/>
        <v>-11.42333842066455</v>
      </c>
      <c r="DM97" s="506">
        <v>4950</v>
      </c>
      <c r="DN97" s="53">
        <v>0.93824987665418513</v>
      </c>
      <c r="DO97" s="507">
        <v>5275.7800700723601</v>
      </c>
      <c r="DP97" s="380">
        <f t="shared" si="65"/>
        <v>-35.663516456446814</v>
      </c>
      <c r="DQ97" s="506">
        <v>40541.879999999997</v>
      </c>
      <c r="DR97" s="53">
        <v>0.94195000839359433</v>
      </c>
      <c r="DS97" s="507">
        <v>43040.373309343981</v>
      </c>
      <c r="DT97" s="380">
        <f t="shared" si="66"/>
        <v>37764.59323927162</v>
      </c>
      <c r="DU97" s="506">
        <v>40541.879999999997</v>
      </c>
      <c r="DV97" s="53">
        <v>0.9373000236467175</v>
      </c>
      <c r="DW97" s="507">
        <v>43253.898407326662</v>
      </c>
      <c r="DX97" s="380">
        <f t="shared" si="67"/>
        <v>213.52509798268147</v>
      </c>
      <c r="DY97" s="506">
        <v>40541.879999999997</v>
      </c>
      <c r="DZ97" s="53">
        <v>0.93435000000000001</v>
      </c>
      <c r="EA97" s="507">
        <v>43390.463958901906</v>
      </c>
      <c r="EB97" s="380">
        <f t="shared" si="68"/>
        <v>136.56555157524417</v>
      </c>
      <c r="EC97" s="506">
        <v>40541.879999999997</v>
      </c>
      <c r="ED97" s="53">
        <v>0.93379999999999996</v>
      </c>
      <c r="EE97" s="507">
        <v>43416.020561147998</v>
      </c>
      <c r="EF97" s="380">
        <f t="shared" si="69"/>
        <v>25.556602246091643</v>
      </c>
      <c r="EG97" s="506">
        <v>40541.879999999997</v>
      </c>
      <c r="EH97" s="53">
        <v>0.93425000000000002</v>
      </c>
      <c r="EI97" s="507">
        <v>43395.108375702432</v>
      </c>
      <c r="EJ97" s="380">
        <f t="shared" si="70"/>
        <v>-20.912185445566138</v>
      </c>
      <c r="EK97" s="506">
        <v>40541.879999999997</v>
      </c>
      <c r="EL97" s="53">
        <v>0.93684999999999996</v>
      </c>
      <c r="EM97" s="507">
        <v>43274.675775204138</v>
      </c>
      <c r="EN97" s="380">
        <f t="shared" si="71"/>
        <v>-120.43260049829405</v>
      </c>
      <c r="EO97" s="506">
        <v>40541.879999999997</v>
      </c>
      <c r="EP97" s="53">
        <v>0.93189999999999995</v>
      </c>
      <c r="EQ97" s="507">
        <v>43504.539113638799</v>
      </c>
      <c r="ER97" s="380">
        <f t="shared" si="72"/>
        <v>229.86333843466127</v>
      </c>
      <c r="ES97" s="506">
        <v>40541.879999999997</v>
      </c>
      <c r="ET97" s="53">
        <v>0.93494999999999995</v>
      </c>
      <c r="EU97" s="507">
        <v>43362.618321835391</v>
      </c>
      <c r="EV97" s="380">
        <f t="shared" si="73"/>
        <v>-141.92079180340806</v>
      </c>
      <c r="EW97" s="506">
        <v>40541.879999999997</v>
      </c>
      <c r="EX97" s="53">
        <v>0.93610000000000004</v>
      </c>
      <c r="EY97" s="507">
        <v>43309.347291955986</v>
      </c>
      <c r="EZ97" s="380">
        <f t="shared" si="74"/>
        <v>-53.271029879404523</v>
      </c>
      <c r="FA97" s="506">
        <v>40541.879999999997</v>
      </c>
      <c r="FB97" s="53">
        <v>0.93505000000000005</v>
      </c>
      <c r="FC97" s="507">
        <v>43357.980856638678</v>
      </c>
      <c r="FD97" s="380">
        <f t="shared" si="75"/>
        <v>48.63356468269194</v>
      </c>
      <c r="FE97" s="506">
        <v>40541.879999999997</v>
      </c>
      <c r="FF97" s="53">
        <v>0.93874999999999997</v>
      </c>
      <c r="FG97" s="507">
        <v>43187.089214380823</v>
      </c>
      <c r="FH97" s="380">
        <f t="shared" si="76"/>
        <v>-170.89164225785498</v>
      </c>
      <c r="FI97" s="506">
        <v>40541.879999999997</v>
      </c>
      <c r="FJ97" s="53">
        <v>0.93815000000000004</v>
      </c>
      <c r="FK97" s="507">
        <v>43214.709801204495</v>
      </c>
      <c r="FL97" s="380">
        <f t="shared" si="77"/>
        <v>27.620586823672056</v>
      </c>
      <c r="FM97" s="506">
        <v>40541.879999999997</v>
      </c>
      <c r="FN97" s="53">
        <v>0.9395</v>
      </c>
      <c r="FO97" s="507">
        <v>43152.613092070249</v>
      </c>
      <c r="FP97" s="380">
        <f t="shared" si="78"/>
        <v>-62.096709134246339</v>
      </c>
      <c r="FQ97" s="506">
        <v>40541.879999999997</v>
      </c>
      <c r="FR97" s="53">
        <v>0.93674999999999997</v>
      </c>
      <c r="FS97" s="507">
        <v>43279.295436349079</v>
      </c>
      <c r="FT97" s="380">
        <f t="shared" si="79"/>
        <v>126.68234427882999</v>
      </c>
      <c r="FU97" s="506">
        <v>42223.37</v>
      </c>
      <c r="FV97" s="53">
        <v>0.93479999999999996</v>
      </c>
      <c r="FW97" s="507">
        <v>45168.346170303812</v>
      </c>
      <c r="FX97" s="380">
        <f t="shared" si="80"/>
        <v>1889.050733954733</v>
      </c>
      <c r="FY97" s="506">
        <v>42223.37</v>
      </c>
      <c r="FZ97" s="53">
        <v>0.93189999999999995</v>
      </c>
      <c r="GA97" s="507">
        <v>45308.906535035952</v>
      </c>
      <c r="GB97" s="380">
        <f t="shared" si="81"/>
        <v>140.56036473214044</v>
      </c>
      <c r="GC97" s="506">
        <v>42223.37</v>
      </c>
      <c r="GD97" s="53">
        <v>0.93559999999999999</v>
      </c>
      <c r="GE97" s="507">
        <v>45129.724241128693</v>
      </c>
      <c r="GF97" s="380">
        <f t="shared" si="82"/>
        <v>-179.18229390725901</v>
      </c>
      <c r="GG97" s="506">
        <v>42223.37</v>
      </c>
      <c r="GH97" s="53">
        <v>0.93830000000000002</v>
      </c>
      <c r="GI97" s="507">
        <v>44999.861451561337</v>
      </c>
      <c r="GJ97" s="380">
        <f t="shared" si="83"/>
        <v>-129.86278956735623</v>
      </c>
      <c r="GK97" s="506">
        <v>41722.620000000003</v>
      </c>
      <c r="GL97" s="53">
        <v>0.93625000000000003</v>
      </c>
      <c r="GM97" s="507">
        <v>44563.546061415225</v>
      </c>
      <c r="GN97" s="380">
        <f t="shared" si="84"/>
        <v>-436.31539014611189</v>
      </c>
      <c r="GO97" s="506">
        <v>41722.620000000003</v>
      </c>
      <c r="GP97" s="53">
        <v>0.93384999999999996</v>
      </c>
      <c r="GQ97" s="507">
        <v>44678.07463725438</v>
      </c>
      <c r="GR97" s="380">
        <f t="shared" si="85"/>
        <v>114.52857583915466</v>
      </c>
      <c r="GS97" s="506">
        <v>41722.620000000003</v>
      </c>
      <c r="GT97" s="53">
        <v>0.93435000000000001</v>
      </c>
      <c r="GU97" s="507">
        <v>44654.165997752447</v>
      </c>
      <c r="GV97" s="380">
        <f t="shared" si="86"/>
        <v>-23.908639501933067</v>
      </c>
      <c r="GW97" s="506">
        <v>41722.620000000003</v>
      </c>
      <c r="GX97" s="53">
        <v>0.93384999999999996</v>
      </c>
      <c r="GY97" s="507">
        <v>44678.07463725438</v>
      </c>
      <c r="GZ97" s="380">
        <f t="shared" si="87"/>
        <v>23.908639501933067</v>
      </c>
      <c r="HA97" s="506">
        <v>41722.620000000003</v>
      </c>
      <c r="HB97" s="53">
        <v>0.93540000000000001</v>
      </c>
      <c r="HC97" s="507">
        <v>44604.041051956381</v>
      </c>
      <c r="HD97" s="380">
        <f t="shared" si="88"/>
        <v>-74.033585297998798</v>
      </c>
      <c r="HE97" s="506">
        <v>41722.620000000003</v>
      </c>
      <c r="HF97" s="53">
        <v>0.93725000000000003</v>
      </c>
      <c r="HG97" s="507">
        <v>44515.998933048817</v>
      </c>
      <c r="HH97" s="380">
        <f t="shared" si="89"/>
        <v>-88.042118907564145</v>
      </c>
      <c r="HI97" s="506">
        <v>41722.620000000003</v>
      </c>
      <c r="HJ97" s="53">
        <v>0.93635000000000002</v>
      </c>
      <c r="HK97" s="507">
        <v>44558.78677844823</v>
      </c>
      <c r="HL97" s="380">
        <f t="shared" si="90"/>
        <v>42.787845399412618</v>
      </c>
      <c r="HM97" s="506">
        <v>45225.71</v>
      </c>
      <c r="HN97" s="53">
        <v>0.93884999999999996</v>
      </c>
      <c r="HO97" s="507">
        <v>48171.39053096874</v>
      </c>
      <c r="HP97" s="380">
        <f t="shared" si="91"/>
        <v>3612.6037525205102</v>
      </c>
      <c r="HQ97" s="506">
        <v>45225.71</v>
      </c>
      <c r="HR97" s="53">
        <v>0.93855</v>
      </c>
      <c r="HS97" s="507">
        <v>48186.788130627028</v>
      </c>
      <c r="HT97" s="380">
        <f t="shared" si="92"/>
        <v>15.397599658288527</v>
      </c>
      <c r="HU97" s="506">
        <v>45225.71</v>
      </c>
      <c r="HV97" s="53">
        <v>0.94035000000000002</v>
      </c>
      <c r="HW97" s="507">
        <v>48094.549901632367</v>
      </c>
      <c r="HX97" s="380">
        <f t="shared" si="93"/>
        <v>-92.238228994661768</v>
      </c>
      <c r="HY97" s="506">
        <v>45225.71</v>
      </c>
      <c r="HZ97" s="53">
        <v>0.93579999999999997</v>
      </c>
      <c r="IA97" s="507">
        <v>48328.392818978413</v>
      </c>
      <c r="IB97" s="380">
        <f t="shared" si="94"/>
        <v>233.84291734604631</v>
      </c>
      <c r="IC97" s="506">
        <v>45225.71</v>
      </c>
      <c r="ID97" s="53">
        <v>0.93579999999999997</v>
      </c>
      <c r="IE97" s="507">
        <v>48328.392818978413</v>
      </c>
      <c r="IF97" s="380">
        <f t="shared" si="95"/>
        <v>0</v>
      </c>
      <c r="IG97" s="506">
        <v>45225.71</v>
      </c>
      <c r="IH97" s="53">
        <v>0.93579999999999997</v>
      </c>
      <c r="II97" s="507">
        <v>48328.392818978413</v>
      </c>
      <c r="IJ97" s="380">
        <f t="shared" si="96"/>
        <v>0</v>
      </c>
      <c r="IK97" s="506">
        <v>45225.71</v>
      </c>
      <c r="IL97" s="53">
        <v>0.93579999999999997</v>
      </c>
      <c r="IM97" s="507">
        <v>48328.392818978413</v>
      </c>
      <c r="IN97" s="380">
        <f t="shared" si="97"/>
        <v>0</v>
      </c>
      <c r="IO97" s="506">
        <v>45225.71</v>
      </c>
      <c r="IP97" s="53">
        <v>0.93579999999999997</v>
      </c>
      <c r="IQ97" s="507">
        <v>48328.392818978413</v>
      </c>
      <c r="IR97" s="380">
        <f t="shared" si="98"/>
        <v>0</v>
      </c>
      <c r="IS97" s="506">
        <v>45225.71</v>
      </c>
      <c r="IT97" s="53">
        <v>0.93579999999999997</v>
      </c>
      <c r="IU97" s="507">
        <v>48328.392818978413</v>
      </c>
      <c r="IV97" s="380">
        <f t="shared" si="99"/>
        <v>0</v>
      </c>
      <c r="IW97" s="506">
        <v>45225.71</v>
      </c>
      <c r="IX97" s="53">
        <v>0.93874999999999997</v>
      </c>
      <c r="IY97" s="507">
        <v>48176.521970705726</v>
      </c>
      <c r="IZ97" s="380">
        <f t="shared" si="100"/>
        <v>-151.870848272687</v>
      </c>
    </row>
    <row r="98" spans="1:260">
      <c r="A98" s="13" t="s">
        <v>509</v>
      </c>
      <c r="B98" s="13" t="s">
        <v>510</v>
      </c>
      <c r="C98" s="13" t="s">
        <v>417</v>
      </c>
      <c r="D98" s="13" t="s">
        <v>306</v>
      </c>
      <c r="E98" s="13" t="s">
        <v>2</v>
      </c>
      <c r="F98" s="13" t="s">
        <v>657</v>
      </c>
      <c r="G98" s="13" t="s">
        <v>418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101"/>
        <v>15600</v>
      </c>
      <c r="L98" s="506"/>
      <c r="M98" s="53"/>
      <c r="N98" s="507"/>
      <c r="O98" s="506"/>
      <c r="P98" s="53"/>
      <c r="Q98" s="507"/>
      <c r="R98" s="506"/>
      <c r="S98" s="53"/>
      <c r="T98" s="507"/>
      <c r="U98" s="506"/>
      <c r="V98" s="53"/>
      <c r="W98" s="507"/>
      <c r="X98" s="506"/>
      <c r="Y98" s="53"/>
      <c r="Z98" s="507"/>
      <c r="AA98" s="506"/>
      <c r="AB98" s="53"/>
      <c r="AC98" s="507"/>
      <c r="AD98" s="506"/>
      <c r="AE98" s="53"/>
      <c r="AF98" s="507"/>
      <c r="AG98" s="506"/>
      <c r="AH98" s="53"/>
      <c r="AI98" s="507"/>
      <c r="AJ98" s="506"/>
      <c r="AK98" s="53"/>
      <c r="AL98" s="507"/>
      <c r="AM98" s="506"/>
      <c r="AN98" s="53"/>
      <c r="AO98" s="507"/>
      <c r="AP98" s="506"/>
      <c r="AQ98" s="53"/>
      <c r="AR98" s="507"/>
      <c r="AS98" s="506"/>
      <c r="AT98" s="53"/>
      <c r="AU98" s="507"/>
      <c r="AV98" s="506">
        <v>450</v>
      </c>
      <c r="AW98" s="53">
        <v>1</v>
      </c>
      <c r="AX98" s="507">
        <v>450</v>
      </c>
      <c r="AY98" s="506">
        <v>450</v>
      </c>
      <c r="AZ98" s="53">
        <v>1</v>
      </c>
      <c r="BA98" s="507">
        <v>450</v>
      </c>
      <c r="BB98" s="506">
        <v>450</v>
      </c>
      <c r="BC98" s="53">
        <v>1</v>
      </c>
      <c r="BD98" s="507">
        <v>450</v>
      </c>
      <c r="BE98" s="506">
        <v>450</v>
      </c>
      <c r="BF98" s="53">
        <v>1</v>
      </c>
      <c r="BG98" s="507">
        <v>450</v>
      </c>
      <c r="BH98" s="380">
        <f>IF(BG98="-",0,BG98-BC98)</f>
        <v>449</v>
      </c>
      <c r="BI98" s="506">
        <v>450</v>
      </c>
      <c r="BJ98" s="53">
        <v>1</v>
      </c>
      <c r="BK98" s="507">
        <v>450</v>
      </c>
      <c r="BL98" s="380">
        <f>IF(BK98="-",0,BK98-BG98)</f>
        <v>0</v>
      </c>
      <c r="BM98" s="506">
        <v>450</v>
      </c>
      <c r="BN98" s="53">
        <v>1</v>
      </c>
      <c r="BO98" s="507">
        <v>450</v>
      </c>
      <c r="BP98">
        <f>IF(BP96&lt;0,BP96,0)</f>
        <v>-4281565.4857855383</v>
      </c>
      <c r="BQ98" s="506">
        <v>450</v>
      </c>
      <c r="BR98" s="53">
        <v>1</v>
      </c>
      <c r="BS98" s="507">
        <v>450</v>
      </c>
      <c r="BT98" s="380">
        <f>IF(BS98="-",0,BS98-BO98)</f>
        <v>0</v>
      </c>
      <c r="BU98" s="506">
        <v>450</v>
      </c>
      <c r="BV98" s="53">
        <v>1</v>
      </c>
      <c r="BW98" s="507">
        <v>450</v>
      </c>
      <c r="BX98" s="380">
        <f>IF(BW98="-",0,BW98-BS98)</f>
        <v>0</v>
      </c>
      <c r="BY98" s="506">
        <v>450</v>
      </c>
      <c r="BZ98" s="53">
        <v>1</v>
      </c>
      <c r="CA98" s="507">
        <v>450</v>
      </c>
      <c r="CB98" s="380">
        <f>IF(CA98="-",0,CA98-BW98)</f>
        <v>0</v>
      </c>
      <c r="CC98" s="506">
        <v>450</v>
      </c>
      <c r="CD98" s="53">
        <v>1</v>
      </c>
      <c r="CE98" s="507">
        <v>450</v>
      </c>
      <c r="CF98" s="380">
        <f>IF(CE98="-",0,CE98-CA98)</f>
        <v>0</v>
      </c>
      <c r="CG98" s="506">
        <v>450</v>
      </c>
      <c r="CH98" s="53">
        <v>1</v>
      </c>
      <c r="CI98" s="507">
        <v>450</v>
      </c>
      <c r="CJ98" s="380">
        <f>IF(CI98="-",0,CI98-CE98)</f>
        <v>0</v>
      </c>
      <c r="CK98" s="506">
        <v>450</v>
      </c>
      <c r="CL98" s="53">
        <v>1</v>
      </c>
      <c r="CM98" s="507">
        <v>450</v>
      </c>
      <c r="CN98" s="380">
        <f>IF(CM98="-",0,CM98-CI98)</f>
        <v>0</v>
      </c>
      <c r="CO98" s="506">
        <v>450</v>
      </c>
      <c r="CP98" s="53">
        <v>1</v>
      </c>
      <c r="CQ98" s="507">
        <v>450</v>
      </c>
      <c r="CR98" s="380">
        <f>IF(CQ98="-",0,CQ98-CM98)</f>
        <v>0</v>
      </c>
      <c r="CS98" s="506">
        <v>450</v>
      </c>
      <c r="CT98" s="53">
        <v>1</v>
      </c>
      <c r="CU98" s="507">
        <v>450</v>
      </c>
      <c r="CV98" s="380">
        <f>IF(CU98="-",0,CU98-CQ98)</f>
        <v>0</v>
      </c>
      <c r="CW98" s="506">
        <v>450</v>
      </c>
      <c r="CX98" s="53">
        <v>1</v>
      </c>
      <c r="CY98" s="507">
        <v>450</v>
      </c>
      <c r="CZ98" s="380">
        <f>IF(CY98="-",0,CY98-CU98)</f>
        <v>0</v>
      </c>
      <c r="DA98" s="506">
        <v>450</v>
      </c>
      <c r="DB98" s="53">
        <v>1</v>
      </c>
      <c r="DC98" s="507">
        <v>450</v>
      </c>
      <c r="DD98" s="380">
        <f>IF(DC98="-",0,DC98-CY98)</f>
        <v>0</v>
      </c>
      <c r="DE98" s="506">
        <v>450</v>
      </c>
      <c r="DF98" s="53">
        <v>1</v>
      </c>
      <c r="DG98" s="507">
        <v>450</v>
      </c>
      <c r="DH98" s="380">
        <f>IF(DG98="-",0,DG98-DC98)</f>
        <v>0</v>
      </c>
      <c r="DI98" s="506">
        <v>450</v>
      </c>
      <c r="DJ98" s="53">
        <v>1</v>
      </c>
      <c r="DK98" s="507">
        <v>450</v>
      </c>
      <c r="DL98" s="380">
        <f>IF(DK98="-",0,DK98-DG98)</f>
        <v>0</v>
      </c>
      <c r="DM98" s="506">
        <v>450</v>
      </c>
      <c r="DN98" s="53">
        <v>1</v>
      </c>
      <c r="DO98" s="507">
        <v>450</v>
      </c>
      <c r="DP98" s="380">
        <f>IF(DO98="-",0,DO98-DK98)</f>
        <v>0</v>
      </c>
      <c r="DQ98" s="506">
        <v>450</v>
      </c>
      <c r="DR98" s="53">
        <v>1</v>
      </c>
      <c r="DS98" s="507">
        <v>450</v>
      </c>
      <c r="DT98" s="380">
        <f>IF(DS98="-",0,DS98-DO98)</f>
        <v>0</v>
      </c>
      <c r="DU98" s="506">
        <v>450</v>
      </c>
      <c r="DV98" s="53">
        <v>1</v>
      </c>
      <c r="DW98" s="507">
        <v>450</v>
      </c>
      <c r="DX98" s="380">
        <f>IF(DW98="-",0,DW98-DS98)</f>
        <v>0</v>
      </c>
      <c r="DY98" s="506">
        <v>450</v>
      </c>
      <c r="DZ98" s="53">
        <v>1</v>
      </c>
      <c r="EA98" s="507">
        <v>450</v>
      </c>
      <c r="EB98" s="380">
        <f>IF(EA98="-",0,EA98-DW98)</f>
        <v>0</v>
      </c>
      <c r="EC98" s="506">
        <v>450</v>
      </c>
      <c r="ED98" s="53">
        <v>1</v>
      </c>
      <c r="EE98" s="507">
        <v>450</v>
      </c>
      <c r="EF98" s="380">
        <f>IF(EE98="-",0,EE98-EA98)</f>
        <v>0</v>
      </c>
      <c r="EG98" s="506">
        <v>450</v>
      </c>
      <c r="EH98" s="53">
        <v>1</v>
      </c>
      <c r="EI98" s="507">
        <v>450</v>
      </c>
      <c r="EJ98" s="380">
        <f>IF(EI98="-",0,EI98-EE98)</f>
        <v>0</v>
      </c>
      <c r="EK98" s="506">
        <v>450</v>
      </c>
      <c r="EL98" s="53">
        <v>1</v>
      </c>
      <c r="EM98" s="507">
        <v>450</v>
      </c>
      <c r="EN98" s="380">
        <f>IF(EM98="-",0,EM98-EI98)</f>
        <v>0</v>
      </c>
      <c r="EO98" s="506">
        <v>450</v>
      </c>
      <c r="EP98" s="53">
        <v>1</v>
      </c>
      <c r="EQ98" s="507">
        <v>450</v>
      </c>
      <c r="ER98" s="380">
        <f>IF(EQ98="-",0,EQ98-EM98)</f>
        <v>0</v>
      </c>
      <c r="ES98" s="506">
        <v>450</v>
      </c>
      <c r="ET98" s="53">
        <v>1</v>
      </c>
      <c r="EU98" s="507">
        <v>450</v>
      </c>
      <c r="EV98" s="380">
        <f>IF(EU98="-",0,EU98-EQ98)</f>
        <v>0</v>
      </c>
      <c r="EW98" s="506">
        <v>450</v>
      </c>
      <c r="EX98" s="53">
        <v>1</v>
      </c>
      <c r="EY98" s="507">
        <v>450</v>
      </c>
      <c r="EZ98" s="380">
        <f>IF(EY98="-",0,EY98-EU98)</f>
        <v>0</v>
      </c>
      <c r="FA98" s="506">
        <v>450</v>
      </c>
      <c r="FB98" s="53">
        <v>1</v>
      </c>
      <c r="FC98" s="507">
        <v>450</v>
      </c>
      <c r="FD98" s="380">
        <f>IF(FC98="-",0,FC98-EY98)</f>
        <v>0</v>
      </c>
      <c r="FE98" s="506">
        <v>450</v>
      </c>
      <c r="FF98" s="53">
        <v>1</v>
      </c>
      <c r="FG98" s="507">
        <v>450</v>
      </c>
      <c r="FH98" s="380">
        <f>IF(FG98="-",0,FG98-FC98)</f>
        <v>0</v>
      </c>
      <c r="FI98" s="506">
        <v>450</v>
      </c>
      <c r="FJ98" s="53">
        <v>1</v>
      </c>
      <c r="FK98" s="507">
        <v>450</v>
      </c>
      <c r="FL98" s="380">
        <f>IF(FK98="-",0,FK98-FG98)</f>
        <v>0</v>
      </c>
      <c r="FM98" s="506">
        <v>450</v>
      </c>
      <c r="FN98" s="53">
        <v>1</v>
      </c>
      <c r="FO98" s="507">
        <v>450</v>
      </c>
      <c r="FP98" s="380">
        <f>IF(FO98="-",0,FO98-FK98)</f>
        <v>0</v>
      </c>
      <c r="FQ98" s="506">
        <v>450</v>
      </c>
      <c r="FR98" s="53">
        <v>1</v>
      </c>
      <c r="FS98" s="507">
        <v>450</v>
      </c>
      <c r="FT98" s="380">
        <f>IF(FS98="-",0,FS98-FO98)</f>
        <v>0</v>
      </c>
      <c r="FU98" s="506">
        <v>4200</v>
      </c>
      <c r="FV98" s="53">
        <v>1</v>
      </c>
      <c r="FW98" s="507">
        <v>4200</v>
      </c>
      <c r="FX98" s="380">
        <f>IF(FW98="-",0,FW98-FS98)</f>
        <v>3750</v>
      </c>
      <c r="FY98" s="506">
        <v>15600</v>
      </c>
      <c r="FZ98" s="53">
        <v>1</v>
      </c>
      <c r="GA98" s="507">
        <v>15600</v>
      </c>
      <c r="GB98" s="380">
        <f>IF(GA98="-",0,GA98-FW98)</f>
        <v>11400</v>
      </c>
      <c r="GC98" s="506">
        <v>15600</v>
      </c>
      <c r="GD98" s="53">
        <v>1</v>
      </c>
      <c r="GE98" s="507">
        <v>15600</v>
      </c>
      <c r="GF98" s="380">
        <f>IF(GE98="-",0,GE98-GA98)</f>
        <v>0</v>
      </c>
      <c r="GG98" s="506">
        <v>15600</v>
      </c>
      <c r="GH98" s="53">
        <v>1</v>
      </c>
      <c r="GI98" s="507">
        <v>15600</v>
      </c>
      <c r="GJ98" s="380">
        <f>IF(GI98="-",0,GI98-GE98)</f>
        <v>0</v>
      </c>
      <c r="GK98" s="506">
        <v>15600</v>
      </c>
      <c r="GL98" s="53">
        <v>1</v>
      </c>
      <c r="GM98" s="507">
        <v>15600</v>
      </c>
      <c r="GN98" s="380">
        <f>IF(GM98="-",0,GM98-GI98)</f>
        <v>0</v>
      </c>
      <c r="GO98" s="506">
        <v>15600</v>
      </c>
      <c r="GP98" s="53">
        <v>1</v>
      </c>
      <c r="GQ98" s="507">
        <v>15600</v>
      </c>
      <c r="GR98" s="380">
        <f>IF(GQ98="-",0,GQ98-GM98)</f>
        <v>0</v>
      </c>
      <c r="GS98" s="506">
        <v>15600</v>
      </c>
      <c r="GT98" s="53">
        <v>1</v>
      </c>
      <c r="GU98" s="507">
        <v>15600</v>
      </c>
      <c r="GV98" s="380">
        <f>IF(GU98="-",0,GU98-GQ98)</f>
        <v>0</v>
      </c>
      <c r="GW98" s="506">
        <v>15600</v>
      </c>
      <c r="GX98" s="53">
        <v>1</v>
      </c>
      <c r="GY98" s="507">
        <v>15600</v>
      </c>
      <c r="GZ98" s="380">
        <f>IF(GY98="-",0,GY98-GU98)</f>
        <v>0</v>
      </c>
      <c r="HA98" s="506">
        <v>15600</v>
      </c>
      <c r="HB98" s="53">
        <v>1</v>
      </c>
      <c r="HC98" s="507">
        <v>15600</v>
      </c>
      <c r="HD98" s="380">
        <f>IF(HC98="-",0,HC98-GY98)</f>
        <v>0</v>
      </c>
      <c r="HE98" s="506">
        <v>15600</v>
      </c>
      <c r="HF98" s="53">
        <v>1</v>
      </c>
      <c r="HG98" s="507">
        <v>15600</v>
      </c>
      <c r="HH98" s="380">
        <f>IF(HG98="-",0,HG98-HC98)</f>
        <v>0</v>
      </c>
      <c r="HI98" s="506">
        <v>15600</v>
      </c>
      <c r="HJ98" s="53">
        <v>1</v>
      </c>
      <c r="HK98" s="507">
        <v>15600</v>
      </c>
      <c r="HL98" s="380">
        <f>IF(HK98="-",0,HK98-HG98)</f>
        <v>0</v>
      </c>
      <c r="HM98" s="506">
        <v>15600</v>
      </c>
      <c r="HN98" s="53">
        <v>1</v>
      </c>
      <c r="HO98" s="507">
        <v>15600</v>
      </c>
      <c r="HP98" s="380">
        <f>IF(HO98="-",0,HO98-HK98)</f>
        <v>0</v>
      </c>
      <c r="HQ98" s="506">
        <v>15600</v>
      </c>
      <c r="HR98" s="53">
        <v>1</v>
      </c>
      <c r="HS98" s="507">
        <v>15600</v>
      </c>
      <c r="HT98" s="380">
        <f>IF(HS98="-",0,HS98-HO98)</f>
        <v>0</v>
      </c>
      <c r="HU98" s="506">
        <v>15600</v>
      </c>
      <c r="HV98" s="53">
        <v>1</v>
      </c>
      <c r="HW98" s="507">
        <v>15600</v>
      </c>
      <c r="HX98" s="380">
        <f>IF(HW98="-",0,HW98-HS98)</f>
        <v>0</v>
      </c>
      <c r="HY98" s="506">
        <v>15600</v>
      </c>
      <c r="HZ98" s="53">
        <v>1</v>
      </c>
      <c r="IA98" s="507">
        <v>15600</v>
      </c>
      <c r="IB98" s="380">
        <f>IF(IA98="-",0,IA98-HW98)</f>
        <v>0</v>
      </c>
      <c r="IC98" s="506">
        <v>15600</v>
      </c>
      <c r="ID98" s="53">
        <v>1</v>
      </c>
      <c r="IE98" s="507">
        <v>15600</v>
      </c>
      <c r="IF98" s="380">
        <f>IF(IE98="-",0,IE98-IA98)</f>
        <v>0</v>
      </c>
      <c r="IG98" s="506">
        <v>15600</v>
      </c>
      <c r="IH98" s="53">
        <v>1</v>
      </c>
      <c r="II98" s="507">
        <v>15600</v>
      </c>
      <c r="IJ98" s="380">
        <f>IF(II98="-",0,II98-IE98)</f>
        <v>0</v>
      </c>
      <c r="IK98" s="506">
        <v>15600</v>
      </c>
      <c r="IL98" s="53">
        <v>1</v>
      </c>
      <c r="IM98" s="507">
        <v>15600</v>
      </c>
      <c r="IN98" s="380">
        <f>IF(IM98="-",0,IM98-II98)</f>
        <v>0</v>
      </c>
      <c r="IO98" s="506">
        <v>15600</v>
      </c>
      <c r="IP98" s="53">
        <v>1</v>
      </c>
      <c r="IQ98" s="507">
        <v>15600</v>
      </c>
      <c r="IR98" s="380">
        <f>IF(IQ98="-",0,IQ98-IM98)</f>
        <v>0</v>
      </c>
      <c r="IS98" s="506">
        <v>15600</v>
      </c>
      <c r="IT98" s="53">
        <v>1</v>
      </c>
      <c r="IU98" s="507">
        <v>15600</v>
      </c>
      <c r="IV98" s="380">
        <f>IF(IU98="-",0,IU98-IQ98)</f>
        <v>0</v>
      </c>
      <c r="IW98" s="506">
        <v>15600</v>
      </c>
      <c r="IX98" s="53">
        <v>1</v>
      </c>
      <c r="IY98" s="507">
        <v>15600</v>
      </c>
      <c r="IZ98" s="380">
        <f>IF(IY98="-",0,IY98-IU98)</f>
        <v>0</v>
      </c>
    </row>
    <row r="99" spans="1:260" s="16" customFormat="1" ht="12">
      <c r="A99" s="508"/>
      <c r="B99" s="508"/>
      <c r="C99" s="508"/>
      <c r="D99" s="508"/>
      <c r="E99" s="508"/>
      <c r="F99" s="508"/>
      <c r="G99" s="508"/>
      <c r="H99" s="508"/>
      <c r="I99" s="17"/>
      <c r="J99" s="17"/>
      <c r="K99" s="17"/>
      <c r="L99" s="43"/>
      <c r="M99" s="43"/>
      <c r="N99" s="382">
        <f>SUM(N3:N95)+11000+130775</f>
        <v>139463432.02696273</v>
      </c>
      <c r="O99" s="43"/>
      <c r="P99" s="43"/>
      <c r="Q99" s="382">
        <f>SUM(Q3:Q95)+50141775+16000000</f>
        <v>148191136.88797596</v>
      </c>
      <c r="R99" s="43"/>
      <c r="S99" s="43"/>
      <c r="T99" s="382">
        <f>SUM(T3:T95)+102141775+16000000</f>
        <v>151834232.95520973</v>
      </c>
      <c r="U99" s="43"/>
      <c r="V99" s="43"/>
      <c r="W99" s="382">
        <f>SUM(W3:W95)+108141775+16000000</f>
        <v>158987714.33323309</v>
      </c>
      <c r="X99" s="43"/>
      <c r="Y99" s="43"/>
      <c r="Z99" s="382">
        <f>SUM(Z3:Z95)+59141775+16000000</f>
        <v>110295152.41258705</v>
      </c>
      <c r="AA99" s="43"/>
      <c r="AB99" s="43"/>
      <c r="AC99" s="382">
        <f>SUM(AC3:AC95)+'Term Deposits'!Q5+'Term Deposits'!Q6</f>
        <v>102832675.20896223</v>
      </c>
      <c r="AD99" s="43"/>
      <c r="AE99" s="43"/>
      <c r="AF99" s="382">
        <f>SUM(AF3:AF95)+58331843+17000000</f>
        <v>101635200.65115665</v>
      </c>
      <c r="AG99" s="43"/>
      <c r="AH99" s="43"/>
      <c r="AI99" s="382">
        <f>SUM(AI3:AI95)+63331843+17000000</f>
        <v>115270268.62963212</v>
      </c>
      <c r="AJ99" s="43"/>
      <c r="AK99" s="43"/>
      <c r="AL99" s="382">
        <f>SUM(AL3:AL95)+69831843+17000000</f>
        <v>123571532.36322464</v>
      </c>
      <c r="AM99" s="43"/>
      <c r="AN99" s="43"/>
      <c r="AO99" s="382">
        <f>SUM(AO3:AO95)+'Term Deposits'!R5+'Term Deposits'!R6</f>
        <v>113826533.15718423</v>
      </c>
      <c r="AP99" s="43"/>
      <c r="AQ99" s="43"/>
      <c r="AR99" s="382">
        <f>SUM(AR3:AR95)+'Term Deposits'!S5+'Term Deposits'!S6</f>
        <v>117376927.33815154</v>
      </c>
      <c r="AS99" s="43"/>
      <c r="AT99" s="43"/>
      <c r="AU99" s="382">
        <f>SUM(AU3:AU95)+'Term Deposits'!S5+'Term Deposits'!S6</f>
        <v>118217799.6161198</v>
      </c>
      <c r="AV99" s="43"/>
      <c r="AW99" s="43"/>
      <c r="AX99" s="382">
        <f>SUM(AX3:AX98)+'Term Deposits'!S5+'Term Deposits'!S6</f>
        <v>118661053.26324201</v>
      </c>
      <c r="AY99" s="43"/>
      <c r="AZ99" s="43"/>
      <c r="BA99" s="382">
        <f>SUM(BA3:BA98)+'Term Deposits'!S5</f>
        <v>96932994.088402405</v>
      </c>
      <c r="BB99" s="43"/>
      <c r="BC99" s="43"/>
      <c r="BD99" s="382">
        <f>SUM(BD3:BD98)+'[15]Term Deposits'!S5</f>
        <v>97448965.372183487</v>
      </c>
      <c r="BE99" s="43"/>
      <c r="BF99" s="43"/>
      <c r="BG99" s="382">
        <f>SUM(BG3:BG98)+'[15]Term Deposits'!B11</f>
        <v>94096290.563448101</v>
      </c>
      <c r="BH99" s="382">
        <f>SUM(BH3:BH98)</f>
        <v>22251590.948296979</v>
      </c>
      <c r="BI99" s="43"/>
      <c r="BJ99" s="43"/>
      <c r="BK99" s="382">
        <f>SUM(BK3:BK98)+'[15]Term Deposits'!B12</f>
        <v>95390952.49270691</v>
      </c>
      <c r="BL99" s="382">
        <f>SUM(BL3:BL98)</f>
        <v>-1096348.5107411915</v>
      </c>
      <c r="BM99" s="43"/>
      <c r="BN99" s="43"/>
      <c r="BO99" s="382">
        <f>SUM(BO3:BO98)+'[15]Term Deposits'!B13</f>
        <v>96107595.467836022</v>
      </c>
      <c r="BP99" s="509">
        <f>IF(BP96&gt;0,BP96,0)</f>
        <v>0</v>
      </c>
      <c r="BQ99" s="43"/>
      <c r="BR99" s="43"/>
      <c r="BS99" s="382">
        <f>SUM(BS3:BS98)+'[15]Term Deposits'!B14</f>
        <v>99099526.93546921</v>
      </c>
      <c r="BT99" s="382">
        <f>SUM(BT3:BT98)</f>
        <v>3013615.4590184474</v>
      </c>
      <c r="BU99" s="43"/>
      <c r="BV99" s="43"/>
      <c r="BW99" s="382">
        <f>SUM(BW3:BW98)+'[15]Term Deposits'!B15</f>
        <v>99749667.086447597</v>
      </c>
      <c r="BX99" s="382">
        <f>SUM(BX3:BX98)</f>
        <v>52666247.776814014</v>
      </c>
      <c r="BY99" s="43"/>
      <c r="BZ99" s="43"/>
      <c r="CA99" s="382">
        <f>SUM(CA3:CA98)+'[15]Term Deposits'!B16</f>
        <v>99151991.809543341</v>
      </c>
      <c r="CB99" s="382">
        <f>SUM(CB3:CB98)</f>
        <v>-2933576.507311014</v>
      </c>
      <c r="CC99" s="43"/>
      <c r="CD99" s="43"/>
      <c r="CE99" s="382">
        <f>SUM(CE3:CE98)+'[15]Term Deposits'!B17</f>
        <v>44963269.504053965</v>
      </c>
      <c r="CF99" s="382">
        <f>SUM(CF3:CF98)</f>
        <v>-54145424.838769168</v>
      </c>
      <c r="CG99" s="43"/>
      <c r="CH99" s="43"/>
      <c r="CI99" s="382">
        <f>SUM(CI3:CI98)+'[15]Term Deposits'!B18</f>
        <v>47093733.655476198</v>
      </c>
      <c r="CJ99" s="382">
        <f>SUM(CJ3:CJ98)</f>
        <v>2089351.1514222291</v>
      </c>
      <c r="CK99" s="43"/>
      <c r="CL99" s="43"/>
      <c r="CM99" s="382">
        <f>SUM(CM3:CM98)+'[15]Term Deposits'!B19</f>
        <v>52042247.566613451</v>
      </c>
      <c r="CN99" s="382">
        <f>SUM(CN3:CN98)</f>
        <v>5000326.9111372521</v>
      </c>
      <c r="CO99" s="43"/>
      <c r="CP99" s="43"/>
      <c r="CQ99" s="382">
        <f>SUM(CQ3:CQ98)+'[15]Term Deposits'!$B20</f>
        <v>52788811.903085589</v>
      </c>
      <c r="CR99" s="382">
        <f>SUM(CR3:CR98)</f>
        <v>736668.33647215192</v>
      </c>
      <c r="CS99" s="43"/>
      <c r="CT99" s="43"/>
      <c r="CU99" s="382">
        <f>SUM(CU3:CU98)+'[15]Term Deposits'!$B21</f>
        <v>53880297.360713698</v>
      </c>
      <c r="CV99" s="382">
        <f>SUM(CV3:CV98)</f>
        <v>-1873313.5423718989</v>
      </c>
      <c r="CW99" s="43"/>
      <c r="CX99" s="43"/>
      <c r="CY99" s="382">
        <f>SUM(CY3:CY98)+'[15]Term Deposits'!$B22</f>
        <v>56220118.856624037</v>
      </c>
      <c r="CZ99" s="382">
        <f>SUM(CZ3:CZ98)</f>
        <v>2343370.4959103367</v>
      </c>
      <c r="DA99" s="43"/>
      <c r="DB99" s="43"/>
      <c r="DC99" s="382">
        <f>SUM(DC3:DC98)+'[15]Term Deposits'!$B23</f>
        <v>58260182.086735383</v>
      </c>
      <c r="DD99" s="382">
        <f>SUM(DD3:DD98)</f>
        <v>1878947.2301113389</v>
      </c>
      <c r="DE99" s="43"/>
      <c r="DF99" s="43"/>
      <c r="DG99" s="382">
        <f>SUM(DG3:DG98)+'[15]Term Deposits'!$B24</f>
        <v>56979324.798530951</v>
      </c>
      <c r="DH99" s="382">
        <f>SUM(DH3:DH98)</f>
        <v>-1234611.2882044201</v>
      </c>
      <c r="DI99" s="43"/>
      <c r="DJ99" s="43"/>
      <c r="DK99" s="382">
        <f>SUM(DK3:DK98)+'[15]Term Deposits'!$B25</f>
        <v>56140781.371693388</v>
      </c>
      <c r="DL99" s="382">
        <f>SUM(DL3:DL98)</f>
        <v>133335.57316243762</v>
      </c>
      <c r="DM99" s="43"/>
      <c r="DN99" s="43"/>
      <c r="DO99" s="382">
        <f>SUM(DO3:DO98)+'[15]Term Deposits'!$B26</f>
        <v>54642523.377496354</v>
      </c>
      <c r="DP99" s="382">
        <f>SUM(DP3:DP98)</f>
        <v>-1707547.9941970475</v>
      </c>
      <c r="DQ99" s="43"/>
      <c r="DR99" s="43"/>
      <c r="DS99" s="382">
        <f>SUM(DS3:DS98)+'[15]Term Deposits'!$B26</f>
        <v>55982260.768211327</v>
      </c>
      <c r="DT99" s="382">
        <f>SUM(DT3:DT98)</f>
        <v>1339737.3907149811</v>
      </c>
      <c r="DU99" s="43"/>
      <c r="DV99" s="43"/>
      <c r="DW99" s="382">
        <f>SUM(DW3:DW98)+'Term Deposits'!T5</f>
        <v>53156319.459812194</v>
      </c>
      <c r="DX99" s="382">
        <f>SUM(DX3:DX98)</f>
        <v>-4381953.8383991253</v>
      </c>
      <c r="DY99" s="43"/>
      <c r="DZ99" s="43"/>
      <c r="EA99" s="382">
        <f>+SUM(EA3:EA98)+'Term Deposits'!U5</f>
        <v>42293712.360918872</v>
      </c>
      <c r="EB99" s="382">
        <f>SUM(EB3:EB98)</f>
        <v>2293989.7211066815</v>
      </c>
      <c r="EC99" s="43"/>
      <c r="ED99" s="43"/>
      <c r="EE99" s="382">
        <f>+SUM(EE3:EE98)+'Term Deposits'!$U5</f>
        <v>42500753.236444801</v>
      </c>
      <c r="EF99" s="382">
        <f>SUM(EF3:EF98)</f>
        <v>207040.87552592918</v>
      </c>
      <c r="EG99" s="43"/>
      <c r="EH99" s="43"/>
      <c r="EI99" s="382">
        <f>+SUM(EI3:EI98)+'Term Deposits'!$U5</f>
        <v>39690855.230250522</v>
      </c>
      <c r="EJ99" s="382">
        <f>SUM(EJ3:EJ98)</f>
        <v>-2809898.0061942958</v>
      </c>
      <c r="EK99" s="43"/>
      <c r="EL99" s="43"/>
      <c r="EM99" s="382">
        <f>+SUM(EM3:EM98)+'Term Deposits'!$U5</f>
        <v>38325328.185503796</v>
      </c>
      <c r="EN99" s="382">
        <f>SUM(EN3:EN98)</f>
        <v>-1365527.0447467177</v>
      </c>
      <c r="EO99" s="43"/>
      <c r="EP99" s="43"/>
      <c r="EQ99" s="382">
        <f>+SUM(EQ3:EQ98)+'Term Deposits'!$U5</f>
        <v>38868210.687191963</v>
      </c>
      <c r="ER99" s="382">
        <f>SUM(ER3:ER98)</f>
        <v>542882.50168816885</v>
      </c>
      <c r="ES99" s="43"/>
      <c r="ET99" s="43"/>
      <c r="EU99" s="382">
        <f>+SUM(EU3:EU98)+'Term Deposits'!$U5</f>
        <v>40181843.022982731</v>
      </c>
      <c r="EV99" s="382">
        <f>SUM(EV3:EV98)</f>
        <v>1313632.3357907606</v>
      </c>
      <c r="EW99" s="43"/>
      <c r="EX99" s="43"/>
      <c r="EY99" s="382">
        <f>+SUM(EY3:EY98)+'Term Deposits'!$U5</f>
        <v>41522963.275279984</v>
      </c>
      <c r="EZ99" s="382">
        <f>SUM(EZ3:EZ98)</f>
        <v>1341120.2522972464</v>
      </c>
      <c r="FA99" s="43"/>
      <c r="FB99" s="43"/>
      <c r="FC99" s="382">
        <f>+SUM(FC3:FC98)+'Term Deposits'!$U5</f>
        <v>44614431.146636724</v>
      </c>
      <c r="FD99" s="382">
        <f>SUM(FD3:FD98)</f>
        <v>3091467.8713567527</v>
      </c>
      <c r="FE99" s="43"/>
      <c r="FF99" s="43"/>
      <c r="FG99" s="382">
        <f>+SUM(FG3:FG98)+'Term Deposits'!$U5</f>
        <v>43090337.622319721</v>
      </c>
      <c r="FH99" s="382">
        <f>SUM(FH3:FH98)</f>
        <v>-1524093.5243170003</v>
      </c>
      <c r="FI99" s="43"/>
      <c r="FJ99" s="43"/>
      <c r="FK99" s="382">
        <f>+SUM(FK3:FK98)+'Term Deposits'!B13</f>
        <v>69395938.949154228</v>
      </c>
      <c r="FL99" s="382">
        <f>SUM(FL3:FL98)</f>
        <v>10531529.716834482</v>
      </c>
      <c r="FM99" s="43"/>
      <c r="FN99" s="43"/>
      <c r="FO99" s="382">
        <f>+SUM(FO3:FO98)+'Term Deposits'!B13</f>
        <v>69004240.709974349</v>
      </c>
      <c r="FP99" s="382">
        <f>SUM(FP3:FP98)</f>
        <v>-391698.23917985475</v>
      </c>
      <c r="FQ99" s="43"/>
      <c r="FR99" s="43"/>
      <c r="FS99" s="382">
        <f>+SUM(FS3:FS98)+'Term Deposits'!B13</f>
        <v>68817993.930634379</v>
      </c>
      <c r="FT99" s="382">
        <f>SUM(FT3:FT98)</f>
        <v>-186246.77933997381</v>
      </c>
      <c r="FU99" s="43"/>
      <c r="FV99" s="43"/>
      <c r="FW99" s="382">
        <f>+SUM(FW3:FW98)+'Term Deposits'!B14</f>
        <v>68365035.738547921</v>
      </c>
      <c r="FX99" s="382">
        <f>SUM(FX3:FX98)</f>
        <v>12321113.417913534</v>
      </c>
      <c r="FY99" s="43"/>
      <c r="FZ99" s="43"/>
      <c r="GA99" s="382">
        <f>+SUM(GA3:GA98)+'Term Deposits'!B14</f>
        <v>42508382.291364551</v>
      </c>
      <c r="GB99" s="382">
        <f>SUM(GB3:GB98)</f>
        <v>-25856653.447183363</v>
      </c>
      <c r="GC99" s="43"/>
      <c r="GD99" s="43"/>
      <c r="GE99" s="382">
        <f>+SUM(GE3:GE98)+'Term Deposits'!B14</f>
        <v>41396506.147881657</v>
      </c>
      <c r="GF99" s="382">
        <f>SUM(GF3:GF98)</f>
        <v>-1111876.143482886</v>
      </c>
      <c r="GG99" s="43"/>
      <c r="GH99" s="43"/>
      <c r="GI99" s="382">
        <f>+SUM(GI3:GI98)+'Term Deposits'!B14</f>
        <v>39845152.769382074</v>
      </c>
      <c r="GJ99" s="382">
        <f>SUM(GJ3:GJ98)</f>
        <v>-1551353.378499591</v>
      </c>
      <c r="GK99" s="43"/>
      <c r="GL99" s="43"/>
      <c r="GM99" s="382">
        <f>+SUM(GM3:GM98)+'Term Deposits'!B15</f>
        <v>38156949.23519671</v>
      </c>
      <c r="GN99" s="382">
        <f>SUM(GN3:GN98)</f>
        <v>1311796.4658146559</v>
      </c>
      <c r="GO99" s="43"/>
      <c r="GP99" s="43"/>
      <c r="GQ99" s="382">
        <f>+SUM(GQ3:GQ98)+'Term Deposits'!$B$15</f>
        <v>36527134.157043129</v>
      </c>
      <c r="GR99" s="382">
        <f>SUM(GR3:GR98)</f>
        <v>-1629815.0781536023</v>
      </c>
      <c r="GS99" s="43"/>
      <c r="GT99" s="43"/>
      <c r="GU99" s="382">
        <f>+SUM(GU3:GU98)+'Term Deposits'!$B$15</f>
        <v>42151988.065155834</v>
      </c>
      <c r="GV99" s="382">
        <f>SUM(GV3:GV98)</f>
        <v>5624853.9081127066</v>
      </c>
      <c r="GW99" s="43"/>
      <c r="GX99" s="43"/>
      <c r="GY99" s="382">
        <f>+SUM(GY3:GY98)+'Term Deposits'!$B$16</f>
        <v>42904070.891177468</v>
      </c>
      <c r="GZ99" s="382">
        <f>SUM(GZ3:GZ98)</f>
        <v>642593.49602164107</v>
      </c>
      <c r="HA99" s="43"/>
      <c r="HB99" s="43"/>
      <c r="HC99" s="382">
        <f>+SUM(HC3:HC98)+'Term Deposits'!$B$16</f>
        <v>41872603.832566753</v>
      </c>
      <c r="HD99" s="382">
        <f>SUM(HD3:HD98)</f>
        <v>-1031467.0586107098</v>
      </c>
      <c r="HE99" s="43"/>
      <c r="HF99" s="43"/>
      <c r="HG99" s="382">
        <f>+SUM(HG3:HG98)+'Term Deposits'!$B$16</f>
        <v>42498236.292420179</v>
      </c>
      <c r="HH99" s="382">
        <f>SUM(HH3:HH98)</f>
        <v>625632.45985343016</v>
      </c>
      <c r="HI99" s="43"/>
      <c r="HJ99" s="43"/>
      <c r="HK99" s="382">
        <f>+SUM(HK3:HK98)+'Term Deposits'!$B$16</f>
        <v>42954322.397685915</v>
      </c>
      <c r="HL99" s="382">
        <f>SUM(HL3:HL98)</f>
        <v>456086.10526572255</v>
      </c>
      <c r="HM99" s="43"/>
      <c r="HN99" s="43"/>
      <c r="HO99" s="382">
        <f>+SUM(HO3:HO98)+'Term Deposits'!$B$16</f>
        <v>44549157.631805375</v>
      </c>
      <c r="HP99" s="382">
        <f>SUM(HP3:HP98)</f>
        <v>1594835.2341194695</v>
      </c>
      <c r="HQ99" s="43"/>
      <c r="HR99" s="43"/>
      <c r="HS99" s="382">
        <f>+SUM(HS3:HS98)+'Term Deposits'!$B$16</f>
        <v>42992227.759730607</v>
      </c>
      <c r="HT99" s="382">
        <f>SUM(HT3:HT98)</f>
        <v>-1556929.8720747756</v>
      </c>
      <c r="HU99" s="43"/>
      <c r="HV99" s="43"/>
      <c r="HW99" s="382">
        <f>+SUM(HW3:HW98)+'Term Deposits'!$B$16</f>
        <v>42892374.696927361</v>
      </c>
      <c r="HX99" s="382">
        <f>SUM(HX3:HX98)</f>
        <v>-99853.062803236477</v>
      </c>
      <c r="HY99" s="43"/>
      <c r="HZ99" s="43"/>
      <c r="IA99" s="382">
        <f>+SUM(IA3:IA98)+'Term Deposits'!$B$16</f>
        <v>44338705.034182511</v>
      </c>
      <c r="IB99" s="382">
        <f>SUM(IB3:IB98)</f>
        <v>1446330.3372551417</v>
      </c>
      <c r="IC99" s="43"/>
      <c r="ID99" s="43"/>
      <c r="IE99" s="382">
        <f>+SUM(IE3:IE98)+'Term Deposits'!$B$16</f>
        <v>44154101.16334641</v>
      </c>
      <c r="IF99" s="382">
        <f>SUM(IF3:IF98)</f>
        <v>-184603.87083609402</v>
      </c>
      <c r="IG99" s="43"/>
      <c r="IH99" s="43"/>
      <c r="II99" s="382">
        <f>+SUM(II3:II98)+'Term Deposits'!$B$16</f>
        <v>44651003.460220613</v>
      </c>
      <c r="IJ99" s="382">
        <f>SUM(IJ3:IJ98)</f>
        <v>496902.29687419062</v>
      </c>
      <c r="IK99" s="43"/>
      <c r="IL99" s="43"/>
      <c r="IM99" s="382">
        <f>+SUM(IM3:IM98)+'Term Deposits'!$B$16</f>
        <v>43822681.132734835</v>
      </c>
      <c r="IN99" s="382">
        <f>SUM(IN3:IN98)</f>
        <v>-828322.32748576859</v>
      </c>
      <c r="IO99" s="43"/>
      <c r="IP99" s="43"/>
      <c r="IQ99" s="382">
        <f>+SUM(IQ3:IQ98)+'Term Deposits'!$B$16</f>
        <v>44433984.663293585</v>
      </c>
      <c r="IR99" s="382">
        <f>SUM(IR3:IR98)</f>
        <v>611303.53055874223</v>
      </c>
      <c r="IS99" s="43"/>
      <c r="IT99" s="43"/>
      <c r="IU99" s="382">
        <f>+SUM(IU3:IU98)+'Term Deposits'!$B$17</f>
        <v>42339195.618475355</v>
      </c>
      <c r="IV99" s="382">
        <f>SUM(IV3:IV98)</f>
        <v>13174567.995181775</v>
      </c>
      <c r="IW99" s="43"/>
      <c r="IX99" s="43"/>
      <c r="IY99" s="382">
        <f>+SUM(IY3:IY98)+'Term Deposits'!$B$17</f>
        <v>41511267.206269689</v>
      </c>
      <c r="IZ99" s="382">
        <f>SUM(IZ3:IZ98)</f>
        <v>-827928.41220566514</v>
      </c>
    </row>
    <row r="100" spans="1:260">
      <c r="BB100" s="12"/>
      <c r="BC100" s="12"/>
      <c r="BD100" s="12"/>
      <c r="BE100" s="12"/>
      <c r="BF100" s="12"/>
      <c r="BG100" s="12"/>
      <c r="BH100" s="383" t="str">
        <f>IF(BH101&lt;0,"Negative","Positive")</f>
        <v>Positive</v>
      </c>
      <c r="BI100" s="12"/>
      <c r="BJ100" s="12"/>
      <c r="BK100" s="12"/>
      <c r="BL100" s="383" t="str">
        <f>IF(BL101&lt;0,"Negative","Positive")</f>
        <v>Positive</v>
      </c>
      <c r="BM100" s="12"/>
      <c r="BN100" s="12"/>
      <c r="BO100" s="12"/>
      <c r="BP100" s="137" t="s">
        <v>658</v>
      </c>
      <c r="BQ100" s="12"/>
      <c r="BR100" s="12"/>
      <c r="BS100" s="12"/>
      <c r="BT100" s="383" t="str">
        <f>IF(BT101&lt;0,"Negative","Positive")</f>
        <v>Positive</v>
      </c>
      <c r="BU100" s="12"/>
      <c r="BV100" s="12"/>
      <c r="BW100" s="12"/>
      <c r="BX100" s="383" t="str">
        <f>IF(BX101&lt;0,"Negative","Positive")</f>
        <v>Positive</v>
      </c>
      <c r="BY100" s="12"/>
      <c r="BZ100" s="12"/>
      <c r="CA100" s="12"/>
      <c r="CB100" s="383" t="str">
        <f>IF(CB101&lt;0,"Negative","Positive")</f>
        <v>Negative</v>
      </c>
      <c r="CC100" s="12"/>
      <c r="CD100" s="12"/>
      <c r="CE100" s="12"/>
      <c r="CF100" s="383" t="str">
        <f>IF(CF101&lt;0,"Negative","Positive")</f>
        <v>Negative</v>
      </c>
      <c r="CG100" s="12"/>
      <c r="CH100" s="12"/>
      <c r="CI100" s="12"/>
      <c r="CJ100" s="383" t="str">
        <f>IF(CJ101&lt;0,"Negative","Positive")</f>
        <v>Positive</v>
      </c>
      <c r="CK100" s="12"/>
      <c r="CL100" s="12"/>
      <c r="CM100" s="12"/>
      <c r="CN100" s="383" t="str">
        <f>IF(CN101&lt;0,"Negative","Positive")</f>
        <v>Positive</v>
      </c>
      <c r="CO100" s="12"/>
      <c r="CP100" s="12"/>
      <c r="CQ100" s="12"/>
      <c r="CR100" s="383" t="str">
        <f>IF(CR101&lt;0,"Negative","Positive")</f>
        <v>Positive</v>
      </c>
      <c r="CS100" s="12"/>
      <c r="CT100" s="12"/>
      <c r="CU100" s="12"/>
      <c r="CV100" s="383" t="str">
        <f>IF(CV101&lt;0,"Negative","Positive")</f>
        <v>Positive</v>
      </c>
      <c r="CW100" s="12"/>
      <c r="CX100" s="12"/>
      <c r="CY100" s="12"/>
      <c r="CZ100" s="383" t="str">
        <f>IF(CZ101&lt;0,"Negative","Positive")</f>
        <v>Positive</v>
      </c>
      <c r="DA100" s="12"/>
      <c r="DB100" s="12"/>
      <c r="DC100" s="12"/>
      <c r="DD100" s="383" t="str">
        <f>IF(DD101&lt;0,"Negative","Positive")</f>
        <v>Positive</v>
      </c>
      <c r="DE100" s="12"/>
      <c r="DF100" s="12"/>
      <c r="DG100" s="12"/>
      <c r="DH100" s="383" t="str">
        <f>IF(DH101&lt;0,"Negative","Positive")</f>
        <v>Negative</v>
      </c>
      <c r="DI100" s="12"/>
      <c r="DJ100" s="12"/>
      <c r="DK100" s="12"/>
      <c r="DL100" s="383" t="str">
        <f>IF(DL101&lt;0,"Negative","Positive")</f>
        <v>Negative</v>
      </c>
      <c r="DM100" s="12"/>
      <c r="DN100" s="12"/>
      <c r="DO100" s="12"/>
      <c r="DP100" s="383" t="str">
        <f>IF(DP101&lt;0,"Negative","Positive")</f>
        <v>Negative</v>
      </c>
      <c r="DQ100" s="12"/>
      <c r="DR100" s="12"/>
      <c r="DS100" s="12"/>
      <c r="DT100" s="383" t="str">
        <f>IF(DT101&lt;0,"Negative","Positive")</f>
        <v>Positive</v>
      </c>
      <c r="DU100" s="12"/>
      <c r="DV100" s="12"/>
      <c r="DW100" s="12"/>
      <c r="DX100" s="383" t="str">
        <f>IF(DX101&lt;0,"Negative","Positive")</f>
        <v>Negative</v>
      </c>
      <c r="DY100" s="12"/>
      <c r="DZ100" s="12"/>
      <c r="EA100" s="12"/>
      <c r="EB100" s="383" t="str">
        <f>IF(EB101&lt;0,"Negative","Positive")</f>
        <v>Negative</v>
      </c>
      <c r="EC100" s="12"/>
      <c r="ED100" s="12"/>
      <c r="EE100" s="12"/>
      <c r="EF100" s="383" t="str">
        <f>IF(EF101&lt;0,"Negative","Positive")</f>
        <v>Positive</v>
      </c>
      <c r="EG100" s="12"/>
      <c r="EH100" s="12"/>
      <c r="EI100" s="12"/>
      <c r="EJ100" s="383" t="str">
        <f>IF(EJ101&lt;0,"Negative","Positive")</f>
        <v>Negative</v>
      </c>
      <c r="EK100" s="12"/>
      <c r="EL100" s="12"/>
      <c r="EM100" s="12"/>
      <c r="EN100" s="383" t="str">
        <f>IF(EN101&lt;0,"Negative","Positive")</f>
        <v>Negative</v>
      </c>
      <c r="EO100" s="12"/>
      <c r="EP100" s="12"/>
      <c r="EQ100" s="12"/>
      <c r="ER100" s="383" t="str">
        <f>IF(ER101&lt;0,"Negative","Positive")</f>
        <v>Positive</v>
      </c>
      <c r="ES100" s="12"/>
      <c r="ET100" s="12"/>
      <c r="EU100" s="12"/>
      <c r="EV100" s="383" t="str">
        <f>IF(EV101&lt;0,"Negative","Positive")</f>
        <v>Positive</v>
      </c>
      <c r="EW100" s="12"/>
      <c r="EX100" s="12"/>
      <c r="EY100" s="12"/>
      <c r="EZ100" s="383" t="str">
        <f>IF(EZ101&lt;0,"Negative","Positive")</f>
        <v>Positive</v>
      </c>
      <c r="FA100" s="12"/>
      <c r="FB100" s="12"/>
      <c r="FC100" s="12"/>
      <c r="FD100" s="383" t="str">
        <f>IF(FD101&lt;0,"Negative","Positive")</f>
        <v>Positive</v>
      </c>
      <c r="FE100" s="12"/>
      <c r="FF100" s="12"/>
      <c r="FG100" s="12"/>
      <c r="FH100" s="383" t="str">
        <f>IF(FH101&lt;0,"Negative","Positive")</f>
        <v>Negative</v>
      </c>
      <c r="FI100" s="12"/>
      <c r="FJ100" s="12"/>
      <c r="FK100" s="12"/>
      <c r="FL100" s="383" t="str">
        <f>IF(FL101&lt;0,"Negative","Positive")</f>
        <v>Positive</v>
      </c>
      <c r="FM100" s="12"/>
      <c r="FN100" s="12"/>
      <c r="FO100" s="12"/>
      <c r="FP100" s="383" t="str">
        <f>IF(FP101&lt;0,"Negative","Positive")</f>
        <v>Negative</v>
      </c>
      <c r="FQ100" s="12"/>
      <c r="FR100" s="12"/>
      <c r="FS100" s="12"/>
      <c r="FT100" s="383" t="str">
        <f>IF(FT101&lt;0,"Negative","Positive")</f>
        <v>Negative</v>
      </c>
      <c r="FU100" s="12"/>
      <c r="FV100" s="12"/>
      <c r="FW100" s="12"/>
      <c r="FX100" s="383" t="str">
        <f>IF(FX101&lt;0,"Negative","Positive")</f>
        <v>Negative</v>
      </c>
      <c r="FY100" s="12"/>
      <c r="FZ100" s="12"/>
      <c r="GA100" s="12"/>
      <c r="GB100" s="383" t="str">
        <f>IF(GB101&lt;0,"Negative","Positive")</f>
        <v>Negative</v>
      </c>
      <c r="GC100" s="12"/>
      <c r="GD100" s="12"/>
      <c r="GE100" s="12"/>
      <c r="GF100" s="383" t="str">
        <f>IF(GF101&lt;0,"Negative","Positive")</f>
        <v>Negative</v>
      </c>
      <c r="GG100" s="12"/>
      <c r="GH100" s="12"/>
      <c r="GI100" s="12"/>
      <c r="GJ100" s="383" t="str">
        <f>IF(GJ101&lt;0,"Negative","Positive")</f>
        <v>Negative</v>
      </c>
      <c r="GK100" s="12"/>
      <c r="GL100" s="12"/>
      <c r="GM100" s="12"/>
      <c r="GN100" s="383" t="str">
        <f>IF(GN101&lt;0,"Negative","Positive")</f>
        <v>Negative</v>
      </c>
      <c r="GO100" s="12"/>
      <c r="GP100" s="12"/>
      <c r="GQ100" s="12"/>
      <c r="GR100" s="383" t="str">
        <f>IF(GR101&lt;0,"Negative","Positive")</f>
        <v>Negative</v>
      </c>
      <c r="GS100" s="12"/>
      <c r="GT100" s="12"/>
      <c r="GU100" s="12"/>
      <c r="GV100" s="383" t="str">
        <f>IF(GV101&lt;0,"Negative","Positive")</f>
        <v>Positive</v>
      </c>
      <c r="GW100" s="12"/>
      <c r="GX100" s="12"/>
      <c r="GY100" s="12"/>
      <c r="GZ100" s="383" t="str">
        <f>IF(GZ101&lt;0,"Negative","Positive")</f>
        <v>Positive</v>
      </c>
      <c r="HA100" s="12"/>
      <c r="HB100" s="12"/>
      <c r="HC100" s="12"/>
      <c r="HD100" s="383" t="str">
        <f>IF(HD101&lt;0,"Negative","Positive")</f>
        <v>Negative</v>
      </c>
      <c r="HE100" s="12"/>
      <c r="HF100" s="12"/>
      <c r="HG100" s="12"/>
      <c r="HH100" s="383" t="str">
        <f>IF(HH101&lt;0,"Negative","Positive")</f>
        <v>Positive</v>
      </c>
      <c r="HI100" s="12"/>
      <c r="HJ100" s="12"/>
      <c r="HK100" s="12"/>
      <c r="HL100" s="383" t="str">
        <f>IF(HL101&lt;0,"Negative","Positive")</f>
        <v>Positive</v>
      </c>
      <c r="HM100" s="12"/>
      <c r="HN100" s="12"/>
      <c r="HO100" s="12"/>
      <c r="HP100" s="383" t="str">
        <f>IF(HP101&lt;0,"Negative","Positive")</f>
        <v>Positive</v>
      </c>
      <c r="HQ100" s="12"/>
      <c r="HR100" s="12"/>
      <c r="HS100" s="12"/>
      <c r="HT100" s="383" t="str">
        <f>IF(HT101&lt;0,"Negative","Positive")</f>
        <v>Negative</v>
      </c>
      <c r="HU100" s="12"/>
      <c r="HV100" s="12"/>
      <c r="HW100" s="12"/>
      <c r="HX100" s="383" t="str">
        <f>IF(HX101&lt;0,"Negative","Positive")</f>
        <v>Negative</v>
      </c>
      <c r="HY100" s="12"/>
      <c r="HZ100" s="12"/>
      <c r="IA100" s="12"/>
      <c r="IB100" s="383" t="str">
        <f>IF(IB101&lt;0,"Negative","Positive")</f>
        <v>Positive</v>
      </c>
      <c r="IC100" s="12"/>
      <c r="ID100" s="12"/>
      <c r="IE100" s="12"/>
      <c r="IF100" s="383" t="str">
        <f>IF(IF101&lt;0,"Negative","Positive")</f>
        <v>Negative</v>
      </c>
      <c r="IG100" s="12"/>
      <c r="IH100" s="12"/>
      <c r="II100" s="12"/>
      <c r="IJ100" s="383" t="str">
        <f>IF(IJ101&lt;0,"Negative","Positive")</f>
        <v>Positive</v>
      </c>
      <c r="IK100" s="12"/>
      <c r="IL100" s="12"/>
      <c r="IM100" s="12"/>
      <c r="IN100" s="383" t="str">
        <f>IF(IN101&lt;0,"Negative","Positive")</f>
        <v>Negative</v>
      </c>
      <c r="IO100" s="12"/>
      <c r="IP100" s="12"/>
      <c r="IQ100" s="12"/>
      <c r="IR100" s="383" t="str">
        <f>IF(IR101&lt;0,"Negative","Positive")</f>
        <v>Positive</v>
      </c>
      <c r="IS100" s="12"/>
      <c r="IT100" s="12"/>
      <c r="IU100" s="12"/>
      <c r="IV100" s="383" t="str">
        <f>IF(IV101&lt;0,"Negative","Positive")</f>
        <v>Negative</v>
      </c>
      <c r="IW100" s="12"/>
      <c r="IX100" s="12"/>
      <c r="IY100" s="12"/>
      <c r="IZ100" s="383" t="str">
        <f>IF(IZ101&lt;0,"Negative","Positive")</f>
        <v>Negative</v>
      </c>
    </row>
    <row r="101" spans="1:260">
      <c r="N101" s="380"/>
      <c r="Q101" s="380"/>
      <c r="T101" s="380"/>
      <c r="W101" s="380"/>
      <c r="Z101" s="380"/>
      <c r="AC101" s="380"/>
      <c r="AF101" s="380"/>
      <c r="AI101" s="380"/>
      <c r="AL101" s="380"/>
      <c r="AO101" s="380"/>
      <c r="AR101" s="380"/>
      <c r="AU101" s="380"/>
      <c r="AX101" s="380"/>
      <c r="BA101" s="380"/>
      <c r="BB101" s="12"/>
      <c r="BC101" s="12"/>
      <c r="BD101" s="380"/>
      <c r="BE101" s="12"/>
      <c r="BF101" s="12"/>
      <c r="BG101" s="380" t="s">
        <v>659</v>
      </c>
      <c r="BH101" s="384">
        <f>+BG99-BC99</f>
        <v>94096290.563448101</v>
      </c>
      <c r="BI101" s="12"/>
      <c r="BJ101" s="12"/>
      <c r="BK101" s="380" t="s">
        <v>659</v>
      </c>
      <c r="BL101" s="384">
        <f>+BK99-BG99</f>
        <v>1294661.9292588085</v>
      </c>
      <c r="BM101" s="12"/>
      <c r="BN101" s="12"/>
      <c r="BO101" s="380" t="s">
        <v>659</v>
      </c>
      <c r="BP101" s="138" t="e">
        <f>(BL98-BP98)/BL98*1</f>
        <v>#DIV/0!</v>
      </c>
      <c r="BQ101" s="12"/>
      <c r="BR101" s="12"/>
      <c r="BS101" s="380" t="s">
        <v>659</v>
      </c>
      <c r="BT101" s="384">
        <f>+BS99-BO99</f>
        <v>2991931.4676331878</v>
      </c>
      <c r="BU101" s="12"/>
      <c r="BV101" s="12"/>
      <c r="BW101" s="380" t="s">
        <v>659</v>
      </c>
      <c r="BX101" s="384">
        <f>+BW99-BS99</f>
        <v>650140.1509783864</v>
      </c>
      <c r="BY101" s="12"/>
      <c r="BZ101" s="12"/>
      <c r="CA101" s="380" t="s">
        <v>659</v>
      </c>
      <c r="CB101" s="384">
        <f>+CA99-BW99</f>
        <v>-597675.27690425515</v>
      </c>
      <c r="CC101" s="12"/>
      <c r="CD101" s="12"/>
      <c r="CE101" s="380" t="s">
        <v>659</v>
      </c>
      <c r="CF101" s="384">
        <f>+CE99-CA99</f>
        <v>-54188722.305489376</v>
      </c>
      <c r="CG101" s="12"/>
      <c r="CH101" s="12"/>
      <c r="CI101" s="380" t="s">
        <v>659</v>
      </c>
      <c r="CJ101" s="384">
        <f>+CI99-CE99</f>
        <v>2130464.1514222324</v>
      </c>
      <c r="CK101" s="12"/>
      <c r="CL101" s="12"/>
      <c r="CM101" s="380" t="s">
        <v>659</v>
      </c>
      <c r="CN101" s="384">
        <f>+CM99-CI99</f>
        <v>4948513.911137253</v>
      </c>
      <c r="CO101" s="12"/>
      <c r="CP101" s="12"/>
      <c r="CQ101" s="380" t="s">
        <v>659</v>
      </c>
      <c r="CR101" s="384">
        <f>+CQ99-CM99</f>
        <v>746564.33647213876</v>
      </c>
      <c r="CS101" s="12"/>
      <c r="CT101" s="12"/>
      <c r="CU101" s="380" t="s">
        <v>659</v>
      </c>
      <c r="CV101" s="384">
        <f>+CU99-CQ99</f>
        <v>1091485.4576281086</v>
      </c>
      <c r="CW101" s="12"/>
      <c r="CX101" s="12"/>
      <c r="CY101" s="380" t="s">
        <v>659</v>
      </c>
      <c r="CZ101" s="384">
        <f>+CY99-CU99</f>
        <v>2339821.4959103391</v>
      </c>
      <c r="DA101" s="12"/>
      <c r="DB101" s="12"/>
      <c r="DC101" s="380" t="s">
        <v>659</v>
      </c>
      <c r="DD101" s="384">
        <f>+DC99-CY99</f>
        <v>2040063.2301113456</v>
      </c>
      <c r="DE101" s="12"/>
      <c r="DF101" s="12"/>
      <c r="DG101" s="380" t="s">
        <v>659</v>
      </c>
      <c r="DH101" s="384">
        <f>+DG99-DC99</f>
        <v>-1280857.2882044315</v>
      </c>
      <c r="DI101" s="12"/>
      <c r="DJ101" s="12"/>
      <c r="DK101" s="380" t="s">
        <v>659</v>
      </c>
      <c r="DL101" s="384">
        <f>+DK99-DG99</f>
        <v>-838543.42683756351</v>
      </c>
      <c r="DM101" s="12"/>
      <c r="DN101" s="12"/>
      <c r="DO101" s="380" t="s">
        <v>659</v>
      </c>
      <c r="DP101" s="384">
        <f>+DO99-DK99</f>
        <v>-1498257.9941970333</v>
      </c>
      <c r="DQ101" s="12"/>
      <c r="DR101" s="12"/>
      <c r="DS101" s="380" t="s">
        <v>659</v>
      </c>
      <c r="DT101" s="384">
        <f>+DS99-DO99</f>
        <v>1339737.3907149732</v>
      </c>
      <c r="DU101" s="12"/>
      <c r="DV101" s="12"/>
      <c r="DW101" s="380" t="s">
        <v>659</v>
      </c>
      <c r="DX101" s="384">
        <f>+DW99-DS99</f>
        <v>-2825941.3083991334</v>
      </c>
      <c r="DY101" s="12"/>
      <c r="DZ101" s="12"/>
      <c r="EA101" s="380" t="s">
        <v>659</v>
      </c>
      <c r="EB101" s="384">
        <f>+EA99-DW99</f>
        <v>-10862607.098893322</v>
      </c>
      <c r="EC101" s="12"/>
      <c r="ED101" s="12"/>
      <c r="EE101" s="380" t="s">
        <v>659</v>
      </c>
      <c r="EF101" s="384">
        <f>+EE99-EA99</f>
        <v>207040.87552592903</v>
      </c>
      <c r="EG101" s="12"/>
      <c r="EH101" s="12"/>
      <c r="EI101" s="380" t="s">
        <v>659</v>
      </c>
      <c r="EJ101" s="384">
        <f>+EI99-EE99</f>
        <v>-2809898.0061942786</v>
      </c>
      <c r="EK101" s="12"/>
      <c r="EL101" s="12"/>
      <c r="EM101" s="380" t="s">
        <v>659</v>
      </c>
      <c r="EN101" s="384">
        <f>+EM99-EI99</f>
        <v>-1365527.0447467268</v>
      </c>
      <c r="EO101" s="12"/>
      <c r="EP101" s="12"/>
      <c r="EQ101" s="380" t="s">
        <v>659</v>
      </c>
      <c r="ER101" s="384">
        <f>+EQ99-EM99</f>
        <v>542882.50168816745</v>
      </c>
      <c r="ES101" s="12"/>
      <c r="ET101" s="12"/>
      <c r="EU101" s="380" t="s">
        <v>659</v>
      </c>
      <c r="EV101" s="384">
        <f>+EU99-EQ99</f>
        <v>1313632.3357907683</v>
      </c>
      <c r="EW101" s="12"/>
      <c r="EX101" s="12"/>
      <c r="EY101" s="380" t="s">
        <v>659</v>
      </c>
      <c r="EZ101" s="384">
        <f>+EY99-EU99</f>
        <v>1341120.2522972524</v>
      </c>
      <c r="FA101" s="12"/>
      <c r="FB101" s="12"/>
      <c r="FC101" s="380" t="s">
        <v>659</v>
      </c>
      <c r="FD101" s="384">
        <f>+FC99-EY99</f>
        <v>3091467.8713567406</v>
      </c>
      <c r="FE101" s="12"/>
      <c r="FF101" s="12"/>
      <c r="FG101" s="380" t="s">
        <v>659</v>
      </c>
      <c r="FH101" s="384">
        <f>+FG99-FC99</f>
        <v>-1524093.5243170038</v>
      </c>
      <c r="FI101" s="12"/>
      <c r="FJ101" s="12"/>
      <c r="FK101" s="380" t="s">
        <v>659</v>
      </c>
      <c r="FL101" s="384">
        <f>+FK99-FG99</f>
        <v>26305601.326834507</v>
      </c>
      <c r="FM101" s="12"/>
      <c r="FN101" s="12"/>
      <c r="FO101" s="380" t="s">
        <v>659</v>
      </c>
      <c r="FP101" s="384">
        <f>+FO99-FK99</f>
        <v>-391698.23917987943</v>
      </c>
      <c r="FQ101" s="12"/>
      <c r="FR101" s="12"/>
      <c r="FS101" s="380" t="s">
        <v>659</v>
      </c>
      <c r="FT101" s="384">
        <f>+FS99-FO99</f>
        <v>-186246.77933996916</v>
      </c>
      <c r="FU101" s="12"/>
      <c r="FV101" s="12"/>
      <c r="FW101" s="380" t="s">
        <v>659</v>
      </c>
      <c r="FX101" s="384">
        <f>+FW99-FS99</f>
        <v>-452958.19208645821</v>
      </c>
      <c r="FY101" s="12"/>
      <c r="FZ101" s="12"/>
      <c r="GA101" s="380" t="s">
        <v>659</v>
      </c>
      <c r="GB101" s="384">
        <f>+GA99-FW99</f>
        <v>-25856653.447183371</v>
      </c>
      <c r="GC101" s="12"/>
      <c r="GD101" s="12"/>
      <c r="GE101" s="380" t="s">
        <v>659</v>
      </c>
      <c r="GF101" s="384">
        <f>+GE99-GA99</f>
        <v>-1111876.1434828937</v>
      </c>
      <c r="GG101" s="12"/>
      <c r="GH101" s="12"/>
      <c r="GI101" s="380" t="s">
        <v>659</v>
      </c>
      <c r="GJ101" s="384">
        <f>+GI99-GE99</f>
        <v>-1551353.3784995824</v>
      </c>
      <c r="GK101" s="12"/>
      <c r="GL101" s="12"/>
      <c r="GM101" s="380" t="s">
        <v>659</v>
      </c>
      <c r="GN101" s="384">
        <f>+GM99-GI99</f>
        <v>-1688203.5341853648</v>
      </c>
      <c r="GO101" s="12"/>
      <c r="GP101" s="12"/>
      <c r="GQ101" s="380" t="s">
        <v>659</v>
      </c>
      <c r="GR101" s="384">
        <f>+GQ99-GM99</f>
        <v>-1629815.0781535804</v>
      </c>
      <c r="GS101" s="12"/>
      <c r="GT101" s="12"/>
      <c r="GU101" s="380" t="s">
        <v>659</v>
      </c>
      <c r="GV101" s="384">
        <f>+GU99-GQ99</f>
        <v>5624853.9081127048</v>
      </c>
      <c r="GW101" s="12"/>
      <c r="GX101" s="12"/>
      <c r="GY101" s="380" t="s">
        <v>659</v>
      </c>
      <c r="GZ101" s="384">
        <f>+GY99-GU99</f>
        <v>752082.82602163404</v>
      </c>
      <c r="HA101" s="12"/>
      <c r="HB101" s="12"/>
      <c r="HC101" s="380" t="s">
        <v>659</v>
      </c>
      <c r="HD101" s="384">
        <f>+HC99-GY99</f>
        <v>-1031467.058610715</v>
      </c>
      <c r="HE101" s="12"/>
      <c r="HF101" s="12"/>
      <c r="HG101" s="380" t="s">
        <v>659</v>
      </c>
      <c r="HH101" s="384">
        <f>+HG99-HC99</f>
        <v>625632.45985342562</v>
      </c>
      <c r="HI101" s="12"/>
      <c r="HJ101" s="12"/>
      <c r="HK101" s="380" t="s">
        <v>659</v>
      </c>
      <c r="HL101" s="384">
        <f>+HK99-HG99</f>
        <v>456086.10526573658</v>
      </c>
      <c r="HM101" s="12"/>
      <c r="HN101" s="12"/>
      <c r="HO101" s="380" t="s">
        <v>659</v>
      </c>
      <c r="HP101" s="384">
        <f>+HO99-HK99</f>
        <v>1594835.23411946</v>
      </c>
      <c r="HQ101" s="12"/>
      <c r="HR101" s="12"/>
      <c r="HS101" s="380" t="s">
        <v>659</v>
      </c>
      <c r="HT101" s="384">
        <f>+HS99-HO99</f>
        <v>-1556929.8720747679</v>
      </c>
      <c r="HU101" s="12"/>
      <c r="HV101" s="12"/>
      <c r="HW101" s="380" t="s">
        <v>659</v>
      </c>
      <c r="HX101" s="384">
        <f>+HW99-HS99</f>
        <v>-99853.062803246081</v>
      </c>
      <c r="HY101" s="12"/>
      <c r="HZ101" s="12"/>
      <c r="IA101" s="380" t="s">
        <v>659</v>
      </c>
      <c r="IB101" s="384">
        <f>+IA99-HW99</f>
        <v>1446330.3372551501</v>
      </c>
      <c r="IC101" s="12"/>
      <c r="ID101" s="12"/>
      <c r="IE101" s="380" t="s">
        <v>659</v>
      </c>
      <c r="IF101" s="384">
        <f>+IE99-IA99</f>
        <v>-184603.87083610147</v>
      </c>
      <c r="IG101" s="12"/>
      <c r="IH101" s="12"/>
      <c r="II101" s="380" t="s">
        <v>659</v>
      </c>
      <c r="IJ101" s="384">
        <f>+II99-IE99</f>
        <v>496902.29687420279</v>
      </c>
      <c r="IK101" s="12"/>
      <c r="IL101" s="12"/>
      <c r="IM101" s="380" t="s">
        <v>659</v>
      </c>
      <c r="IN101" s="384">
        <f>+IM99-II99</f>
        <v>-828322.32748577744</v>
      </c>
      <c r="IO101" s="12"/>
      <c r="IP101" s="12"/>
      <c r="IQ101" s="380" t="s">
        <v>659</v>
      </c>
      <c r="IR101" s="384">
        <f>+IQ99-IM99</f>
        <v>611303.53055875003</v>
      </c>
      <c r="IS101" s="12"/>
      <c r="IT101" s="12"/>
      <c r="IU101" s="380" t="s">
        <v>659</v>
      </c>
      <c r="IV101" s="384">
        <f>+IU99-IQ99</f>
        <v>-2094789.04481823</v>
      </c>
      <c r="IW101" s="12"/>
      <c r="IX101" s="12"/>
      <c r="IY101" s="380" t="s">
        <v>659</v>
      </c>
      <c r="IZ101" s="384">
        <f>+IY99-IU99</f>
        <v>-827928.4122056663</v>
      </c>
    </row>
    <row r="102" spans="1:260">
      <c r="N102" s="380"/>
      <c r="Q102" s="380"/>
      <c r="T102" s="380"/>
      <c r="W102" s="380"/>
      <c r="Z102" s="380"/>
      <c r="AC102" s="380"/>
      <c r="AF102" s="380"/>
      <c r="AI102" s="380"/>
      <c r="AL102" s="380"/>
      <c r="AO102" s="380"/>
      <c r="AR102" s="380"/>
      <c r="AU102" s="380"/>
      <c r="AX102" s="380"/>
      <c r="BA102" s="380"/>
      <c r="BB102" s="12"/>
      <c r="BC102" s="12"/>
      <c r="BD102" s="380"/>
      <c r="BE102" s="12"/>
      <c r="BF102" s="12"/>
      <c r="BG102" s="380"/>
      <c r="BH102" s="380"/>
      <c r="BI102" s="12"/>
      <c r="BJ102" s="12"/>
      <c r="BK102" s="380" t="s">
        <v>660</v>
      </c>
      <c r="BL102" s="385">
        <f>(BK99-BG99)/BG99</f>
        <v>1.3758905069545033E-2</v>
      </c>
      <c r="BM102" s="12"/>
      <c r="BN102" s="12"/>
      <c r="BO102" s="380" t="s">
        <v>660</v>
      </c>
      <c r="BQ102" s="12"/>
      <c r="BR102" s="12"/>
      <c r="BS102" s="380" t="s">
        <v>660</v>
      </c>
      <c r="BT102" s="385">
        <f>(BS99-BO99)/BO99</f>
        <v>3.1131061526083924E-2</v>
      </c>
      <c r="BU102" s="12"/>
      <c r="BV102" s="12"/>
      <c r="BW102" s="380" t="s">
        <v>660</v>
      </c>
      <c r="BX102" s="385">
        <f>(BW99-BS99)/BS99</f>
        <v>6.5604768366022493E-3</v>
      </c>
      <c r="BY102" s="12"/>
      <c r="BZ102" s="12"/>
      <c r="CA102" s="380" t="s">
        <v>660</v>
      </c>
      <c r="CB102" s="385">
        <f>(CA99-BW99)/BW99</f>
        <v>-5.9917520966389047E-3</v>
      </c>
      <c r="CC102" s="12"/>
      <c r="CD102" s="12"/>
      <c r="CE102" s="380" t="s">
        <v>660</v>
      </c>
      <c r="CF102" s="385">
        <f>(CE99-CA99)/CA99</f>
        <v>-0.54652177244788069</v>
      </c>
      <c r="CG102" s="12"/>
      <c r="CH102" s="12"/>
      <c r="CI102" s="380" t="s">
        <v>660</v>
      </c>
      <c r="CJ102" s="385">
        <f>(CI99-CE99)/CE99</f>
        <v>4.7382322836424205E-2</v>
      </c>
      <c r="CK102" s="12"/>
      <c r="CL102" s="12"/>
      <c r="CM102" s="380" t="s">
        <v>660</v>
      </c>
      <c r="CN102" s="385">
        <f>(CM99-CI99)/CI99</f>
        <v>0.105077969551939</v>
      </c>
      <c r="CO102" s="12"/>
      <c r="CP102" s="12"/>
      <c r="CQ102" s="380" t="s">
        <v>660</v>
      </c>
      <c r="CR102" s="385">
        <f>(CQ99-CM99)/CM99</f>
        <v>1.4345351543792288E-2</v>
      </c>
      <c r="CS102" s="12"/>
      <c r="CT102" s="12"/>
      <c r="CU102" s="380" t="s">
        <v>660</v>
      </c>
      <c r="CV102" s="385">
        <f>(CU99-CQ99)/CQ99</f>
        <v>2.0676454314447444E-2</v>
      </c>
      <c r="CW102" s="12"/>
      <c r="CX102" s="12"/>
      <c r="CY102" s="380" t="s">
        <v>660</v>
      </c>
      <c r="CZ102" s="385">
        <f>(CY99-CU99)/CU99</f>
        <v>4.3426291437218337E-2</v>
      </c>
      <c r="DA102" s="12"/>
      <c r="DB102" s="12"/>
      <c r="DC102" s="380" t="s">
        <v>660</v>
      </c>
      <c r="DD102" s="385">
        <f>(DC99-CY99)/CY99</f>
        <v>3.6287067185219561E-2</v>
      </c>
      <c r="DE102" s="12"/>
      <c r="DF102" s="12"/>
      <c r="DG102" s="380" t="s">
        <v>660</v>
      </c>
      <c r="DH102" s="385">
        <f>(DG99-DC99)/DC99</f>
        <v>-2.1985123326555063E-2</v>
      </c>
      <c r="DI102" s="12"/>
      <c r="DJ102" s="12"/>
      <c r="DK102" s="380" t="s">
        <v>660</v>
      </c>
      <c r="DL102" s="385">
        <f>(DK99-DG99)/DG99</f>
        <v>-1.4716626246493938E-2</v>
      </c>
      <c r="DM102" s="12"/>
      <c r="DN102" s="12"/>
      <c r="DO102" s="380" t="s">
        <v>660</v>
      </c>
      <c r="DP102" s="385">
        <f>(DO99-DK99)/DK99</f>
        <v>-2.66875158768714E-2</v>
      </c>
      <c r="DQ102" s="12"/>
      <c r="DR102" s="12"/>
      <c r="DS102" s="380" t="s">
        <v>660</v>
      </c>
      <c r="DT102" s="385">
        <f>(DS99-DO99)/DO99</f>
        <v>2.4518219655769457E-2</v>
      </c>
      <c r="DU102" s="12"/>
      <c r="DV102" s="12"/>
      <c r="DW102" s="380" t="s">
        <v>660</v>
      </c>
      <c r="DX102" s="385">
        <f>(DW99-DS99)/DS99</f>
        <v>-5.0479228055823729E-2</v>
      </c>
      <c r="DY102" s="12"/>
      <c r="DZ102" s="12"/>
      <c r="EA102" s="380" t="s">
        <v>660</v>
      </c>
      <c r="EB102" s="385">
        <f>(EA99-DW99)/DW99</f>
        <v>-0.20435212989315008</v>
      </c>
      <c r="EC102" s="12"/>
      <c r="ED102" s="12"/>
      <c r="EE102" s="380" t="s">
        <v>660</v>
      </c>
      <c r="EF102" s="385">
        <f>(EE99-EA99)/EA99</f>
        <v>4.8953110041303283E-3</v>
      </c>
      <c r="EG102" s="12"/>
      <c r="EH102" s="12"/>
      <c r="EI102" s="380" t="s">
        <v>660</v>
      </c>
      <c r="EJ102" s="385">
        <f>(EI99-EE99)/EE99</f>
        <v>-6.6114075450897286E-2</v>
      </c>
      <c r="EK102" s="12"/>
      <c r="EL102" s="12"/>
      <c r="EM102" s="380" t="s">
        <v>660</v>
      </c>
      <c r="EN102" s="385">
        <f>(EM99-EI99)/EI99</f>
        <v>-3.4404072092303659E-2</v>
      </c>
      <c r="EO102" s="12"/>
      <c r="EP102" s="12"/>
      <c r="EQ102" s="380" t="s">
        <v>660</v>
      </c>
      <c r="ER102" s="385">
        <f>(EQ99-EM99)/EM99</f>
        <v>1.4165110317137682E-2</v>
      </c>
      <c r="ES102" s="12"/>
      <c r="ET102" s="12"/>
      <c r="EU102" s="380" t="s">
        <v>660</v>
      </c>
      <c r="EV102" s="385">
        <f>(EU99-EQ99)/EQ99</f>
        <v>3.379708796895152E-2</v>
      </c>
      <c r="EW102" s="12"/>
      <c r="EX102" s="12"/>
      <c r="EY102" s="380" t="s">
        <v>660</v>
      </c>
      <c r="EZ102" s="385">
        <f>(EY99-EU99)/EU99</f>
        <v>3.337627523780267E-2</v>
      </c>
      <c r="FA102" s="12"/>
      <c r="FB102" s="12"/>
      <c r="FC102" s="380" t="s">
        <v>660</v>
      </c>
      <c r="FD102" s="385">
        <f>(FC99-EY99)/EY99</f>
        <v>7.4452005047462383E-2</v>
      </c>
      <c r="FE102" s="12"/>
      <c r="FF102" s="12"/>
      <c r="FG102" s="380" t="s">
        <v>660</v>
      </c>
      <c r="FH102" s="385">
        <f>(FG99-FC99)/FC99</f>
        <v>-3.4161446983548463E-2</v>
      </c>
      <c r="FI102" s="12"/>
      <c r="FJ102" s="12"/>
      <c r="FK102" s="380" t="s">
        <v>660</v>
      </c>
      <c r="FL102" s="385">
        <f>(FK99-FG99)/FG99</f>
        <v>0.61047563742477762</v>
      </c>
      <c r="FM102" s="12"/>
      <c r="FN102" s="12"/>
      <c r="FO102" s="380" t="s">
        <v>660</v>
      </c>
      <c r="FP102" s="385">
        <f>(FO99-FK99)/FK99</f>
        <v>-5.6443971378047518E-3</v>
      </c>
      <c r="FQ102" s="12"/>
      <c r="FR102" s="12"/>
      <c r="FS102" s="380" t="s">
        <v>660</v>
      </c>
      <c r="FT102" s="385">
        <f>(FS99-FO99)/FO99</f>
        <v>-2.6990628028611546E-3</v>
      </c>
      <c r="FU102" s="12"/>
      <c r="FV102" s="12"/>
      <c r="FW102" s="380" t="s">
        <v>660</v>
      </c>
      <c r="FX102" s="385">
        <f>(FW99-FS99)/FS99</f>
        <v>-6.5819732051913757E-3</v>
      </c>
      <c r="FY102" s="12"/>
      <c r="FZ102" s="12"/>
      <c r="GA102" s="380" t="s">
        <v>660</v>
      </c>
      <c r="GB102" s="385">
        <f>(GA99-FW99)/FW99</f>
        <v>-0.37821458246680889</v>
      </c>
      <c r="GC102" s="12"/>
      <c r="GD102" s="12"/>
      <c r="GE102" s="380" t="s">
        <v>660</v>
      </c>
      <c r="GF102" s="385">
        <f>(GE99-GA99)/GA99</f>
        <v>-2.6156632728617575E-2</v>
      </c>
      <c r="GG102" s="12"/>
      <c r="GH102" s="12"/>
      <c r="GI102" s="380" t="s">
        <v>660</v>
      </c>
      <c r="GJ102" s="385">
        <f>(GI99-GE99)/GE99</f>
        <v>-3.7475466479167309E-2</v>
      </c>
      <c r="GK102" s="12"/>
      <c r="GL102" s="12"/>
      <c r="GM102" s="380" t="s">
        <v>660</v>
      </c>
      <c r="GN102" s="385">
        <f>(GM99-GI99)/GI99</f>
        <v>-4.2369106826028256E-2</v>
      </c>
      <c r="GO102" s="12"/>
      <c r="GP102" s="12"/>
      <c r="GQ102" s="380" t="s">
        <v>660</v>
      </c>
      <c r="GR102" s="385">
        <f>(GQ99-GM99)/GM99</f>
        <v>-4.2713453533916368E-2</v>
      </c>
      <c r="GS102" s="12"/>
      <c r="GT102" s="12"/>
      <c r="GU102" s="380" t="s">
        <v>660</v>
      </c>
      <c r="GV102" s="385">
        <f>(GU99-GQ99)/GQ99</f>
        <v>0.15399110929232659</v>
      </c>
      <c r="GW102" s="12"/>
      <c r="GX102" s="12"/>
      <c r="GY102" s="380" t="s">
        <v>660</v>
      </c>
      <c r="GZ102" s="385">
        <f>(GY99-GU99)/GU99</f>
        <v>1.7842167369641327E-2</v>
      </c>
      <c r="HA102" s="12"/>
      <c r="HB102" s="12"/>
      <c r="HC102" s="380" t="s">
        <v>660</v>
      </c>
      <c r="HD102" s="385">
        <f>(HC99-GY99)/GY99</f>
        <v>-2.4041239844744419E-2</v>
      </c>
      <c r="HE102" s="12"/>
      <c r="HF102" s="12"/>
      <c r="HG102" s="380" t="s">
        <v>660</v>
      </c>
      <c r="HH102" s="385">
        <f>(HG99-HC99)/HC99</f>
        <v>1.4941331624732518E-2</v>
      </c>
      <c r="HI102" s="12"/>
      <c r="HJ102" s="12"/>
      <c r="HK102" s="380" t="s">
        <v>660</v>
      </c>
      <c r="HL102" s="385">
        <f>(HK99-HG99)/HG99</f>
        <v>1.0731883133396817E-2</v>
      </c>
      <c r="HM102" s="12"/>
      <c r="HN102" s="12"/>
      <c r="HO102" s="380" t="s">
        <v>660</v>
      </c>
      <c r="HP102" s="385">
        <f>(HO99-HK99)/HK99</f>
        <v>3.7128632116552228E-2</v>
      </c>
      <c r="HQ102" s="12"/>
      <c r="HR102" s="12"/>
      <c r="HS102" s="380" t="s">
        <v>660</v>
      </c>
      <c r="HT102" s="385">
        <f>(HS99-HO99)/HO99</f>
        <v>-3.4948581630715618E-2</v>
      </c>
      <c r="HU102" s="12"/>
      <c r="HV102" s="12"/>
      <c r="HW102" s="380" t="s">
        <v>660</v>
      </c>
      <c r="HX102" s="385">
        <f>(HW99-HS99)/HS99</f>
        <v>-2.32258405778114E-3</v>
      </c>
      <c r="HY102" s="12"/>
      <c r="HZ102" s="12"/>
      <c r="IA102" s="380" t="s">
        <v>660</v>
      </c>
      <c r="IB102" s="385">
        <f>(IA99-HW99)/HW99</f>
        <v>3.3719987468046608E-2</v>
      </c>
      <c r="IC102" s="12"/>
      <c r="ID102" s="12"/>
      <c r="IE102" s="380" t="s">
        <v>660</v>
      </c>
      <c r="IF102" s="385">
        <f>(IE99-IA99)/IA99</f>
        <v>-4.1634926120143302E-3</v>
      </c>
      <c r="IG102" s="12"/>
      <c r="IH102" s="12"/>
      <c r="II102" s="380" t="s">
        <v>660</v>
      </c>
      <c r="IJ102" s="385">
        <f>(II99-IE99)/IE99</f>
        <v>1.1253819776240756E-2</v>
      </c>
      <c r="IK102" s="12"/>
      <c r="IL102" s="12"/>
      <c r="IM102" s="380" t="s">
        <v>660</v>
      </c>
      <c r="IN102" s="385">
        <f>(IM99-II99)/II99</f>
        <v>-1.8551034989028325E-2</v>
      </c>
      <c r="IO102" s="12"/>
      <c r="IP102" s="12"/>
      <c r="IQ102" s="380" t="s">
        <v>660</v>
      </c>
      <c r="IR102" s="385">
        <f>(IQ99-IM99)/IM99</f>
        <v>1.3949478095764346E-2</v>
      </c>
      <c r="IS102" s="12"/>
      <c r="IT102" s="12"/>
      <c r="IU102" s="380" t="s">
        <v>660</v>
      </c>
      <c r="IV102" s="385">
        <f>(IU99-IQ99)/IQ99</f>
        <v>-4.7143848581032426E-2</v>
      </c>
      <c r="IW102" s="12"/>
      <c r="IX102" s="12"/>
      <c r="IY102" s="380" t="s">
        <v>660</v>
      </c>
      <c r="IZ102" s="385">
        <f>(IY99-IU99)/IU99</f>
        <v>-1.955465615516765E-2</v>
      </c>
    </row>
    <row r="103" spans="1:260">
      <c r="L103" s="742"/>
      <c r="M103" s="743"/>
      <c r="N103" s="744"/>
      <c r="O103" s="742"/>
      <c r="P103" s="743"/>
      <c r="Q103" s="744"/>
      <c r="R103" s="742"/>
      <c r="S103" s="743"/>
      <c r="T103" s="744"/>
      <c r="U103" s="742"/>
      <c r="V103" s="743"/>
      <c r="W103" s="744"/>
      <c r="X103" s="742"/>
      <c r="Y103" s="743"/>
      <c r="Z103" s="744"/>
      <c r="AA103" s="742"/>
      <c r="AB103" s="743"/>
      <c r="AC103" s="744"/>
      <c r="AD103" s="742"/>
      <c r="AE103" s="743"/>
      <c r="AF103" s="744"/>
      <c r="AG103" s="742"/>
      <c r="AH103" s="743"/>
      <c r="AI103" s="744"/>
      <c r="AJ103" s="742"/>
      <c r="AK103" s="743"/>
      <c r="AL103" s="744"/>
      <c r="AM103" s="742"/>
      <c r="AN103" s="743"/>
      <c r="AO103" s="744"/>
      <c r="AP103" s="742"/>
      <c r="AQ103" s="743"/>
      <c r="AR103" s="744"/>
      <c r="AS103" s="742"/>
      <c r="AT103" s="743"/>
      <c r="AU103" s="744"/>
      <c r="AV103" s="742"/>
      <c r="AW103" s="743"/>
      <c r="AX103" s="744"/>
      <c r="AY103" s="742"/>
      <c r="AZ103" s="743"/>
      <c r="BA103" s="744"/>
      <c r="BB103" s="742"/>
      <c r="BC103" s="743"/>
      <c r="BD103" s="744"/>
      <c r="BE103" s="742"/>
      <c r="BF103" s="743"/>
      <c r="BG103" s="744"/>
      <c r="BI103" s="742"/>
      <c r="BJ103" s="743"/>
      <c r="BK103" s="744"/>
      <c r="BM103" s="742"/>
      <c r="BN103" s="743"/>
      <c r="BO103" s="744"/>
      <c r="BQ103" s="742"/>
      <c r="BR103" s="743"/>
      <c r="BS103" s="744"/>
      <c r="BU103" s="742"/>
      <c r="BV103" s="743"/>
      <c r="BW103" s="744"/>
      <c r="BY103" s="742"/>
      <c r="BZ103" s="743"/>
      <c r="CA103" s="744"/>
      <c r="CC103" s="742"/>
      <c r="CD103" s="743"/>
      <c r="CE103" s="744"/>
      <c r="CG103" s="742"/>
      <c r="CH103" s="743"/>
      <c r="CI103" s="744"/>
      <c r="CK103" s="742"/>
      <c r="CL103" s="743"/>
      <c r="CM103" s="744"/>
      <c r="CO103" s="742"/>
      <c r="CP103" s="743"/>
      <c r="CQ103" s="744"/>
      <c r="CS103" s="742"/>
      <c r="CT103" s="743"/>
      <c r="CU103" s="744"/>
      <c r="CW103" s="742"/>
      <c r="CX103" s="743"/>
      <c r="CY103" s="744"/>
      <c r="DA103" s="742"/>
      <c r="DB103" s="743"/>
      <c r="DC103" s="744"/>
      <c r="DE103" s="742"/>
      <c r="DF103" s="743"/>
      <c r="DG103" s="744"/>
      <c r="DI103" s="742"/>
      <c r="DJ103" s="743"/>
      <c r="DK103" s="744"/>
      <c r="DM103" s="742"/>
      <c r="DN103" s="743"/>
      <c r="DO103" s="744"/>
      <c r="DQ103" s="742"/>
      <c r="DR103" s="743"/>
      <c r="DS103" s="744"/>
    </row>
    <row r="104" spans="1:260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82">
        <f>SUM(FC3:FC98)</f>
        <v>29443714.436636724</v>
      </c>
      <c r="FG104" s="382">
        <f>SUM(FG3:FG98)</f>
        <v>27919620.91231972</v>
      </c>
      <c r="FK104" s="382">
        <f>SUM(FK3:FK98)</f>
        <v>38451150.62915422</v>
      </c>
      <c r="FO104" s="382">
        <f>SUM(FO3:FO98)</f>
        <v>38059452.389974341</v>
      </c>
      <c r="FS104" s="382">
        <f>SUM(FS3:FS98)</f>
        <v>37873205.610634387</v>
      </c>
      <c r="FW104" s="382">
        <f>SUM(FW3:FW98)</f>
        <v>50194319.02854792</v>
      </c>
      <c r="GA104" s="382">
        <f>SUM(GA3:GA98)</f>
        <v>24337665.581364546</v>
      </c>
      <c r="GE104" s="382">
        <f>SUM(GE3:GE98)</f>
        <v>23225789.43788166</v>
      </c>
      <c r="GI104" s="382">
        <f>SUM(GI3:GI98)</f>
        <v>21674436.05938207</v>
      </c>
      <c r="GM104" s="382">
        <f>SUM(GM3:GM98)</f>
        <v>22986232.525196712</v>
      </c>
      <c r="GQ104" s="382">
        <f>SUM(GQ3:GQ98)</f>
        <v>21356417.447043132</v>
      </c>
      <c r="GU104" s="382">
        <f>SUM(GU3:GU98)</f>
        <v>26981271.355155829</v>
      </c>
      <c r="GY104" s="382">
        <f>SUM(GY3:GY98)</f>
        <v>27623864.851177469</v>
      </c>
      <c r="HC104" s="382">
        <f>SUM(HC3:HC98)</f>
        <v>26592397.792566758</v>
      </c>
      <c r="HG104" s="382">
        <f>SUM(HG3:HG98)</f>
        <v>27218030.252420183</v>
      </c>
      <c r="HK104" s="382">
        <f>SUM(HK3:HK98)</f>
        <v>27674116.35768592</v>
      </c>
      <c r="HO104" s="382">
        <f>SUM(HO3:HO98)</f>
        <v>29268951.59180538</v>
      </c>
      <c r="HS104" s="382">
        <f>SUM(HS3:HS98)</f>
        <v>27712021.719730604</v>
      </c>
      <c r="HW104" s="382">
        <f>SUM(HW3:HW98)</f>
        <v>27612168.656927362</v>
      </c>
      <c r="IA104" s="382">
        <f>SUM(IA3:IA98)</f>
        <v>29058498.994182512</v>
      </c>
      <c r="IE104" s="382">
        <f>SUM(IE3:IE98)</f>
        <v>28873895.123346414</v>
      </c>
      <c r="II104" s="382">
        <f>SUM(II3:II98)</f>
        <v>29370797.420220613</v>
      </c>
      <c r="IM104" s="382">
        <f>SUM(IM3:IM98)</f>
        <v>28542475.092734836</v>
      </c>
      <c r="IQ104" s="382">
        <f>SUM(IQ3:IQ98)</f>
        <v>29153778.623293582</v>
      </c>
      <c r="IU104" s="382">
        <f>SUM(IU3:IU98)</f>
        <v>42328346.618475355</v>
      </c>
      <c r="IY104" s="382">
        <f>SUM(IY3:IY98)</f>
        <v>41500418.206269689</v>
      </c>
    </row>
    <row r="105" spans="1:260">
      <c r="L105" s="506"/>
      <c r="M105" s="53"/>
      <c r="N105" s="507"/>
      <c r="O105" s="506"/>
      <c r="P105" s="53"/>
      <c r="Q105" s="507"/>
      <c r="R105" s="506"/>
      <c r="S105" s="53"/>
      <c r="T105" s="507"/>
      <c r="U105" s="506"/>
      <c r="V105" s="53"/>
      <c r="W105" s="507"/>
      <c r="X105" s="506"/>
      <c r="Y105" s="53"/>
      <c r="Z105" s="507"/>
      <c r="AA105" s="506"/>
      <c r="AB105" s="53"/>
      <c r="AC105" s="507"/>
      <c r="AD105" s="506"/>
      <c r="AE105" s="53"/>
      <c r="AF105" s="507"/>
      <c r="AG105" s="506"/>
      <c r="AH105" s="53"/>
      <c r="AI105" s="507"/>
      <c r="AJ105" s="506"/>
      <c r="AK105" s="53"/>
      <c r="AL105" s="507"/>
      <c r="AM105" s="506"/>
      <c r="AN105" s="53"/>
      <c r="AO105" s="507"/>
      <c r="AP105" s="506"/>
      <c r="AQ105" s="53"/>
      <c r="AR105" s="507"/>
      <c r="AS105" s="506"/>
      <c r="AT105" s="53"/>
      <c r="AU105" s="507"/>
      <c r="AV105" s="506"/>
      <c r="AW105" s="53"/>
      <c r="AX105" s="507"/>
      <c r="AY105" s="506"/>
      <c r="AZ105" s="53"/>
      <c r="BA105" s="507"/>
      <c r="BB105" s="506"/>
      <c r="BC105" s="53"/>
      <c r="BD105" s="507"/>
      <c r="BE105" s="506"/>
      <c r="BF105" s="53"/>
      <c r="BG105" s="507"/>
      <c r="BI105" s="506"/>
      <c r="BJ105" s="53"/>
      <c r="BK105" s="507"/>
      <c r="BM105" s="506"/>
      <c r="BN105" s="53"/>
      <c r="BO105" s="507"/>
      <c r="BQ105" s="506"/>
      <c r="BR105" s="53"/>
      <c r="BS105" s="507"/>
      <c r="BU105" s="506"/>
      <c r="BV105" s="53"/>
      <c r="BW105" s="507"/>
      <c r="BY105" s="506"/>
      <c r="BZ105" s="53"/>
      <c r="CA105" s="507"/>
      <c r="CC105" s="506"/>
      <c r="CD105" s="53"/>
      <c r="CE105" s="507"/>
      <c r="CG105" s="506"/>
      <c r="CH105" s="53"/>
      <c r="CI105" s="507"/>
      <c r="CK105" s="506"/>
      <c r="CL105" s="53"/>
      <c r="CM105" s="507"/>
      <c r="CO105" s="506"/>
      <c r="CP105" s="53"/>
      <c r="CQ105" s="507"/>
      <c r="CS105" s="506"/>
      <c r="CT105" s="53"/>
      <c r="CU105" s="507"/>
      <c r="CW105" s="506"/>
      <c r="CX105" s="53"/>
      <c r="CY105" s="507"/>
      <c r="DA105" s="506"/>
      <c r="DB105" s="53"/>
      <c r="DC105" s="507"/>
      <c r="DE105" s="506"/>
      <c r="DF105" s="53"/>
      <c r="DG105" s="507"/>
      <c r="DI105" s="506"/>
      <c r="DJ105" s="53"/>
      <c r="DK105" s="507"/>
    </row>
    <row r="106" spans="1:260">
      <c r="L106" s="506"/>
      <c r="M106" s="53"/>
      <c r="N106" s="507"/>
      <c r="O106" s="506"/>
      <c r="P106" s="53"/>
      <c r="Q106" s="507"/>
      <c r="R106" s="506"/>
      <c r="S106" s="53"/>
      <c r="T106" s="507"/>
      <c r="U106" s="506"/>
      <c r="V106" s="53"/>
      <c r="W106" s="507"/>
      <c r="X106" s="506"/>
      <c r="Y106" s="53"/>
      <c r="Z106" s="507"/>
      <c r="AA106" s="506"/>
      <c r="AB106" s="53"/>
      <c r="AC106" s="507"/>
      <c r="AD106" s="506"/>
      <c r="AE106" s="53"/>
      <c r="AF106" s="507"/>
      <c r="AG106" s="506"/>
      <c r="AH106" s="53"/>
      <c r="AI106" s="507"/>
      <c r="AJ106" s="506"/>
      <c r="AK106" s="53"/>
      <c r="AL106" s="507"/>
      <c r="AM106" s="506"/>
      <c r="AN106" s="53"/>
      <c r="AO106" s="507"/>
      <c r="AP106" s="506"/>
      <c r="AQ106" s="53"/>
      <c r="AR106" s="507"/>
      <c r="AS106" s="506"/>
      <c r="AT106" s="53"/>
      <c r="AU106" s="507"/>
      <c r="AV106" s="506"/>
      <c r="AW106" s="53"/>
      <c r="AX106" s="507"/>
      <c r="AY106" s="506"/>
      <c r="AZ106" s="53"/>
      <c r="BA106" s="507"/>
      <c r="BB106" s="506"/>
      <c r="BC106" s="53"/>
      <c r="BD106" s="507"/>
      <c r="BE106" s="506"/>
      <c r="BF106" s="53"/>
      <c r="BG106" s="507"/>
      <c r="BI106" s="506"/>
      <c r="BJ106" s="53"/>
      <c r="BK106" s="507"/>
      <c r="BM106" s="506"/>
      <c r="BN106" s="53"/>
      <c r="BO106" s="507"/>
      <c r="BQ106" s="506"/>
      <c r="BR106" s="53"/>
      <c r="BS106" s="507"/>
      <c r="BU106" s="506"/>
      <c r="BV106" s="53"/>
      <c r="BW106" s="507"/>
      <c r="BY106" s="506"/>
      <c r="BZ106" s="53"/>
      <c r="CA106" s="507"/>
      <c r="CC106" s="506"/>
      <c r="CD106" s="53"/>
      <c r="CE106" s="507"/>
      <c r="CG106" s="506"/>
      <c r="CH106" s="53"/>
      <c r="CI106" s="507"/>
      <c r="CK106" s="506"/>
      <c r="CL106" s="53"/>
      <c r="CM106" s="507"/>
      <c r="CO106" s="506"/>
      <c r="CP106" s="53"/>
      <c r="CQ106" s="507"/>
      <c r="CS106" s="506"/>
      <c r="CT106" s="53"/>
      <c r="CU106" s="507"/>
      <c r="CW106" s="506"/>
      <c r="CX106" s="53"/>
      <c r="CY106" s="507"/>
      <c r="DA106" s="506"/>
      <c r="DB106" s="53"/>
      <c r="DC106" s="507"/>
      <c r="DE106" s="506"/>
      <c r="DF106" s="53"/>
      <c r="DG106" s="507"/>
    </row>
    <row r="107" spans="1:260">
      <c r="L107" s="506"/>
      <c r="M107" s="53"/>
      <c r="N107" s="507"/>
      <c r="O107" s="506"/>
      <c r="P107" s="53"/>
      <c r="Q107" s="507"/>
      <c r="R107" s="506"/>
      <c r="S107" s="53"/>
      <c r="T107" s="507"/>
      <c r="U107" s="506"/>
      <c r="V107" s="53"/>
      <c r="W107" s="507"/>
      <c r="X107" s="506"/>
      <c r="Y107" s="53"/>
      <c r="Z107" s="507"/>
      <c r="AA107" s="506"/>
      <c r="AB107" s="53"/>
      <c r="AC107" s="507"/>
      <c r="AD107" s="506"/>
      <c r="AE107" s="53"/>
      <c r="AF107" s="507"/>
      <c r="AG107" s="506"/>
      <c r="AH107" s="53"/>
      <c r="AI107" s="507"/>
      <c r="AJ107" s="506"/>
      <c r="AK107" s="53"/>
      <c r="AL107" s="507"/>
      <c r="AM107" s="506"/>
      <c r="AN107" s="53"/>
      <c r="AO107" s="507"/>
      <c r="AP107" s="506"/>
      <c r="AQ107" s="53"/>
      <c r="AR107" s="507"/>
      <c r="AS107" s="506"/>
      <c r="AT107" s="53"/>
      <c r="AU107" s="507"/>
      <c r="AV107" s="506"/>
      <c r="AW107" s="53"/>
      <c r="AX107" s="507"/>
      <c r="AY107" s="506"/>
      <c r="AZ107" s="53"/>
      <c r="BA107" s="507"/>
      <c r="BB107" s="506"/>
      <c r="BC107" s="53"/>
      <c r="BD107" s="507"/>
      <c r="BE107" s="506"/>
      <c r="BF107" s="53"/>
      <c r="BG107" s="507"/>
      <c r="BI107" s="506"/>
      <c r="BJ107" s="53"/>
      <c r="BK107" s="507"/>
      <c r="BM107" s="506"/>
      <c r="BN107" s="53"/>
      <c r="BO107" s="507"/>
      <c r="BQ107" s="506"/>
      <c r="BR107" s="53"/>
      <c r="BS107" s="507"/>
      <c r="BU107" s="506"/>
      <c r="BV107" s="53"/>
      <c r="BW107" s="507"/>
      <c r="BY107" s="506"/>
      <c r="BZ107" s="53"/>
      <c r="CA107" s="507"/>
      <c r="CC107" s="506"/>
      <c r="CD107" s="53"/>
      <c r="CE107" s="507"/>
      <c r="CG107" s="506"/>
      <c r="CH107" s="53"/>
      <c r="CI107" s="507"/>
      <c r="CK107" s="506"/>
      <c r="CL107" s="53"/>
      <c r="CM107" s="507"/>
      <c r="CO107" s="506"/>
      <c r="CP107" s="53"/>
      <c r="CQ107" s="507"/>
      <c r="CS107" s="506"/>
      <c r="CT107" s="53"/>
      <c r="CU107" s="507"/>
      <c r="CW107" s="506"/>
      <c r="CX107" s="53"/>
      <c r="CY107" s="507"/>
      <c r="DA107" s="506"/>
      <c r="DB107" s="53"/>
      <c r="DC107" s="507"/>
    </row>
    <row r="108" spans="1:260">
      <c r="L108" s="506"/>
      <c r="M108" s="53"/>
      <c r="N108" s="507"/>
      <c r="O108" s="506"/>
      <c r="P108" s="53"/>
      <c r="Q108" s="507"/>
      <c r="R108" s="506"/>
      <c r="S108" s="53"/>
      <c r="T108" s="507"/>
      <c r="U108" s="506"/>
      <c r="V108" s="53"/>
      <c r="W108" s="507"/>
      <c r="X108" s="506"/>
      <c r="Y108" s="53"/>
      <c r="Z108" s="507"/>
      <c r="AA108" s="506"/>
      <c r="AB108" s="53"/>
      <c r="AC108" s="507"/>
      <c r="AD108" s="506"/>
      <c r="AE108" s="53"/>
      <c r="AF108" s="507"/>
      <c r="AG108" s="506"/>
      <c r="AH108" s="53"/>
      <c r="AI108" s="507"/>
      <c r="AJ108" s="506"/>
      <c r="AK108" s="53"/>
      <c r="AL108" s="507"/>
      <c r="AM108" s="506"/>
      <c r="AN108" s="53"/>
      <c r="AO108" s="507"/>
      <c r="AP108" s="506"/>
      <c r="AQ108" s="53"/>
      <c r="AR108" s="507"/>
      <c r="AS108" s="506"/>
      <c r="AT108" s="53"/>
      <c r="AU108" s="507"/>
      <c r="AV108" s="506"/>
      <c r="AW108" s="53"/>
      <c r="AX108" s="507"/>
      <c r="AY108" s="506"/>
      <c r="AZ108" s="53"/>
      <c r="BA108" s="507"/>
      <c r="BB108" s="506"/>
      <c r="BC108" s="53"/>
      <c r="BD108" s="507"/>
      <c r="BE108" s="506"/>
      <c r="BF108" s="53"/>
      <c r="BG108" s="507"/>
      <c r="BI108" s="506"/>
      <c r="BJ108" s="53"/>
      <c r="BK108" s="507"/>
      <c r="BM108" s="506"/>
      <c r="BN108" s="53"/>
      <c r="BO108" s="507"/>
      <c r="BQ108" s="506"/>
      <c r="BR108" s="53"/>
      <c r="BS108" s="507"/>
      <c r="BU108" s="506"/>
      <c r="BV108" s="53"/>
      <c r="BW108" s="507"/>
      <c r="BY108" s="506"/>
      <c r="BZ108" s="53"/>
      <c r="CA108" s="507"/>
      <c r="CC108" s="506"/>
      <c r="CD108" s="53"/>
      <c r="CE108" s="507"/>
      <c r="CG108" s="506"/>
      <c r="CH108" s="53"/>
      <c r="CI108" s="507"/>
      <c r="CK108" s="506"/>
      <c r="CL108" s="53"/>
      <c r="CM108" s="507"/>
      <c r="CO108" s="506"/>
      <c r="CP108" s="53"/>
      <c r="CQ108" s="507"/>
      <c r="CS108" s="506"/>
      <c r="CT108" s="53"/>
      <c r="CU108" s="507"/>
      <c r="CW108" s="506"/>
      <c r="CX108" s="53"/>
      <c r="CY108" s="507"/>
    </row>
    <row r="109" spans="1:260">
      <c r="L109" s="506"/>
      <c r="M109" s="53"/>
      <c r="N109" s="507"/>
      <c r="O109" s="506"/>
      <c r="P109" s="53"/>
      <c r="Q109" s="507"/>
      <c r="R109" s="506"/>
      <c r="S109" s="53"/>
      <c r="T109" s="507"/>
      <c r="U109" s="506"/>
      <c r="V109" s="53"/>
      <c r="W109" s="507"/>
      <c r="X109" s="506"/>
      <c r="Y109" s="53"/>
      <c r="Z109" s="507"/>
      <c r="AA109" s="506"/>
      <c r="AB109" s="53"/>
      <c r="AC109" s="507"/>
      <c r="AD109" s="506"/>
      <c r="AE109" s="53"/>
      <c r="AF109" s="507"/>
      <c r="AG109" s="506"/>
      <c r="AH109" s="53"/>
      <c r="AI109" s="507"/>
      <c r="AJ109" s="506"/>
      <c r="AK109" s="53"/>
      <c r="AL109" s="507"/>
      <c r="AM109" s="506"/>
      <c r="AN109" s="53"/>
      <c r="AO109" s="507"/>
      <c r="AP109" s="506"/>
      <c r="AQ109" s="53"/>
      <c r="AR109" s="507"/>
      <c r="AS109" s="506"/>
      <c r="AT109" s="53"/>
      <c r="AU109" s="507"/>
      <c r="AV109" s="506"/>
      <c r="AW109" s="53"/>
      <c r="AX109" s="507"/>
      <c r="AY109" s="506"/>
      <c r="AZ109" s="53"/>
      <c r="BA109" s="507"/>
      <c r="BB109" s="506"/>
      <c r="BC109" s="53"/>
      <c r="BD109" s="507"/>
      <c r="BE109" s="506"/>
      <c r="BF109" s="53"/>
      <c r="BG109" s="507"/>
      <c r="BI109" s="506"/>
      <c r="BJ109" s="53"/>
      <c r="BK109" s="507"/>
      <c r="BM109" s="506"/>
      <c r="BN109" s="53"/>
      <c r="BO109" s="507"/>
      <c r="BQ109" s="506"/>
      <c r="BR109" s="53"/>
      <c r="BS109" s="507"/>
      <c r="BU109" s="506"/>
      <c r="BV109" s="53"/>
      <c r="BW109" s="507"/>
      <c r="BY109" s="506"/>
      <c r="BZ109" s="53"/>
      <c r="CA109" s="507"/>
      <c r="CC109" s="506"/>
      <c r="CD109" s="53"/>
      <c r="CE109" s="507"/>
      <c r="CG109" s="506"/>
      <c r="CH109" s="53"/>
      <c r="CI109" s="507"/>
      <c r="CK109" s="506"/>
      <c r="CL109" s="53"/>
      <c r="CM109" s="507"/>
      <c r="CO109" s="506"/>
      <c r="CP109" s="53"/>
      <c r="CQ109" s="507"/>
      <c r="CS109" s="506"/>
      <c r="CT109" s="53"/>
      <c r="CU109" s="507"/>
    </row>
    <row r="110" spans="1:260">
      <c r="L110" s="506"/>
      <c r="M110" s="53"/>
      <c r="N110" s="507"/>
      <c r="O110" s="506"/>
      <c r="P110" s="53"/>
      <c r="Q110" s="507"/>
      <c r="R110" s="506"/>
      <c r="S110" s="53"/>
      <c r="T110" s="507"/>
      <c r="U110" s="506"/>
      <c r="V110" s="53"/>
      <c r="W110" s="507"/>
      <c r="X110" s="506"/>
      <c r="Y110" s="53"/>
      <c r="Z110" s="507"/>
      <c r="AA110" s="506"/>
      <c r="AB110" s="53"/>
      <c r="AC110" s="507"/>
      <c r="AD110" s="506"/>
      <c r="AE110" s="53"/>
      <c r="AF110" s="507"/>
      <c r="AG110" s="506"/>
      <c r="AH110" s="53"/>
      <c r="AI110" s="507"/>
      <c r="AJ110" s="506"/>
      <c r="AK110" s="53"/>
      <c r="AL110" s="507"/>
      <c r="AM110" s="506"/>
      <c r="AN110" s="53"/>
      <c r="AO110" s="507"/>
      <c r="AP110" s="506"/>
      <c r="AQ110" s="53"/>
      <c r="AR110" s="507"/>
      <c r="AS110" s="506"/>
      <c r="AT110" s="53"/>
      <c r="AU110" s="507"/>
      <c r="AV110" s="506"/>
      <c r="AW110" s="53"/>
      <c r="AX110" s="507"/>
      <c r="AY110" s="506"/>
      <c r="AZ110" s="53"/>
      <c r="BA110" s="507"/>
      <c r="BB110" s="506"/>
      <c r="BC110" s="53"/>
      <c r="BD110" s="507"/>
      <c r="BE110" s="506"/>
      <c r="BF110" s="53"/>
      <c r="BG110" s="507"/>
      <c r="BI110" s="506"/>
      <c r="BJ110" s="53"/>
      <c r="BK110" s="507"/>
      <c r="BM110" s="506"/>
      <c r="BN110" s="53"/>
      <c r="BO110" s="507"/>
      <c r="BQ110" s="506"/>
      <c r="BR110" s="53"/>
      <c r="BS110" s="507"/>
      <c r="BU110" s="506"/>
      <c r="BV110" s="53"/>
      <c r="BW110" s="507"/>
      <c r="BY110" s="506"/>
      <c r="BZ110" s="53"/>
      <c r="CA110" s="507"/>
      <c r="CC110" s="506"/>
      <c r="CD110" s="53"/>
      <c r="CE110" s="507"/>
      <c r="CG110" s="506"/>
      <c r="CH110" s="53"/>
      <c r="CI110" s="507"/>
      <c r="CK110" s="506"/>
      <c r="CL110" s="53"/>
      <c r="CM110" s="507"/>
      <c r="CO110" s="506"/>
      <c r="CP110" s="53"/>
      <c r="CQ110" s="507"/>
    </row>
    <row r="111" spans="1:260">
      <c r="L111" s="506"/>
      <c r="M111" s="53"/>
      <c r="N111" s="507"/>
      <c r="O111" s="506"/>
      <c r="P111" s="53"/>
      <c r="Q111" s="507"/>
      <c r="R111" s="506"/>
      <c r="S111" s="53"/>
      <c r="T111" s="507"/>
      <c r="U111" s="506"/>
      <c r="V111" s="53"/>
      <c r="W111" s="507"/>
      <c r="X111" s="506"/>
      <c r="Y111" s="53"/>
      <c r="Z111" s="507"/>
      <c r="AA111" s="506"/>
      <c r="AB111" s="53"/>
      <c r="AC111" s="507"/>
      <c r="AD111" s="506"/>
      <c r="AE111" s="53"/>
      <c r="AF111" s="507"/>
      <c r="AG111" s="506"/>
      <c r="AH111" s="53"/>
      <c r="AI111" s="507"/>
      <c r="AJ111" s="506"/>
      <c r="AK111" s="53"/>
      <c r="AL111" s="507"/>
      <c r="AM111" s="506"/>
      <c r="AN111" s="53"/>
      <c r="AO111" s="507"/>
      <c r="AP111" s="506"/>
      <c r="AQ111" s="53"/>
      <c r="AR111" s="507"/>
      <c r="AS111" s="506"/>
      <c r="AT111" s="53"/>
      <c r="AU111" s="507"/>
      <c r="AV111" s="506"/>
      <c r="AW111" s="53"/>
      <c r="AX111" s="507"/>
      <c r="AY111" s="506"/>
      <c r="AZ111" s="53"/>
      <c r="BA111" s="507"/>
      <c r="BB111" s="506"/>
      <c r="BC111" s="53"/>
      <c r="BD111" s="507"/>
      <c r="BE111" s="506"/>
      <c r="BF111" s="53"/>
      <c r="BG111" s="507"/>
      <c r="BI111" s="506"/>
      <c r="BJ111" s="53"/>
      <c r="BK111" s="507"/>
      <c r="BM111" s="506"/>
      <c r="BN111" s="53"/>
      <c r="BO111" s="507"/>
      <c r="BQ111" s="506"/>
      <c r="BR111" s="53"/>
      <c r="BS111" s="507"/>
      <c r="BU111" s="506"/>
      <c r="BV111" s="53"/>
      <c r="BW111" s="507"/>
      <c r="BY111" s="506"/>
      <c r="BZ111" s="53"/>
      <c r="CA111" s="507"/>
      <c r="CC111" s="506"/>
      <c r="CD111" s="53"/>
      <c r="CE111" s="507"/>
      <c r="CG111" s="506"/>
      <c r="CH111" s="53"/>
      <c r="CI111" s="507"/>
      <c r="CK111" s="506"/>
      <c r="CL111" s="53"/>
      <c r="CM111" s="507"/>
    </row>
    <row r="112" spans="1:260">
      <c r="L112" s="506"/>
      <c r="M112" s="53"/>
      <c r="N112" s="507"/>
      <c r="O112" s="506"/>
      <c r="P112" s="53"/>
      <c r="Q112" s="507"/>
      <c r="R112" s="506"/>
      <c r="S112" s="53"/>
      <c r="T112" s="507"/>
      <c r="U112" s="506"/>
      <c r="V112" s="53"/>
      <c r="W112" s="507"/>
      <c r="X112" s="506"/>
      <c r="Y112" s="53"/>
      <c r="Z112" s="507"/>
      <c r="AA112" s="506"/>
      <c r="AB112" s="53"/>
      <c r="AC112" s="507"/>
      <c r="AD112" s="506"/>
      <c r="AE112" s="53"/>
      <c r="AF112" s="507"/>
      <c r="AG112" s="506"/>
      <c r="AH112" s="53"/>
      <c r="AI112" s="507"/>
      <c r="AJ112" s="506"/>
      <c r="AK112" s="53"/>
      <c r="AL112" s="507"/>
      <c r="AM112" s="506"/>
      <c r="AN112" s="53"/>
      <c r="AO112" s="507"/>
      <c r="AP112" s="506"/>
      <c r="AQ112" s="53"/>
      <c r="AR112" s="507"/>
      <c r="AS112" s="506"/>
      <c r="AT112" s="53"/>
      <c r="AU112" s="507"/>
      <c r="AV112" s="506"/>
      <c r="AW112" s="53"/>
      <c r="AX112" s="507"/>
      <c r="AY112" s="506"/>
      <c r="AZ112" s="53"/>
      <c r="BA112" s="507"/>
      <c r="BB112" s="506"/>
      <c r="BC112" s="53"/>
      <c r="BD112" s="507"/>
      <c r="BE112" s="506"/>
      <c r="BF112" s="53"/>
      <c r="BG112" s="507"/>
      <c r="BI112" s="506"/>
      <c r="BJ112" s="53"/>
      <c r="BK112" s="507"/>
      <c r="BM112" s="506"/>
      <c r="BN112" s="53"/>
      <c r="BO112" s="507"/>
      <c r="BQ112" s="506"/>
      <c r="BR112" s="53"/>
      <c r="BS112" s="507"/>
      <c r="BU112" s="506"/>
      <c r="BV112" s="53"/>
      <c r="BW112" s="507"/>
      <c r="BY112" s="506"/>
      <c r="BZ112" s="53"/>
      <c r="CA112" s="507"/>
      <c r="CC112" s="506"/>
      <c r="CD112" s="53"/>
      <c r="CE112" s="507"/>
      <c r="CG112" s="506"/>
      <c r="CH112" s="53"/>
      <c r="CI112" s="507"/>
    </row>
    <row r="113" spans="12:83">
      <c r="L113" s="506"/>
      <c r="M113" s="53"/>
      <c r="N113" s="507"/>
      <c r="O113" s="506"/>
      <c r="P113" s="53"/>
      <c r="Q113" s="507"/>
      <c r="R113" s="506"/>
      <c r="S113" s="53"/>
      <c r="T113" s="507"/>
      <c r="U113" s="506"/>
      <c r="V113" s="53"/>
      <c r="W113" s="507"/>
      <c r="X113" s="506"/>
      <c r="Y113" s="53"/>
      <c r="Z113" s="507"/>
      <c r="AA113" s="506"/>
      <c r="AB113" s="53"/>
      <c r="AC113" s="507"/>
      <c r="AD113" s="506"/>
      <c r="AE113" s="53"/>
      <c r="AF113" s="507"/>
      <c r="AG113" s="506"/>
      <c r="AH113" s="53"/>
      <c r="AI113" s="507"/>
      <c r="AJ113" s="506"/>
      <c r="AK113" s="53"/>
      <c r="AL113" s="507"/>
      <c r="AM113" s="506"/>
      <c r="AN113" s="53"/>
      <c r="AO113" s="507"/>
      <c r="AP113" s="506"/>
      <c r="AQ113" s="53"/>
      <c r="AR113" s="507"/>
      <c r="AS113" s="506"/>
      <c r="AT113" s="53"/>
      <c r="AU113" s="507"/>
      <c r="AV113" s="506"/>
      <c r="AW113" s="53"/>
      <c r="AX113" s="507"/>
      <c r="AY113" s="506"/>
      <c r="AZ113" s="53"/>
      <c r="BA113" s="507"/>
      <c r="BB113" s="506"/>
      <c r="BC113" s="53"/>
      <c r="BD113" s="507"/>
      <c r="BE113" s="506"/>
      <c r="BF113" s="53"/>
      <c r="BG113" s="507"/>
      <c r="BI113" s="506"/>
      <c r="BJ113" s="53"/>
      <c r="BK113" s="507"/>
      <c r="BM113" s="506"/>
      <c r="BN113" s="53"/>
      <c r="BO113" s="507"/>
      <c r="BQ113" s="506"/>
      <c r="BR113" s="53"/>
      <c r="BS113" s="507"/>
      <c r="BU113" s="506"/>
      <c r="BV113" s="53"/>
      <c r="BW113" s="507"/>
      <c r="BY113" s="506"/>
      <c r="BZ113" s="53"/>
      <c r="CA113" s="507"/>
      <c r="CC113" s="506"/>
      <c r="CD113" s="53"/>
      <c r="CE113" s="507"/>
    </row>
    <row r="114" spans="12:83">
      <c r="L114" s="742"/>
      <c r="M114" s="743"/>
      <c r="N114" s="744"/>
      <c r="O114" s="742"/>
      <c r="P114" s="743"/>
      <c r="Q114" s="744"/>
      <c r="R114" s="742"/>
      <c r="S114" s="743"/>
      <c r="T114" s="744"/>
      <c r="U114" s="742"/>
      <c r="V114" s="743"/>
      <c r="W114" s="744"/>
      <c r="X114" s="742"/>
      <c r="Y114" s="743"/>
      <c r="Z114" s="744"/>
      <c r="AA114" s="742"/>
      <c r="AB114" s="743"/>
      <c r="AC114" s="744"/>
      <c r="AD114" s="742"/>
      <c r="AE114" s="743"/>
      <c r="AF114" s="744"/>
      <c r="AG114" s="742"/>
      <c r="AH114" s="743"/>
      <c r="AI114" s="744"/>
      <c r="AJ114" s="742"/>
      <c r="AK114" s="743"/>
      <c r="AL114" s="744"/>
      <c r="AM114" s="742"/>
      <c r="AN114" s="743"/>
      <c r="AO114" s="744"/>
      <c r="AP114" s="742"/>
      <c r="AQ114" s="743"/>
      <c r="AR114" s="744"/>
      <c r="AS114" s="742"/>
      <c r="AT114" s="743"/>
      <c r="AU114" s="744"/>
      <c r="AV114" s="742"/>
      <c r="AW114" s="743"/>
      <c r="AX114" s="744"/>
      <c r="AY114" s="742"/>
      <c r="AZ114" s="743"/>
      <c r="BA114" s="744"/>
      <c r="BB114" s="742"/>
      <c r="BC114" s="743"/>
      <c r="BD114" s="744"/>
      <c r="BE114" s="742"/>
      <c r="BF114" s="743"/>
      <c r="BG114" s="744"/>
      <c r="BI114" s="742"/>
      <c r="BJ114" s="743"/>
      <c r="BK114" s="744"/>
      <c r="BM114" s="742"/>
      <c r="BN114" s="743"/>
      <c r="BO114" s="744"/>
      <c r="BQ114" s="742"/>
      <c r="BR114" s="743"/>
      <c r="BS114" s="744"/>
      <c r="BU114" s="742"/>
      <c r="BV114" s="743"/>
      <c r="BW114" s="744"/>
      <c r="BY114" s="742"/>
      <c r="BZ114" s="743"/>
      <c r="CA114" s="744"/>
    </row>
    <row r="115" spans="12:83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06"/>
      <c r="M116" s="53"/>
      <c r="N116" s="507"/>
      <c r="O116" s="506"/>
      <c r="P116" s="53"/>
      <c r="Q116" s="507"/>
      <c r="R116" s="506"/>
      <c r="S116" s="53"/>
      <c r="T116" s="507"/>
      <c r="U116" s="506"/>
      <c r="V116" s="53"/>
      <c r="W116" s="507"/>
      <c r="X116" s="506"/>
      <c r="Y116" s="53"/>
      <c r="Z116" s="507"/>
      <c r="AA116" s="506"/>
      <c r="AB116" s="53"/>
      <c r="AC116" s="507"/>
      <c r="AD116" s="506"/>
      <c r="AE116" s="53"/>
      <c r="AF116" s="507"/>
      <c r="AG116" s="506"/>
      <c r="AH116" s="53"/>
      <c r="AI116" s="507"/>
      <c r="AJ116" s="506"/>
      <c r="AK116" s="53"/>
      <c r="AL116" s="507"/>
      <c r="AM116" s="506"/>
      <c r="AN116" s="53"/>
      <c r="AO116" s="507"/>
      <c r="AP116" s="506"/>
      <c r="AQ116" s="53"/>
      <c r="AR116" s="507"/>
      <c r="AS116" s="506"/>
      <c r="AT116" s="53"/>
      <c r="AU116" s="507"/>
      <c r="AV116" s="506"/>
      <c r="AW116" s="53"/>
      <c r="AX116" s="507"/>
      <c r="AY116" s="506"/>
      <c r="AZ116" s="53"/>
      <c r="BA116" s="507"/>
      <c r="BB116" s="506"/>
      <c r="BC116" s="53"/>
      <c r="BD116" s="507"/>
      <c r="BE116" s="506"/>
      <c r="BF116" s="53"/>
      <c r="BG116" s="507"/>
      <c r="BI116" s="506"/>
      <c r="BJ116" s="53"/>
      <c r="BK116" s="507"/>
      <c r="BM116" s="506"/>
      <c r="BN116" s="53"/>
      <c r="BO116" s="507"/>
      <c r="BQ116" s="506"/>
      <c r="BR116" s="53"/>
      <c r="BS116" s="507"/>
    </row>
    <row r="117" spans="12:83">
      <c r="L117" s="506"/>
      <c r="M117" s="53"/>
      <c r="N117" s="507"/>
      <c r="O117" s="506"/>
      <c r="P117" s="53"/>
      <c r="Q117" s="507"/>
      <c r="R117" s="506"/>
      <c r="S117" s="53"/>
      <c r="T117" s="507"/>
      <c r="U117" s="506"/>
      <c r="V117" s="53"/>
      <c r="W117" s="507"/>
      <c r="X117" s="506"/>
      <c r="Y117" s="53"/>
      <c r="Z117" s="507"/>
      <c r="AA117" s="506"/>
      <c r="AB117" s="53"/>
      <c r="AC117" s="507"/>
      <c r="AD117" s="506"/>
      <c r="AE117" s="53"/>
      <c r="AF117" s="507"/>
      <c r="AG117" s="506"/>
      <c r="AH117" s="53"/>
      <c r="AI117" s="507"/>
      <c r="AJ117" s="506"/>
      <c r="AK117" s="53"/>
      <c r="AL117" s="507"/>
      <c r="AM117" s="506"/>
      <c r="AN117" s="53"/>
      <c r="AO117" s="507"/>
      <c r="AP117" s="506"/>
      <c r="AQ117" s="53"/>
      <c r="AR117" s="507"/>
      <c r="AS117" s="506"/>
      <c r="AT117" s="53"/>
      <c r="AU117" s="507"/>
      <c r="AV117" s="506"/>
      <c r="AW117" s="53"/>
      <c r="AX117" s="507"/>
      <c r="AY117" s="506"/>
      <c r="AZ117" s="53"/>
      <c r="BA117" s="507"/>
      <c r="BB117" s="506"/>
      <c r="BC117" s="53"/>
      <c r="BD117" s="507"/>
      <c r="BE117" s="506"/>
      <c r="BF117" s="53"/>
      <c r="BG117" s="507"/>
      <c r="BI117" s="506"/>
      <c r="BJ117" s="53"/>
      <c r="BK117" s="507"/>
      <c r="BM117" s="506"/>
      <c r="BN117" s="53"/>
      <c r="BO117" s="507"/>
    </row>
    <row r="118" spans="12:83">
      <c r="L118" s="506"/>
      <c r="M118" s="53"/>
      <c r="N118" s="507"/>
      <c r="O118" s="506"/>
      <c r="P118" s="53"/>
      <c r="Q118" s="507"/>
      <c r="R118" s="506"/>
      <c r="S118" s="53"/>
      <c r="T118" s="507"/>
      <c r="U118" s="506"/>
      <c r="V118" s="53"/>
      <c r="W118" s="507"/>
      <c r="X118" s="506"/>
      <c r="Y118" s="53"/>
      <c r="Z118" s="507"/>
      <c r="AA118" s="506"/>
      <c r="AB118" s="53"/>
      <c r="AC118" s="507"/>
      <c r="AD118" s="506"/>
      <c r="AE118" s="53"/>
      <c r="AF118" s="507"/>
      <c r="AG118" s="506"/>
      <c r="AH118" s="53"/>
      <c r="AI118" s="507"/>
      <c r="AJ118" s="506"/>
      <c r="AK118" s="53"/>
      <c r="AL118" s="507"/>
      <c r="AM118" s="506"/>
      <c r="AN118" s="53"/>
      <c r="AO118" s="507"/>
      <c r="AP118" s="506"/>
      <c r="AQ118" s="53"/>
      <c r="AR118" s="507"/>
      <c r="AS118" s="506"/>
      <c r="AT118" s="53"/>
      <c r="AU118" s="507"/>
      <c r="AV118" s="506"/>
      <c r="AW118" s="53"/>
      <c r="AX118" s="507"/>
      <c r="AY118" s="506"/>
      <c r="AZ118" s="53"/>
      <c r="BA118" s="507"/>
      <c r="BB118" s="506"/>
      <c r="BC118" s="53"/>
      <c r="BD118" s="507"/>
      <c r="BE118" s="506"/>
      <c r="BF118" s="53"/>
      <c r="BG118" s="507"/>
      <c r="BI118" s="506"/>
      <c r="BJ118" s="53"/>
      <c r="BK118" s="507"/>
    </row>
  </sheetData>
  <autoFilter ref="A2:I101" xr:uid="{00000000-0009-0000-0000-000005000000}"/>
  <sortState xmlns:xlrd2="http://schemas.microsoft.com/office/spreadsheetml/2017/richdata2" ref="A3:I95">
    <sortCondition ref="D3:D95"/>
    <sortCondition ref="A3:A95"/>
  </sortState>
  <mergeCells count="119">
    <mergeCell ref="IS1:IU1"/>
    <mergeCell ref="ES1:EU1"/>
    <mergeCell ref="IO1:IQ1"/>
    <mergeCell ref="IG1:II1"/>
    <mergeCell ref="HY1:IA1"/>
    <mergeCell ref="GS1:GU1"/>
    <mergeCell ref="GW1:GY1"/>
    <mergeCell ref="HA1:HC1"/>
    <mergeCell ref="HE1:HG1"/>
    <mergeCell ref="HI1:HK1"/>
    <mergeCell ref="HM1:HO1"/>
    <mergeCell ref="HQ1:HS1"/>
    <mergeCell ref="HU1:HW1"/>
    <mergeCell ref="IC1:IE1"/>
    <mergeCell ref="IK1:IM1"/>
    <mergeCell ref="GK1:GM1"/>
    <mergeCell ref="GC1:GE1"/>
    <mergeCell ref="FU1:FW1"/>
    <mergeCell ref="FM1:FO1"/>
    <mergeCell ref="GO1:GQ1"/>
    <mergeCell ref="GG1:GI1"/>
    <mergeCell ref="BU1:BW1"/>
    <mergeCell ref="FE1:FG1"/>
    <mergeCell ref="FA1:FC1"/>
    <mergeCell ref="BY1:CA1"/>
    <mergeCell ref="CC1:CE1"/>
    <mergeCell ref="CG1:CI1"/>
    <mergeCell ref="CK1:CM1"/>
    <mergeCell ref="CO1:CQ1"/>
    <mergeCell ref="FY1:GA1"/>
    <mergeCell ref="FQ1:FS1"/>
    <mergeCell ref="FI1:FK1"/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K1:EM1"/>
    <mergeCell ref="EO1:EQ1"/>
    <mergeCell ref="DQ103:DS103"/>
    <mergeCell ref="DM103:DO103"/>
    <mergeCell ref="DI103:DK103"/>
    <mergeCell ref="EC1:EE1"/>
    <mergeCell ref="EG1:EI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BM1:BO1"/>
    <mergeCell ref="BE1:BG1"/>
    <mergeCell ref="CW103:CY103"/>
    <mergeCell ref="CS103:CU103"/>
    <mergeCell ref="CO103:CQ103"/>
    <mergeCell ref="CK103:CM103"/>
    <mergeCell ref="BU103:BW103"/>
    <mergeCell ref="BU114:BW114"/>
    <mergeCell ref="BQ103:BS103"/>
    <mergeCell ref="BQ114:BS114"/>
    <mergeCell ref="BI114:BK114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AA114:AC114"/>
    <mergeCell ref="AD114:AF114"/>
    <mergeCell ref="AG114:AI114"/>
    <mergeCell ref="AJ114:AL114"/>
    <mergeCell ref="AM114:AO114"/>
    <mergeCell ref="AG103:AI103"/>
    <mergeCell ref="AJ103:AL103"/>
    <mergeCell ref="AM103:AO103"/>
    <mergeCell ref="AD103:AF103"/>
    <mergeCell ref="AA103:AC103"/>
    <mergeCell ref="BM103:BO103"/>
    <mergeCell ref="BM114:BO114"/>
    <mergeCell ref="AV114:AX114"/>
    <mergeCell ref="AY114:BA114"/>
    <mergeCell ref="BI103:BK103"/>
    <mergeCell ref="BI1:BK1"/>
    <mergeCell ref="IW1:IY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Q1:BS1"/>
    <mergeCell ref="CG103:CI103"/>
    <mergeCell ref="CC103:CE103"/>
    <mergeCell ref="BY103:CA103"/>
    <mergeCell ref="BY114:CA114"/>
    <mergeCell ref="DE103:DG103"/>
    <mergeCell ref="DA103:DC10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0"/>
  <sheetViews>
    <sheetView topLeftCell="B1" workbookViewId="0">
      <selection activeCell="B17" sqref="B17"/>
    </sheetView>
  </sheetViews>
  <sheetFormatPr defaultColWidth="9.140625" defaultRowHeight="14.25"/>
  <cols>
    <col min="1" max="1" width="5.5703125" bestFit="1" customWidth="1"/>
    <col min="2" max="2" width="15.7109375" style="12" customWidth="1"/>
    <col min="3" max="3" width="12.7109375" bestFit="1" customWidth="1"/>
    <col min="4" max="5" width="10.140625" bestFit="1" customWidth="1"/>
    <col min="6" max="6" width="5.28515625" bestFit="1" customWidth="1"/>
    <col min="7" max="7" width="11.85546875" customWidth="1"/>
    <col min="8" max="8" width="6.85546875" bestFit="1" customWidth="1"/>
    <col min="9" max="9" width="8.85546875" bestFit="1" customWidth="1"/>
    <col min="10" max="10" width="10" bestFit="1" customWidth="1"/>
    <col min="11" max="12" width="8.7109375" bestFit="1" customWidth="1"/>
    <col min="13" max="13" width="18.7109375" bestFit="1" customWidth="1"/>
    <col min="16" max="16" width="10.42578125" customWidth="1"/>
    <col min="17" max="17" width="17" style="12" customWidth="1"/>
    <col min="18" max="18" width="16.42578125" customWidth="1"/>
    <col min="19" max="19" width="15" bestFit="1" customWidth="1"/>
    <col min="20" max="20" width="15.7109375" customWidth="1"/>
    <col min="21" max="21" width="16.140625" customWidth="1"/>
    <col min="22" max="22" width="14.85546875" customWidth="1"/>
  </cols>
  <sheetData>
    <row r="1" spans="1:28" ht="15.75" thickBot="1">
      <c r="A1" s="745" t="s">
        <v>661</v>
      </c>
      <c r="B1" s="746"/>
      <c r="C1" s="746"/>
      <c r="D1" s="746"/>
      <c r="E1" s="746"/>
      <c r="F1" s="746"/>
      <c r="G1" s="746"/>
      <c r="H1" s="746"/>
      <c r="I1" s="746"/>
      <c r="J1" s="746"/>
      <c r="K1" s="746"/>
      <c r="L1" s="746"/>
    </row>
    <row r="2" spans="1:28" ht="15">
      <c r="A2" s="747"/>
      <c r="B2" s="748"/>
      <c r="C2" s="749"/>
      <c r="D2" s="750" t="s">
        <v>662</v>
      </c>
      <c r="E2" s="751"/>
      <c r="F2" s="752"/>
      <c r="G2" s="747"/>
      <c r="H2" s="748"/>
      <c r="I2" s="748"/>
      <c r="J2" s="748"/>
      <c r="K2" s="748"/>
      <c r="L2" s="748"/>
    </row>
    <row r="3" spans="1:28" ht="45.75" customHeight="1">
      <c r="A3" s="58" t="s">
        <v>663</v>
      </c>
      <c r="B3" s="117" t="s">
        <v>664</v>
      </c>
      <c r="C3" s="59" t="s">
        <v>665</v>
      </c>
      <c r="D3" s="59" t="s">
        <v>666</v>
      </c>
      <c r="E3" s="59" t="s">
        <v>667</v>
      </c>
      <c r="F3" s="59" t="s">
        <v>668</v>
      </c>
      <c r="G3" s="59" t="s">
        <v>669</v>
      </c>
      <c r="H3" s="59" t="s">
        <v>670</v>
      </c>
      <c r="I3" s="59" t="s">
        <v>671</v>
      </c>
      <c r="J3" s="59" t="s">
        <v>672</v>
      </c>
      <c r="K3" s="59" t="s">
        <v>673</v>
      </c>
      <c r="L3" s="60" t="s">
        <v>674</v>
      </c>
      <c r="P3" s="753" t="s">
        <v>675</v>
      </c>
      <c r="Q3" s="754"/>
      <c r="R3" s="754"/>
      <c r="S3" s="754"/>
      <c r="T3" s="754"/>
      <c r="U3" s="754"/>
      <c r="V3" s="754"/>
      <c r="W3" s="754"/>
      <c r="X3" s="754"/>
      <c r="Y3" s="754"/>
      <c r="Z3" s="754"/>
      <c r="AA3" s="754"/>
      <c r="AB3" s="755"/>
    </row>
    <row r="4" spans="1:28" ht="15">
      <c r="A4" s="109" t="s">
        <v>475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676</v>
      </c>
      <c r="P4" s="490" t="s">
        <v>677</v>
      </c>
      <c r="Q4" s="491" t="s">
        <v>678</v>
      </c>
      <c r="R4" s="492" t="s">
        <v>679</v>
      </c>
      <c r="S4" s="492" t="s">
        <v>680</v>
      </c>
      <c r="T4" s="492" t="s">
        <v>681</v>
      </c>
      <c r="U4" s="492" t="s">
        <v>682</v>
      </c>
      <c r="V4" s="492" t="s">
        <v>683</v>
      </c>
      <c r="W4" s="492" t="s">
        <v>684</v>
      </c>
      <c r="X4" s="492" t="s">
        <v>685</v>
      </c>
      <c r="Y4" s="492" t="s">
        <v>686</v>
      </c>
      <c r="Z4" s="492" t="s">
        <v>687</v>
      </c>
      <c r="AA4" s="492" t="s">
        <v>688</v>
      </c>
      <c r="AB4" s="493" t="s">
        <v>689</v>
      </c>
    </row>
    <row r="5" spans="1:28" ht="15">
      <c r="A5" s="75" t="s">
        <v>306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678</v>
      </c>
      <c r="P5" s="495" t="s">
        <v>475</v>
      </c>
      <c r="Q5" s="491">
        <v>53141775.549999997</v>
      </c>
      <c r="R5" s="496">
        <v>69831843.200000003</v>
      </c>
      <c r="S5" s="497">
        <f>R5+J8+4000000+860000-3000000</f>
        <v>71827335.560000002</v>
      </c>
      <c r="T5" s="497">
        <v>28327313.530000001</v>
      </c>
      <c r="U5" s="497">
        <f>28444788.32+2500000-12774071.61-3000000</f>
        <v>15170716.710000001</v>
      </c>
      <c r="V5" s="497">
        <v>15280206.039999999</v>
      </c>
      <c r="W5" s="497"/>
      <c r="X5" s="497"/>
      <c r="Y5" s="497"/>
      <c r="Z5" s="497"/>
      <c r="AA5" s="497"/>
      <c r="AB5" s="497"/>
    </row>
    <row r="6" spans="1:28" ht="15">
      <c r="A6" s="61" t="s">
        <v>475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678</v>
      </c>
      <c r="P6" s="494" t="s">
        <v>306</v>
      </c>
      <c r="Q6" s="487">
        <f>+B9</f>
        <v>17000000</v>
      </c>
      <c r="R6" s="487">
        <f>Q6</f>
        <v>17000000</v>
      </c>
      <c r="S6" s="487">
        <f>R6</f>
        <v>17000000</v>
      </c>
      <c r="T6" s="488"/>
      <c r="U6" s="488"/>
      <c r="V6" s="488"/>
      <c r="W6" s="488"/>
      <c r="X6" s="488"/>
      <c r="Y6" s="488"/>
      <c r="Z6" s="488"/>
      <c r="AA6" s="488"/>
      <c r="AB6" s="489"/>
    </row>
    <row r="7" spans="1:28" ht="15">
      <c r="A7" s="61" t="s">
        <v>306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690</v>
      </c>
    </row>
    <row r="8" spans="1:28" ht="15">
      <c r="A8" s="61" t="s">
        <v>475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690</v>
      </c>
    </row>
    <row r="9" spans="1:28" ht="15">
      <c r="A9" s="61" t="s">
        <v>691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680</v>
      </c>
    </row>
    <row r="10" spans="1:28" ht="15">
      <c r="A10" s="61" t="s">
        <v>475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680</v>
      </c>
    </row>
    <row r="11" spans="1:28" ht="15">
      <c r="A11" s="61" t="s">
        <v>475</v>
      </c>
      <c r="B11" s="12">
        <v>28321123</v>
      </c>
      <c r="C11" t="s">
        <v>692</v>
      </c>
    </row>
    <row r="12" spans="1:28">
      <c r="A12" t="s">
        <v>475</v>
      </c>
      <c r="B12" s="12">
        <v>28444788.32</v>
      </c>
      <c r="C12" s="514">
        <v>45662</v>
      </c>
    </row>
    <row r="13" spans="1:28">
      <c r="A13" t="s">
        <v>475</v>
      </c>
      <c r="B13" s="12">
        <f>B12+2500000</f>
        <v>30944788.32</v>
      </c>
      <c r="C13" t="s">
        <v>693</v>
      </c>
    </row>
    <row r="14" spans="1:28" ht="15">
      <c r="A14" t="s">
        <v>475</v>
      </c>
      <c r="B14" s="62">
        <f>B13-12774071.61</f>
        <v>18170716.710000001</v>
      </c>
      <c r="C14" t="s">
        <v>694</v>
      </c>
    </row>
    <row r="15" spans="1:28" ht="15">
      <c r="A15" t="s">
        <v>475</v>
      </c>
      <c r="B15" s="12">
        <f>B14-3000000</f>
        <v>15170716.710000001</v>
      </c>
      <c r="C15" t="s">
        <v>695</v>
      </c>
    </row>
    <row r="16" spans="1:28" ht="15">
      <c r="A16" t="s">
        <v>475</v>
      </c>
      <c r="B16" s="12">
        <f>V5</f>
        <v>15280206.039999999</v>
      </c>
      <c r="C16" s="516">
        <v>45809</v>
      </c>
    </row>
    <row r="17" spans="1:5" ht="15">
      <c r="A17" t="s">
        <v>475</v>
      </c>
      <c r="B17" s="12">
        <v>10849</v>
      </c>
      <c r="C17" s="516">
        <v>45831</v>
      </c>
    </row>
    <row r="20" spans="1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43"/>
  <sheetViews>
    <sheetView workbookViewId="0">
      <selection activeCell="O3" sqref="O3"/>
    </sheetView>
  </sheetViews>
  <sheetFormatPr defaultRowHeight="14.25"/>
  <cols>
    <col min="1" max="1" width="7.42578125" bestFit="1" customWidth="1"/>
    <col min="2" max="2" width="13.7109375" bestFit="1" customWidth="1"/>
    <col min="3" max="3" width="7.7109375" bestFit="1" customWidth="1"/>
    <col min="4" max="4" width="8.7109375" bestFit="1" customWidth="1"/>
    <col min="5" max="5" width="12.7109375" bestFit="1" customWidth="1"/>
    <col min="6" max="6" width="8.5703125" bestFit="1" customWidth="1"/>
    <col min="7" max="7" width="4.7109375" bestFit="1" customWidth="1"/>
    <col min="8" max="8" width="7.7109375" bestFit="1" customWidth="1"/>
    <col min="11" max="11" width="7.42578125" bestFit="1" customWidth="1"/>
    <col min="12" max="12" width="16.28515625" bestFit="1" customWidth="1"/>
    <col min="13" max="13" width="7.7109375" bestFit="1" customWidth="1"/>
    <col min="14" max="14" width="8.7109375" bestFit="1" customWidth="1"/>
    <col min="15" max="15" width="11.7109375" bestFit="1" customWidth="1"/>
    <col min="16" max="16" width="8.5703125" bestFit="1" customWidth="1"/>
    <col min="17" max="17" width="4.7109375" bestFit="1" customWidth="1"/>
    <col min="18" max="18" width="7.7109375" bestFit="1" customWidth="1"/>
    <col min="21" max="21" width="13.4257812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696</v>
      </c>
      <c r="B2" s="68" t="s">
        <v>697</v>
      </c>
      <c r="C2" s="68" t="s">
        <v>698</v>
      </c>
      <c r="D2" s="68" t="s">
        <v>699</v>
      </c>
      <c r="E2" s="68" t="s">
        <v>700</v>
      </c>
      <c r="F2" s="68" t="s">
        <v>701</v>
      </c>
      <c r="G2" s="68" t="s">
        <v>702</v>
      </c>
      <c r="H2" s="68" t="s">
        <v>703</v>
      </c>
      <c r="K2" s="68" t="s">
        <v>696</v>
      </c>
      <c r="L2" s="68" t="s">
        <v>697</v>
      </c>
      <c r="M2" s="68" t="s">
        <v>698</v>
      </c>
      <c r="N2" s="68" t="s">
        <v>699</v>
      </c>
      <c r="O2" s="68" t="s">
        <v>700</v>
      </c>
      <c r="P2" s="68" t="s">
        <v>701</v>
      </c>
      <c r="Q2" s="68" t="s">
        <v>702</v>
      </c>
      <c r="R2" s="68" t="s">
        <v>703</v>
      </c>
    </row>
    <row r="3" spans="1:23">
      <c r="A3" s="69" t="s">
        <v>704</v>
      </c>
      <c r="B3" s="277">
        <v>30000000</v>
      </c>
      <c r="C3" s="69" t="s">
        <v>6</v>
      </c>
      <c r="D3" s="69" t="s">
        <v>2</v>
      </c>
      <c r="E3" s="277">
        <v>2618232</v>
      </c>
      <c r="F3" s="71">
        <v>45659</v>
      </c>
      <c r="G3" s="69" t="s">
        <v>306</v>
      </c>
      <c r="H3" s="69">
        <v>8.7274400000000002E-2</v>
      </c>
      <c r="K3" s="72" t="s">
        <v>705</v>
      </c>
      <c r="L3" s="73">
        <v>4981500000</v>
      </c>
      <c r="M3" s="72" t="s">
        <v>298</v>
      </c>
      <c r="N3" s="72" t="s">
        <v>2</v>
      </c>
      <c r="O3" s="277">
        <v>300000</v>
      </c>
      <c r="P3" s="71">
        <v>45665</v>
      </c>
      <c r="Q3" s="72" t="s">
        <v>306</v>
      </c>
      <c r="R3" s="69">
        <v>16605</v>
      </c>
    </row>
    <row r="4" spans="1:23">
      <c r="A4" s="69" t="s">
        <v>704</v>
      </c>
      <c r="B4" s="277">
        <v>50000000</v>
      </c>
      <c r="C4" s="69" t="s">
        <v>19</v>
      </c>
      <c r="D4" s="69" t="s">
        <v>2</v>
      </c>
      <c r="E4" s="277">
        <v>4249845</v>
      </c>
      <c r="F4" s="71">
        <v>45663</v>
      </c>
      <c r="G4" s="69" t="s">
        <v>306</v>
      </c>
      <c r="H4" s="69">
        <v>8.49969E-2</v>
      </c>
      <c r="K4" s="72" t="s">
        <v>705</v>
      </c>
      <c r="L4" s="73">
        <v>5029814.4000000004</v>
      </c>
      <c r="M4" s="72" t="s">
        <v>4</v>
      </c>
      <c r="N4" s="72" t="s">
        <v>2</v>
      </c>
      <c r="O4" s="277">
        <v>6000000</v>
      </c>
      <c r="P4" s="71">
        <v>45685</v>
      </c>
      <c r="Q4" s="72" t="s">
        <v>306</v>
      </c>
      <c r="R4" s="69">
        <v>0.8383024</v>
      </c>
    </row>
    <row r="5" spans="1:23">
      <c r="A5" s="69" t="s">
        <v>704</v>
      </c>
      <c r="B5" s="277">
        <v>1000000</v>
      </c>
      <c r="C5" s="69" t="s">
        <v>4</v>
      </c>
      <c r="D5" s="69" t="s">
        <v>2</v>
      </c>
      <c r="E5" s="277">
        <v>1203771.8999999999</v>
      </c>
      <c r="F5" s="71">
        <v>45663</v>
      </c>
      <c r="G5" s="69" t="s">
        <v>301</v>
      </c>
      <c r="H5" s="69">
        <v>1.2037719</v>
      </c>
      <c r="K5" s="72" t="s">
        <v>705</v>
      </c>
      <c r="L5" s="73">
        <v>5055000000</v>
      </c>
      <c r="M5" s="72" t="s">
        <v>298</v>
      </c>
      <c r="N5" s="72" t="s">
        <v>2</v>
      </c>
      <c r="O5" s="277">
        <v>300000</v>
      </c>
      <c r="P5" s="71">
        <v>45694</v>
      </c>
      <c r="Q5" s="72" t="s">
        <v>306</v>
      </c>
      <c r="R5" s="69">
        <v>16850</v>
      </c>
    </row>
    <row r="6" spans="1:23">
      <c r="A6" s="69" t="s">
        <v>704</v>
      </c>
      <c r="B6" s="277">
        <v>950000</v>
      </c>
      <c r="C6" s="69" t="s">
        <v>14</v>
      </c>
      <c r="D6" s="69" t="s">
        <v>2</v>
      </c>
      <c r="E6" s="277">
        <v>640470.91</v>
      </c>
      <c r="F6" s="71">
        <v>45665</v>
      </c>
      <c r="G6" s="69" t="s">
        <v>301</v>
      </c>
      <c r="H6" s="69">
        <v>0.67417990000000005</v>
      </c>
      <c r="K6" s="72" t="s">
        <v>705</v>
      </c>
      <c r="L6" s="73">
        <v>7110000000</v>
      </c>
      <c r="M6" s="72" t="s">
        <v>298</v>
      </c>
      <c r="N6" s="72" t="s">
        <v>2</v>
      </c>
      <c r="O6" s="277">
        <v>400000</v>
      </c>
      <c r="P6" s="71">
        <v>45729</v>
      </c>
      <c r="Q6" s="72" t="s">
        <v>306</v>
      </c>
      <c r="R6" s="69">
        <v>17775</v>
      </c>
    </row>
    <row r="7" spans="1:23">
      <c r="A7" s="69" t="s">
        <v>704</v>
      </c>
      <c r="B7" s="277">
        <v>20000000</v>
      </c>
      <c r="C7" s="69" t="s">
        <v>6</v>
      </c>
      <c r="D7" s="69" t="s">
        <v>2</v>
      </c>
      <c r="E7" s="277">
        <v>1737266</v>
      </c>
      <c r="F7" s="71">
        <v>45666</v>
      </c>
      <c r="G7" s="69" t="s">
        <v>306</v>
      </c>
      <c r="H7" s="69">
        <v>8.6863300000000004E-2</v>
      </c>
      <c r="O7" s="277"/>
    </row>
    <row r="8" spans="1:23">
      <c r="A8" s="69" t="s">
        <v>704</v>
      </c>
      <c r="B8" s="277">
        <v>550000</v>
      </c>
      <c r="C8" s="69" t="s">
        <v>5</v>
      </c>
      <c r="D8" s="69" t="s">
        <v>2</v>
      </c>
      <c r="E8" s="277">
        <v>535162.93000000005</v>
      </c>
      <c r="F8" s="71">
        <v>45671</v>
      </c>
      <c r="G8" s="69" t="s">
        <v>306</v>
      </c>
      <c r="H8" s="69">
        <v>0.97302350000000004</v>
      </c>
      <c r="L8" s="69"/>
      <c r="O8" s="277"/>
    </row>
    <row r="9" spans="1:23">
      <c r="A9" s="69" t="s">
        <v>704</v>
      </c>
      <c r="B9" s="277">
        <v>1200000</v>
      </c>
      <c r="C9" s="69" t="s">
        <v>4</v>
      </c>
      <c r="D9" s="69" t="s">
        <v>2</v>
      </c>
      <c r="E9" s="277">
        <v>1424694</v>
      </c>
      <c r="F9" s="71">
        <v>45671</v>
      </c>
      <c r="G9" s="69" t="s">
        <v>301</v>
      </c>
      <c r="H9" s="69">
        <v>1.1872450000000001</v>
      </c>
      <c r="L9" s="69"/>
      <c r="O9" s="277"/>
    </row>
    <row r="10" spans="1:23">
      <c r="A10" s="69" t="s">
        <v>704</v>
      </c>
      <c r="B10" s="277">
        <v>2399880</v>
      </c>
      <c r="C10" s="69" t="s">
        <v>16</v>
      </c>
      <c r="D10" s="69" t="s">
        <v>2</v>
      </c>
      <c r="E10" s="277">
        <v>1700446.97</v>
      </c>
      <c r="F10" s="71">
        <v>45673</v>
      </c>
      <c r="G10" s="69" t="s">
        <v>306</v>
      </c>
      <c r="H10" s="69">
        <v>0.70855500000000005</v>
      </c>
      <c r="L10" s="69"/>
      <c r="O10" s="277"/>
    </row>
    <row r="11" spans="1:23" s="100" customFormat="1" ht="15">
      <c r="A11" s="98" t="s">
        <v>704</v>
      </c>
      <c r="B11" s="278">
        <v>10000000</v>
      </c>
      <c r="C11" s="98" t="s">
        <v>6</v>
      </c>
      <c r="D11" s="98" t="s">
        <v>4</v>
      </c>
      <c r="E11" s="278">
        <v>735504</v>
      </c>
      <c r="F11" s="99">
        <v>45681</v>
      </c>
      <c r="G11" s="98" t="s">
        <v>306</v>
      </c>
      <c r="H11" s="98">
        <v>7.3550400000000002E-2</v>
      </c>
      <c r="L11" s="98"/>
      <c r="O11" s="277"/>
      <c r="U11"/>
      <c r="V11"/>
      <c r="W11"/>
    </row>
    <row r="12" spans="1:23">
      <c r="A12" s="69" t="s">
        <v>704</v>
      </c>
      <c r="B12" s="277">
        <v>3000000</v>
      </c>
      <c r="C12" s="69" t="s">
        <v>3</v>
      </c>
      <c r="D12" s="69" t="s">
        <v>2</v>
      </c>
      <c r="E12" s="277">
        <v>401977.5</v>
      </c>
      <c r="F12" s="71">
        <v>45685</v>
      </c>
      <c r="G12" s="69" t="s">
        <v>301</v>
      </c>
      <c r="H12" s="69">
        <v>0.13399249999999999</v>
      </c>
      <c r="L12" s="69"/>
      <c r="O12" s="277"/>
    </row>
    <row r="13" spans="1:23">
      <c r="A13" s="69" t="s">
        <v>704</v>
      </c>
      <c r="B13" s="277">
        <v>1000000</v>
      </c>
      <c r="C13" s="69" t="s">
        <v>5</v>
      </c>
      <c r="D13" s="69" t="s">
        <v>2</v>
      </c>
      <c r="E13" s="277">
        <v>959819.6</v>
      </c>
      <c r="F13" s="71">
        <v>45686</v>
      </c>
      <c r="G13" s="69" t="s">
        <v>306</v>
      </c>
      <c r="H13" s="69">
        <v>0.95981959999999999</v>
      </c>
      <c r="L13" s="69"/>
      <c r="O13" s="277"/>
    </row>
    <row r="14" spans="1:23">
      <c r="A14" s="69" t="s">
        <v>704</v>
      </c>
      <c r="B14" s="277">
        <v>600000</v>
      </c>
      <c r="C14" s="69" t="s">
        <v>5</v>
      </c>
      <c r="D14" s="69" t="s">
        <v>2</v>
      </c>
      <c r="E14" s="277">
        <v>576915.96</v>
      </c>
      <c r="F14" s="71">
        <v>45688</v>
      </c>
      <c r="G14" s="69" t="s">
        <v>306</v>
      </c>
      <c r="H14" s="69">
        <v>0.96152660000000001</v>
      </c>
      <c r="L14" s="69"/>
      <c r="O14" s="277"/>
    </row>
    <row r="15" spans="1:23">
      <c r="A15" s="69" t="s">
        <v>704</v>
      </c>
      <c r="B15" s="277">
        <v>699880</v>
      </c>
      <c r="C15" s="69" t="s">
        <v>16</v>
      </c>
      <c r="D15" s="69" t="s">
        <v>2</v>
      </c>
      <c r="E15" s="277">
        <v>496393.53</v>
      </c>
      <c r="F15" s="71">
        <v>45691</v>
      </c>
      <c r="G15" s="69" t="s">
        <v>306</v>
      </c>
      <c r="H15" s="69">
        <v>0.70925519999999997</v>
      </c>
      <c r="L15" s="69"/>
      <c r="O15" s="277"/>
    </row>
    <row r="16" spans="1:23">
      <c r="A16" s="69" t="s">
        <v>704</v>
      </c>
      <c r="B16" s="277">
        <v>1500000</v>
      </c>
      <c r="C16" s="69" t="s">
        <v>4</v>
      </c>
      <c r="D16" s="69" t="s">
        <v>2</v>
      </c>
      <c r="E16" s="277">
        <v>1793902.35</v>
      </c>
      <c r="F16" s="71">
        <v>45688</v>
      </c>
      <c r="G16" s="69" t="s">
        <v>301</v>
      </c>
      <c r="H16" s="69">
        <v>1.1959348999999999</v>
      </c>
      <c r="O16" s="277"/>
    </row>
    <row r="17" spans="1:15">
      <c r="A17" s="69" t="s">
        <v>704</v>
      </c>
      <c r="B17" s="277">
        <v>15000000</v>
      </c>
      <c r="C17" s="69" t="s">
        <v>6</v>
      </c>
      <c r="D17" s="69" t="s">
        <v>2</v>
      </c>
      <c r="E17" s="277">
        <v>1302550.5</v>
      </c>
      <c r="F17" s="71">
        <v>45691</v>
      </c>
      <c r="G17" s="69" t="s">
        <v>306</v>
      </c>
      <c r="H17" s="69">
        <v>8.6836700000000003E-2</v>
      </c>
      <c r="O17" s="277"/>
    </row>
    <row r="18" spans="1:15">
      <c r="A18" s="69" t="s">
        <v>704</v>
      </c>
      <c r="B18" s="277">
        <v>1500000</v>
      </c>
      <c r="C18" s="69" t="s">
        <v>4</v>
      </c>
      <c r="D18" s="69" t="s">
        <v>2</v>
      </c>
      <c r="E18" s="277">
        <v>1803317.25</v>
      </c>
      <c r="F18" s="71">
        <v>45692</v>
      </c>
      <c r="G18" s="69" t="s">
        <v>301</v>
      </c>
      <c r="H18" s="69">
        <v>1.2022115</v>
      </c>
      <c r="O18" s="277"/>
    </row>
    <row r="19" spans="1:15">
      <c r="A19" s="69" t="s">
        <v>704</v>
      </c>
      <c r="B19" s="277">
        <v>1500000</v>
      </c>
      <c r="C19" s="69" t="s">
        <v>4</v>
      </c>
      <c r="D19" s="69" t="s">
        <v>2</v>
      </c>
      <c r="E19" s="277">
        <v>1799216.55</v>
      </c>
      <c r="F19" s="71">
        <v>45695</v>
      </c>
      <c r="G19" s="69" t="s">
        <v>301</v>
      </c>
      <c r="H19" s="69">
        <v>1.1994777000000001</v>
      </c>
      <c r="O19" s="277"/>
    </row>
    <row r="20" spans="1:15">
      <c r="A20" s="69" t="s">
        <v>704</v>
      </c>
      <c r="B20" s="277">
        <v>9000000</v>
      </c>
      <c r="C20" s="69" t="s">
        <v>19</v>
      </c>
      <c r="D20" s="69" t="s">
        <v>2</v>
      </c>
      <c r="E20" s="277">
        <v>775775.7</v>
      </c>
      <c r="F20" s="71">
        <v>45699</v>
      </c>
      <c r="G20" s="69" t="s">
        <v>306</v>
      </c>
      <c r="H20" s="69">
        <v>8.6197300000000004E-2</v>
      </c>
      <c r="O20" s="277"/>
    </row>
    <row r="21" spans="1:15">
      <c r="A21" s="69" t="s">
        <v>704</v>
      </c>
      <c r="B21" s="277">
        <v>1000000</v>
      </c>
      <c r="C21" s="69" t="s">
        <v>4</v>
      </c>
      <c r="D21" s="69" t="s">
        <v>2</v>
      </c>
      <c r="E21" s="277">
        <v>1197754.3</v>
      </c>
      <c r="F21" s="71">
        <v>45699</v>
      </c>
      <c r="G21" s="69" t="s">
        <v>301</v>
      </c>
      <c r="H21" s="69">
        <v>1.1977542999999999</v>
      </c>
      <c r="O21" s="277"/>
    </row>
    <row r="22" spans="1:15">
      <c r="A22" s="69" t="s">
        <v>704</v>
      </c>
      <c r="B22" s="277">
        <v>600000</v>
      </c>
      <c r="C22" s="69" t="s">
        <v>14</v>
      </c>
      <c r="D22" s="69" t="s">
        <v>2</v>
      </c>
      <c r="E22" s="277">
        <v>403449.84</v>
      </c>
      <c r="F22" s="71">
        <v>45702</v>
      </c>
      <c r="G22" s="69" t="s">
        <v>306</v>
      </c>
      <c r="H22" s="69">
        <v>0.67241640000000003</v>
      </c>
      <c r="O22" s="277"/>
    </row>
    <row r="23" spans="1:15">
      <c r="A23" s="69" t="s">
        <v>704</v>
      </c>
      <c r="B23" s="277">
        <v>2004513.66</v>
      </c>
      <c r="C23" s="69" t="s">
        <v>5</v>
      </c>
      <c r="D23" s="69" t="s">
        <v>2</v>
      </c>
      <c r="E23" s="277">
        <v>1909888.59</v>
      </c>
      <c r="F23" s="71">
        <v>45702</v>
      </c>
      <c r="G23" s="69" t="s">
        <v>306</v>
      </c>
      <c r="H23" s="69">
        <v>0.95279400000000003</v>
      </c>
      <c r="O23" s="277"/>
    </row>
    <row r="24" spans="1:15">
      <c r="A24" s="69" t="s">
        <v>704</v>
      </c>
      <c r="B24" s="277">
        <v>2700000</v>
      </c>
      <c r="C24" s="69" t="s">
        <v>4</v>
      </c>
      <c r="D24" s="69" t="s">
        <v>2</v>
      </c>
      <c r="E24" s="277">
        <v>3244762.26</v>
      </c>
      <c r="F24" s="71">
        <v>45705</v>
      </c>
      <c r="G24" s="69" t="s">
        <v>301</v>
      </c>
      <c r="H24" s="69">
        <v>1.2017637999999999</v>
      </c>
      <c r="O24" s="277"/>
    </row>
    <row r="25" spans="1:15">
      <c r="A25" s="69" t="s">
        <v>704</v>
      </c>
      <c r="B25" s="277">
        <v>1190000</v>
      </c>
      <c r="C25" s="69" t="s">
        <v>5</v>
      </c>
      <c r="D25" s="69" t="s">
        <v>2</v>
      </c>
      <c r="E25" s="277">
        <v>1135340.8</v>
      </c>
      <c r="F25" s="71">
        <v>45706</v>
      </c>
      <c r="G25" s="69" t="s">
        <v>306</v>
      </c>
      <c r="H25" s="69">
        <v>0.95406789999999997</v>
      </c>
      <c r="O25" s="277"/>
    </row>
    <row r="26" spans="1:15">
      <c r="A26" s="69" t="s">
        <v>704</v>
      </c>
      <c r="B26" s="277">
        <v>300000</v>
      </c>
      <c r="C26" s="69" t="s">
        <v>9</v>
      </c>
      <c r="D26" s="69" t="s">
        <v>2</v>
      </c>
      <c r="E26" s="277">
        <v>317854.32</v>
      </c>
      <c r="F26" s="71">
        <v>45707</v>
      </c>
      <c r="G26" s="69" t="s">
        <v>306</v>
      </c>
      <c r="H26" s="69">
        <v>1.0595144000000001</v>
      </c>
      <c r="O26" s="277"/>
    </row>
    <row r="27" spans="1:15">
      <c r="A27" s="69" t="s">
        <v>704</v>
      </c>
      <c r="B27" s="277">
        <v>25000000</v>
      </c>
      <c r="C27" s="69" t="s">
        <v>19</v>
      </c>
      <c r="D27" s="69" t="s">
        <v>2</v>
      </c>
      <c r="E27" s="277">
        <v>2148455</v>
      </c>
      <c r="F27" s="71">
        <v>45707</v>
      </c>
      <c r="G27" s="69" t="s">
        <v>306</v>
      </c>
      <c r="H27" s="69">
        <v>8.5938200000000006E-2</v>
      </c>
      <c r="O27" s="277"/>
    </row>
    <row r="28" spans="1:15">
      <c r="A28" s="69" t="s">
        <v>704</v>
      </c>
      <c r="B28" s="277">
        <v>8000000</v>
      </c>
      <c r="C28" s="69" t="s">
        <v>6</v>
      </c>
      <c r="D28" s="69" t="s">
        <v>2</v>
      </c>
      <c r="E28" s="277">
        <v>715372.8</v>
      </c>
      <c r="F28" s="71">
        <v>45708</v>
      </c>
      <c r="G28" s="69" t="s">
        <v>306</v>
      </c>
      <c r="H28" s="69">
        <v>8.9421600000000004E-2</v>
      </c>
      <c r="O28" s="277"/>
    </row>
    <row r="29" spans="1:15">
      <c r="A29" s="69" t="s">
        <v>704</v>
      </c>
      <c r="B29" s="277">
        <v>1000000</v>
      </c>
      <c r="C29" s="69" t="s">
        <v>4</v>
      </c>
      <c r="D29" s="69" t="s">
        <v>2</v>
      </c>
      <c r="E29" s="277">
        <v>1205477.8999999999</v>
      </c>
      <c r="F29" s="71">
        <v>45714</v>
      </c>
      <c r="G29" s="69" t="s">
        <v>301</v>
      </c>
      <c r="H29" s="69">
        <v>1.2054779</v>
      </c>
      <c r="O29" s="277"/>
    </row>
    <row r="30" spans="1:15">
      <c r="A30" s="69" t="s">
        <v>704</v>
      </c>
      <c r="B30" s="277">
        <v>20000000</v>
      </c>
      <c r="C30" s="69" t="s">
        <v>6</v>
      </c>
      <c r="D30" s="69" t="s">
        <v>4</v>
      </c>
      <c r="E30" s="277">
        <v>1474540</v>
      </c>
      <c r="F30" s="71">
        <v>45715</v>
      </c>
      <c r="G30" s="69" t="s">
        <v>306</v>
      </c>
      <c r="H30" s="69">
        <v>7.3727000000000001E-2</v>
      </c>
      <c r="O30" s="277"/>
    </row>
    <row r="31" spans="1:15">
      <c r="A31" s="69" t="s">
        <v>704</v>
      </c>
      <c r="B31" s="277">
        <v>1000</v>
      </c>
      <c r="C31" s="69" t="s">
        <v>4</v>
      </c>
      <c r="D31" s="69" t="s">
        <v>2</v>
      </c>
      <c r="E31" s="277">
        <v>1210.3699999999999</v>
      </c>
      <c r="F31" s="71">
        <v>45721</v>
      </c>
      <c r="G31" s="69" t="s">
        <v>706</v>
      </c>
      <c r="H31" s="69">
        <v>1.2103699999999999</v>
      </c>
      <c r="O31" s="277"/>
    </row>
    <row r="32" spans="1:15">
      <c r="A32" s="69" t="s">
        <v>704</v>
      </c>
      <c r="B32" s="277">
        <v>15000000</v>
      </c>
      <c r="C32" s="69" t="s">
        <v>19</v>
      </c>
      <c r="D32" s="69" t="s">
        <v>2</v>
      </c>
      <c r="E32" s="277">
        <v>1265223</v>
      </c>
      <c r="F32" s="71">
        <v>45721</v>
      </c>
      <c r="G32" s="69" t="s">
        <v>306</v>
      </c>
      <c r="H32" s="69">
        <v>8.4348199999999998E-2</v>
      </c>
      <c r="O32" s="277"/>
    </row>
    <row r="33" spans="1:15">
      <c r="A33" s="69" t="s">
        <v>704</v>
      </c>
      <c r="B33" s="277">
        <v>5000000</v>
      </c>
      <c r="C33" s="69" t="s">
        <v>6</v>
      </c>
      <c r="D33" s="69" t="s">
        <v>2</v>
      </c>
      <c r="E33" s="277">
        <v>456401</v>
      </c>
      <c r="F33" s="71">
        <v>45722</v>
      </c>
      <c r="G33" s="69" t="s">
        <v>306</v>
      </c>
      <c r="H33" s="69">
        <v>9.1280200000000006E-2</v>
      </c>
      <c r="O33" s="277"/>
    </row>
    <row r="34" spans="1:15">
      <c r="A34" s="69" t="s">
        <v>704</v>
      </c>
      <c r="B34" s="277">
        <v>1309000</v>
      </c>
      <c r="C34" s="69" t="s">
        <v>7</v>
      </c>
      <c r="D34" s="69" t="s">
        <v>2</v>
      </c>
      <c r="E34" s="277">
        <v>767373.37</v>
      </c>
      <c r="F34" s="71">
        <v>45723</v>
      </c>
      <c r="G34" s="69" t="s">
        <v>301</v>
      </c>
      <c r="H34" s="69">
        <v>0.58622870000000005</v>
      </c>
      <c r="O34" s="277"/>
    </row>
    <row r="35" spans="1:15">
      <c r="A35" s="69" t="s">
        <v>704</v>
      </c>
      <c r="B35" s="277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306</v>
      </c>
      <c r="H35" s="69">
        <v>0.91895850000000001</v>
      </c>
      <c r="O35" s="277"/>
    </row>
    <row r="36" spans="1:15">
      <c r="A36" s="69" t="s">
        <v>704</v>
      </c>
      <c r="B36" s="277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306</v>
      </c>
      <c r="H36" s="69">
        <v>0.68604609999999999</v>
      </c>
      <c r="O36" s="277"/>
    </row>
    <row r="37" spans="1:15">
      <c r="A37" s="69" t="s">
        <v>704</v>
      </c>
      <c r="B37" s="277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301</v>
      </c>
      <c r="H37" s="69">
        <v>0.58177999999999996</v>
      </c>
      <c r="O37" s="277"/>
    </row>
    <row r="38" spans="1:15">
      <c r="A38" s="69" t="s">
        <v>704</v>
      </c>
      <c r="B38" s="277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306</v>
      </c>
      <c r="H38" s="69">
        <v>8.65171E-2</v>
      </c>
      <c r="O38" s="277"/>
    </row>
    <row r="39" spans="1:15">
      <c r="A39" s="69" t="s">
        <v>704</v>
      </c>
      <c r="B39" s="277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306</v>
      </c>
      <c r="H39" s="69">
        <v>0.95540899999999995</v>
      </c>
      <c r="O39" s="277"/>
    </row>
    <row r="40" spans="1:15">
      <c r="A40" s="69" t="s">
        <v>704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306</v>
      </c>
      <c r="H40" s="69">
        <v>8.7826299999999996E-2</v>
      </c>
      <c r="O40" s="277"/>
    </row>
    <row r="41" spans="1:15">
      <c r="A41" s="69" t="s">
        <v>704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306</v>
      </c>
      <c r="H41" s="69">
        <v>0.6486423</v>
      </c>
    </row>
    <row r="42" spans="1:15">
      <c r="A42" s="69" t="s">
        <v>704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306</v>
      </c>
      <c r="H42" s="69">
        <v>0.64348919999999998</v>
      </c>
    </row>
    <row r="43" spans="1:15">
      <c r="A43" s="69" t="s">
        <v>704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301</v>
      </c>
      <c r="H43" s="69">
        <v>0.57868509999999995</v>
      </c>
    </row>
  </sheetData>
  <sortState xmlns:xlrd2="http://schemas.microsoft.com/office/spreadsheetml/2017/richdata2"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61"/>
  <sheetViews>
    <sheetView tabSelected="1" topLeftCell="A33" workbookViewId="0">
      <selection activeCell="B19" sqref="B19"/>
    </sheetView>
  </sheetViews>
  <sheetFormatPr defaultRowHeight="14.25"/>
  <cols>
    <col min="1" max="1" width="20.5703125" customWidth="1"/>
    <col min="2" max="2" width="21.28515625" customWidth="1"/>
    <col min="3" max="3" width="19.42578125" bestFit="1" customWidth="1"/>
    <col min="4" max="5" width="18.42578125" bestFit="1" customWidth="1"/>
    <col min="6" max="7" width="18.5703125" bestFit="1" customWidth="1"/>
    <col min="8" max="9" width="14.85546875" bestFit="1" customWidth="1"/>
    <col min="10" max="10" width="15.85546875" bestFit="1" customWidth="1"/>
    <col min="11" max="12" width="13.85546875" bestFit="1" customWidth="1"/>
    <col min="13" max="13" width="12.7109375" bestFit="1" customWidth="1"/>
    <col min="14" max="15" width="14.28515625" customWidth="1"/>
    <col min="16" max="16" width="13.7109375" customWidth="1"/>
    <col min="17" max="18" width="12.42578125" bestFit="1" customWidth="1"/>
    <col min="19" max="21" width="10.28515625" bestFit="1" customWidth="1"/>
    <col min="22" max="22" width="9.85546875" bestFit="1" customWidth="1"/>
  </cols>
  <sheetData>
    <row r="1" spans="1:27" ht="15" thickBot="1"/>
    <row r="2" spans="1:27" ht="15.75" thickBot="1">
      <c r="A2" s="759" t="s">
        <v>707</v>
      </c>
      <c r="B2" s="760"/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O2" s="759" t="s">
        <v>708</v>
      </c>
      <c r="P2" s="760"/>
      <c r="Q2" s="760"/>
      <c r="R2" s="760"/>
      <c r="S2" s="760"/>
      <c r="T2" s="760"/>
      <c r="U2" s="760"/>
      <c r="V2" s="760"/>
      <c r="W2" s="760"/>
      <c r="X2" s="760"/>
      <c r="Y2" s="760"/>
      <c r="Z2" s="760"/>
      <c r="AA2" s="761"/>
    </row>
    <row r="3" spans="1:27">
      <c r="A3" s="155"/>
      <c r="B3" s="320" t="s">
        <v>678</v>
      </c>
      <c r="C3" s="321" t="s">
        <v>679</v>
      </c>
      <c r="D3" s="321" t="s">
        <v>680</v>
      </c>
      <c r="E3" s="321" t="s">
        <v>681</v>
      </c>
      <c r="F3" s="321" t="s">
        <v>682</v>
      </c>
      <c r="G3" s="321" t="s">
        <v>683</v>
      </c>
      <c r="H3" s="321" t="s">
        <v>684</v>
      </c>
      <c r="I3" s="321" t="s">
        <v>685</v>
      </c>
      <c r="J3" s="321" t="s">
        <v>686</v>
      </c>
      <c r="K3" s="321" t="s">
        <v>687</v>
      </c>
      <c r="L3" s="321" t="s">
        <v>688</v>
      </c>
      <c r="M3" s="322" t="s">
        <v>689</v>
      </c>
      <c r="O3" s="155"/>
      <c r="P3" s="510" t="s">
        <v>709</v>
      </c>
      <c r="Q3" s="510" t="s">
        <v>710</v>
      </c>
      <c r="R3" s="510" t="s">
        <v>711</v>
      </c>
      <c r="S3" s="510" t="s">
        <v>712</v>
      </c>
      <c r="T3" s="510" t="s">
        <v>713</v>
      </c>
      <c r="U3" s="510" t="s">
        <v>714</v>
      </c>
      <c r="V3" s="510" t="s">
        <v>715</v>
      </c>
      <c r="W3" s="510" t="s">
        <v>716</v>
      </c>
      <c r="X3" s="510" t="s">
        <v>717</v>
      </c>
      <c r="Y3" s="510" t="s">
        <v>718</v>
      </c>
      <c r="Z3" s="510" t="s">
        <v>719</v>
      </c>
      <c r="AA3" s="510" t="s">
        <v>720</v>
      </c>
    </row>
    <row r="4" spans="1:27">
      <c r="A4" s="136" t="s">
        <v>721</v>
      </c>
      <c r="B4" s="504">
        <f>'Lista contas'!AC99</f>
        <v>102832675.20896223</v>
      </c>
      <c r="C4" s="505">
        <f>'Lista contas'!AO99</f>
        <v>113826533.15718423</v>
      </c>
      <c r="D4" s="505">
        <f>'Lista contas'!BD99</f>
        <v>97448965.372183487</v>
      </c>
      <c r="E4" s="505">
        <f>'Lista contas'!DW99</f>
        <v>53156319.459812194</v>
      </c>
      <c r="F4" s="324">
        <f>'Lista contas'!GU99</f>
        <v>42151988.065155834</v>
      </c>
      <c r="G4" s="324"/>
      <c r="M4" s="323"/>
      <c r="O4" s="136" t="s">
        <v>721</v>
      </c>
      <c r="P4" s="504">
        <v>0</v>
      </c>
      <c r="Q4" s="505">
        <v>0</v>
      </c>
      <c r="R4" s="505">
        <v>0</v>
      </c>
      <c r="S4" s="505">
        <v>0</v>
      </c>
      <c r="T4" s="324"/>
      <c r="U4" s="324"/>
      <c r="AA4" s="323"/>
    </row>
    <row r="5" spans="1:27">
      <c r="A5" s="498" t="s">
        <v>722</v>
      </c>
      <c r="B5" s="499">
        <f>'Cashflow 2025'!R59</f>
        <v>-35890.004510428407</v>
      </c>
      <c r="C5" s="499">
        <f>'Cashflow 2025'!S59</f>
        <v>10224.2567805464</v>
      </c>
      <c r="D5" s="499">
        <f>'Cashflow 2025'!T59</f>
        <v>-16568.980000000003</v>
      </c>
      <c r="E5" s="499">
        <f>'Cashflow 2025'!U59</f>
        <v>5817.8158780604108</v>
      </c>
      <c r="F5" s="499">
        <f>'Cashflow 2025'!V59</f>
        <v>6904.8158780604108</v>
      </c>
      <c r="G5" s="499">
        <f>'Cashflow 2025'!W59</f>
        <v>-3266.8386572643158</v>
      </c>
      <c r="H5" s="499">
        <f>'Cashflow 2025'!X59</f>
        <v>28798.703001707985</v>
      </c>
      <c r="I5" s="499">
        <f>'Cashflow 2025'!Y59</f>
        <v>14572.455602127793</v>
      </c>
      <c r="J5" s="499">
        <f>'Cashflow 2025'!Z59</f>
        <v>3113.7676021277948</v>
      </c>
      <c r="K5" s="499">
        <f>'Cashflow 2025'!AA59</f>
        <v>14798.767602127795</v>
      </c>
      <c r="L5" s="499">
        <f>'Cashflow 2025'!AB59</f>
        <v>14798.767602127795</v>
      </c>
      <c r="M5" s="500">
        <f>'Cashflow 2025'!AC59</f>
        <v>57887.455602127797</v>
      </c>
      <c r="O5" s="498" t="s">
        <v>722</v>
      </c>
      <c r="P5" s="499">
        <v>12508</v>
      </c>
      <c r="Q5" s="499">
        <v>528</v>
      </c>
      <c r="R5" s="499">
        <v>-20370</v>
      </c>
      <c r="S5" s="499">
        <v>-3020</v>
      </c>
      <c r="T5" s="499">
        <v>3008</v>
      </c>
      <c r="U5" s="499">
        <v>-6622</v>
      </c>
      <c r="V5" s="499">
        <v>11470</v>
      </c>
      <c r="W5" s="499">
        <v>8084</v>
      </c>
      <c r="X5" s="499">
        <v>-8692</v>
      </c>
      <c r="Y5" s="499">
        <v>7853</v>
      </c>
      <c r="Z5" s="499">
        <v>9387</v>
      </c>
      <c r="AA5" s="499">
        <v>58753</v>
      </c>
    </row>
    <row r="6" spans="1:27">
      <c r="A6" s="498" t="s">
        <v>723</v>
      </c>
      <c r="B6" s="499">
        <f>'Cashflow 2025'!R17</f>
        <v>62034.349524800928</v>
      </c>
      <c r="C6" s="499">
        <f>'Cashflow 2025'!S17</f>
        <v>57748.3</v>
      </c>
      <c r="D6" s="499">
        <f>'Cashflow 2025'!T17</f>
        <v>39729.4</v>
      </c>
      <c r="E6" s="499">
        <f>'Cashflow 2025'!U17</f>
        <v>39500</v>
      </c>
      <c r="F6" s="499">
        <f>'Cashflow 2025'!V17</f>
        <v>41500</v>
      </c>
      <c r="G6" s="499">
        <f>'Cashflow 2025'!W17</f>
        <v>42500</v>
      </c>
      <c r="H6" s="499">
        <f>'Cashflow 2025'!X17</f>
        <v>52000</v>
      </c>
      <c r="I6" s="499">
        <f>'Cashflow 2025'!Y17</f>
        <v>40000</v>
      </c>
      <c r="J6" s="499">
        <f>'Cashflow 2025'!Z17</f>
        <v>39000</v>
      </c>
      <c r="K6" s="499">
        <f>'Cashflow 2025'!AA17</f>
        <v>40000</v>
      </c>
      <c r="L6" s="499">
        <f>'Cashflow 2025'!AB17</f>
        <v>41000</v>
      </c>
      <c r="M6" s="500">
        <f>'Cashflow 2025'!AC17</f>
        <v>100000</v>
      </c>
      <c r="O6" s="498" t="s">
        <v>723</v>
      </c>
      <c r="P6" s="499">
        <v>57432.800000000003</v>
      </c>
      <c r="Q6" s="499">
        <v>41568.6</v>
      </c>
      <c r="R6" s="499">
        <v>34398</v>
      </c>
      <c r="S6" s="499">
        <v>35901.800000000003</v>
      </c>
      <c r="T6" s="499">
        <v>40244.400000000001</v>
      </c>
      <c r="U6" s="499">
        <v>35349</v>
      </c>
      <c r="V6" s="499">
        <v>45428.7</v>
      </c>
      <c r="W6" s="499">
        <v>35714.199999999997</v>
      </c>
      <c r="X6" s="499">
        <v>32839.5</v>
      </c>
      <c r="Y6" s="499">
        <v>40080.5</v>
      </c>
      <c r="Z6" s="499">
        <v>39257.1</v>
      </c>
      <c r="AA6" s="499">
        <v>107518.1</v>
      </c>
    </row>
    <row r="7" spans="1:27" ht="15" thickBot="1">
      <c r="A7" s="501" t="s">
        <v>724</v>
      </c>
      <c r="B7" s="502">
        <f>'Cashflow 2025'!R21+'Cashflow 2025'!R28+'Cashflow 2025'!R30+'Cashflow 2025'!R34+'Cashflow 2025'!R42+'Cashflow 2025'!R48</f>
        <v>-98241.493533703615</v>
      </c>
      <c r="C7" s="502">
        <f>'Cashflow 2025'!S21+'Cashflow 2025'!S28+'Cashflow 2025'!S30+'Cashflow 2025'!S34+'Cashflow 2025'!S42+'Cashflow 2025'!S48</f>
        <v>-47441.19821945361</v>
      </c>
      <c r="D7" s="502">
        <f>'Cashflow 2025'!T21+'Cashflow 2025'!T28+'Cashflow 2025'!T30+'Cashflow 2025'!T34+'Cashflow 2025'!T42+'Cashflow 2025'!T48</f>
        <v>-56218.8</v>
      </c>
      <c r="E7" s="502">
        <f>'Cashflow 2025'!U21+'Cashflow 2025'!U28+'Cashflow 2025'!U30+'Cashflow 2025'!U34+'Cashflow 2025'!U42+'Cashflow 2025'!U48</f>
        <v>-33602.604121939592</v>
      </c>
      <c r="F7" s="502">
        <f>'Cashflow 2025'!V21+'Cashflow 2025'!V28+'Cashflow 2025'!V30+'Cashflow 2025'!V34+'Cashflow 2025'!V42+'Cashflow 2025'!V48</f>
        <v>-34515.604121939592</v>
      </c>
      <c r="G7" s="502">
        <f>'Cashflow 2025'!W21+'Cashflow 2025'!W28+'Cashflow 2025'!W30+'Cashflow 2025'!W34+'Cashflow 2025'!W42+'Cashflow 2025'!W48</f>
        <v>-45687.258657264319</v>
      </c>
      <c r="H7" s="502">
        <f>'Cashflow 2025'!X21+'Cashflow 2025'!X28+'Cashflow 2025'!X30+'Cashflow 2025'!X34+'Cashflow 2025'!X42+'Cashflow 2025'!X48</f>
        <v>-23201.296998292019</v>
      </c>
      <c r="I7" s="502">
        <f>'Cashflow 2025'!Y21+'Cashflow 2025'!Y28+'Cashflow 2025'!Y30+'Cashflow 2025'!Y34+'Cashflow 2025'!Y42+'Cashflow 2025'!Y48</f>
        <v>-25427.544397872211</v>
      </c>
      <c r="J7" s="502">
        <f>'Cashflow 2025'!Z21+'Cashflow 2025'!Z28+'Cashflow 2025'!Z30+'Cashflow 2025'!Z34+'Cashflow 2025'!Z42+'Cashflow 2025'!Z48</f>
        <v>-35886.232397872212</v>
      </c>
      <c r="K7" s="502">
        <f>'Cashflow 2025'!AA21+'Cashflow 2025'!AA28+'Cashflow 2025'!AA30+'Cashflow 2025'!AA34+'Cashflow 2025'!AA42+'Cashflow 2025'!AA48</f>
        <v>-25201.232397872209</v>
      </c>
      <c r="L7" s="502">
        <f>'Cashflow 2025'!AB21+'Cashflow 2025'!AB28+'Cashflow 2025'!AB30+'Cashflow 2025'!AB34+'Cashflow 2025'!AB42+'Cashflow 2025'!AB48</f>
        <v>-26201.232397872209</v>
      </c>
      <c r="M7" s="503">
        <f>'Cashflow 2025'!AC21+'Cashflow 2025'!AC28+'Cashflow 2025'!AC30+'Cashflow 2025'!AC34+'Cashflow 2025'!AC42+'Cashflow 2025'!AC48</f>
        <v>-42112.544397872211</v>
      </c>
      <c r="O7" s="501" t="s">
        <v>724</v>
      </c>
      <c r="P7" s="502">
        <v>-45196.9</v>
      </c>
      <c r="Q7" s="502">
        <v>-39964.9</v>
      </c>
      <c r="R7" s="502">
        <v>-54029.4</v>
      </c>
      <c r="S7" s="502">
        <v>-39413.600000000006</v>
      </c>
      <c r="T7" s="502">
        <v>-37606.499999999993</v>
      </c>
      <c r="U7" s="502">
        <v>-42215.1</v>
      </c>
      <c r="V7" s="502">
        <v>-33550.500000000007</v>
      </c>
      <c r="W7" s="502">
        <v>-28164.499999999996</v>
      </c>
      <c r="X7" s="502">
        <v>-41651.599999999999</v>
      </c>
      <c r="Y7" s="502">
        <v>-32023</v>
      </c>
      <c r="Z7" s="502">
        <v>-29990.6</v>
      </c>
      <c r="AA7" s="502">
        <v>-50429.4</v>
      </c>
    </row>
    <row r="10" spans="1:27" ht="15" thickBot="1"/>
    <row r="11" spans="1:27" ht="15.75" thickBot="1">
      <c r="A11" s="762" t="s">
        <v>725</v>
      </c>
      <c r="B11" s="763"/>
      <c r="C11" s="764"/>
      <c r="E11" s="759" t="s">
        <v>726</v>
      </c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1"/>
    </row>
    <row r="12" spans="1:27" ht="15" thickBot="1">
      <c r="A12" s="325" t="s">
        <v>26</v>
      </c>
      <c r="B12" s="325" t="s">
        <v>727</v>
      </c>
      <c r="C12" s="325" t="s">
        <v>474</v>
      </c>
      <c r="E12" s="155"/>
      <c r="F12" s="321" t="s">
        <v>678</v>
      </c>
      <c r="G12" s="321" t="s">
        <v>679</v>
      </c>
      <c r="H12" s="321" t="s">
        <v>680</v>
      </c>
      <c r="I12" s="321" t="s">
        <v>681</v>
      </c>
      <c r="J12" s="321" t="s">
        <v>682</v>
      </c>
      <c r="K12" s="321" t="s">
        <v>683</v>
      </c>
      <c r="L12" s="321" t="s">
        <v>684</v>
      </c>
      <c r="M12" s="321" t="s">
        <v>685</v>
      </c>
      <c r="N12" s="321" t="s">
        <v>686</v>
      </c>
      <c r="O12" s="321" t="s">
        <v>687</v>
      </c>
      <c r="P12" s="321" t="s">
        <v>688</v>
      </c>
      <c r="Q12" s="322" t="s">
        <v>689</v>
      </c>
    </row>
    <row r="13" spans="1:27" ht="15">
      <c r="A13" s="326" t="s">
        <v>7</v>
      </c>
      <c r="B13" s="328">
        <f>Tabelas!C57</f>
        <v>481767.21153193805</v>
      </c>
      <c r="C13" s="328">
        <f>SUM(Tabelas!W65:W66)</f>
        <v>1789.1795846255031</v>
      </c>
      <c r="E13" s="342" t="s">
        <v>728</v>
      </c>
      <c r="F13" s="387">
        <f>B4</f>
        <v>102832675.20896223</v>
      </c>
      <c r="G13" s="388">
        <f>C4</f>
        <v>113826533.15718423</v>
      </c>
      <c r="H13" s="388">
        <f>D4</f>
        <v>97448965.372183487</v>
      </c>
      <c r="I13" s="388">
        <f>E4</f>
        <v>53156319.459812194</v>
      </c>
      <c r="J13" s="388">
        <f>F4</f>
        <v>42151988.065155834</v>
      </c>
      <c r="K13" s="388"/>
      <c r="L13" s="388"/>
      <c r="M13" s="388"/>
      <c r="N13" s="388"/>
      <c r="O13" s="388"/>
      <c r="P13" s="388"/>
      <c r="Q13" s="389"/>
    </row>
    <row r="14" spans="1:27" ht="15">
      <c r="A14" s="326" t="s">
        <v>14</v>
      </c>
      <c r="B14" s="328">
        <f>+Tabelas!AA57</f>
        <v>641646.158962421</v>
      </c>
      <c r="C14" s="328">
        <f>SUM(Tabelas!O65:O66)</f>
        <v>33195.211173927499</v>
      </c>
      <c r="E14" s="344" t="s">
        <v>729</v>
      </c>
      <c r="F14" s="387">
        <v>101369000</v>
      </c>
      <c r="G14" s="387">
        <v>105793080</v>
      </c>
      <c r="H14" s="387">
        <v>73487000</v>
      </c>
      <c r="I14" s="387">
        <f>27450000-24000000</f>
        <v>3450000</v>
      </c>
      <c r="J14" s="387">
        <v>38770000</v>
      </c>
      <c r="K14" s="387">
        <v>30770000</v>
      </c>
      <c r="L14" s="387">
        <v>43820000</v>
      </c>
      <c r="M14" s="387">
        <v>54200000</v>
      </c>
      <c r="N14" s="387">
        <v>48331000</v>
      </c>
      <c r="O14" s="387">
        <v>52303000</v>
      </c>
      <c r="P14" s="387">
        <v>62209000</v>
      </c>
      <c r="Q14" s="387">
        <v>112445000</v>
      </c>
    </row>
    <row r="15" spans="1:27" ht="15">
      <c r="A15" s="326" t="s">
        <v>9</v>
      </c>
      <c r="B15" s="328">
        <f>+Tabelas!O57</f>
        <v>498353.71504660451</v>
      </c>
      <c r="C15" s="328">
        <f>SUM(Tabelas!M65:M66)</f>
        <v>37643.67509986685</v>
      </c>
      <c r="E15" s="344" t="s">
        <v>730</v>
      </c>
      <c r="F15" s="387">
        <v>77909861</v>
      </c>
      <c r="G15" s="387">
        <v>75363363</v>
      </c>
      <c r="H15" s="387">
        <v>56248005</v>
      </c>
      <c r="I15" s="387">
        <v>57496284</v>
      </c>
      <c r="J15" s="387">
        <v>59359565</v>
      </c>
      <c r="K15" s="387">
        <v>52523135</v>
      </c>
      <c r="L15" s="387">
        <v>63715825</v>
      </c>
      <c r="M15" s="387">
        <v>72231959</v>
      </c>
      <c r="N15" s="387">
        <v>63256043</v>
      </c>
      <c r="O15" s="387">
        <v>72716145</v>
      </c>
      <c r="P15" s="387">
        <v>80661589</v>
      </c>
      <c r="Q15" s="387">
        <v>139082324</v>
      </c>
    </row>
    <row r="16" spans="1:27" ht="15">
      <c r="A16" s="326" t="s">
        <v>3</v>
      </c>
      <c r="B16" s="328">
        <f>+Tabelas!G57</f>
        <v>491426.44208212127</v>
      </c>
      <c r="C16" s="328">
        <f>SUM(Tabelas!U65:U66)</f>
        <v>67787.846696247841</v>
      </c>
    </row>
    <row r="17" spans="1:21">
      <c r="A17" s="326" t="s">
        <v>2</v>
      </c>
      <c r="B17" s="328">
        <f>+Tabelas!M57</f>
        <v>21960468.170000002</v>
      </c>
      <c r="C17" s="328">
        <f>SUM(Tabelas!K65:K66)</f>
        <v>18772420.57</v>
      </c>
    </row>
    <row r="18" spans="1:21" ht="15" thickBot="1">
      <c r="A18" s="326" t="s">
        <v>4</v>
      </c>
      <c r="B18" s="328">
        <f>Tabelas!K57</f>
        <v>5262765.0328330211</v>
      </c>
      <c r="C18" s="328">
        <f>SUM(Tabelas!Q65:Q66)</f>
        <v>5026927.7673545964</v>
      </c>
    </row>
    <row r="19" spans="1:21" ht="15" thickBot="1">
      <c r="A19" s="326" t="s">
        <v>298</v>
      </c>
      <c r="B19" s="328">
        <f>+Tabelas!Y57</f>
        <v>216595.30903047445</v>
      </c>
      <c r="C19" s="328"/>
      <c r="E19" s="140" t="s">
        <v>731</v>
      </c>
      <c r="F19" s="140" t="s">
        <v>732</v>
      </c>
      <c r="G19" s="140" t="s">
        <v>733</v>
      </c>
      <c r="H19" s="140" t="s">
        <v>734</v>
      </c>
      <c r="I19" s="140" t="s">
        <v>735</v>
      </c>
    </row>
    <row r="20" spans="1:21" ht="15" thickBot="1">
      <c r="A20" s="326" t="s">
        <v>259</v>
      </c>
      <c r="B20" s="328">
        <f>+Tabelas!U57</f>
        <v>433913.67394792056</v>
      </c>
      <c r="C20" s="328"/>
      <c r="E20" s="141" t="s">
        <v>736</v>
      </c>
      <c r="F20" s="142" t="s">
        <v>737</v>
      </c>
      <c r="G20" s="142" t="s">
        <v>738</v>
      </c>
      <c r="H20" s="142" t="s">
        <v>739</v>
      </c>
      <c r="I20" s="144">
        <v>0.93</v>
      </c>
    </row>
    <row r="21" spans="1:21" ht="15" thickBot="1">
      <c r="A21" s="326" t="s">
        <v>19</v>
      </c>
      <c r="B21" s="328">
        <f>Tabelas!E57</f>
        <v>2116139.412138293</v>
      </c>
      <c r="C21" s="328">
        <f>SUM(Tabelas!I65:I66)</f>
        <v>10576.943687185627</v>
      </c>
      <c r="E21" s="145" t="s">
        <v>740</v>
      </c>
      <c r="F21" s="146" t="s">
        <v>741</v>
      </c>
      <c r="G21" s="146" t="s">
        <v>742</v>
      </c>
      <c r="H21" s="146" t="s">
        <v>743</v>
      </c>
      <c r="I21" s="147">
        <v>1.23</v>
      </c>
    </row>
    <row r="22" spans="1:21" ht="15" thickBot="1">
      <c r="A22" s="326" t="s">
        <v>15</v>
      </c>
      <c r="B22" s="328">
        <f>+Tabelas!AC57</f>
        <v>1303142.0684794737</v>
      </c>
      <c r="C22" s="328">
        <f>SUM(Tabelas!S65:S66)</f>
        <v>39863.041052446111</v>
      </c>
      <c r="E22" s="145" t="s">
        <v>744</v>
      </c>
      <c r="F22" s="146" t="s">
        <v>745</v>
      </c>
      <c r="G22" s="146" t="s">
        <v>746</v>
      </c>
      <c r="H22" s="146" t="s">
        <v>747</v>
      </c>
      <c r="I22" s="147">
        <v>0.94</v>
      </c>
    </row>
    <row r="23" spans="1:21" ht="15" thickBot="1">
      <c r="A23" s="326" t="s">
        <v>6</v>
      </c>
      <c r="B23" s="328">
        <f>+Tabelas!S57</f>
        <v>4622544.2875342155</v>
      </c>
      <c r="C23" s="328">
        <f>SUM(Tabelas!G65:G66)</f>
        <v>908152.87954045576</v>
      </c>
      <c r="E23" s="145" t="s">
        <v>748</v>
      </c>
      <c r="F23" s="146" t="s">
        <v>749</v>
      </c>
      <c r="G23" s="146" t="s">
        <v>750</v>
      </c>
      <c r="H23" s="146" t="s">
        <v>751</v>
      </c>
      <c r="I23" s="147">
        <v>0.86</v>
      </c>
    </row>
    <row r="24" spans="1:21" ht="15" thickBot="1">
      <c r="A24" s="326" t="s">
        <v>16</v>
      </c>
      <c r="B24" s="328">
        <f>+Tabelas!W57</f>
        <v>1232427.5820292782</v>
      </c>
      <c r="C24" s="328">
        <f>SUM(Tabelas!E65:E66)</f>
        <v>369255.93134780414</v>
      </c>
      <c r="E24" s="145" t="s">
        <v>752</v>
      </c>
      <c r="F24" s="146" t="s">
        <v>753</v>
      </c>
      <c r="G24" s="146" t="s">
        <v>754</v>
      </c>
      <c r="H24" s="146" t="s">
        <v>755</v>
      </c>
      <c r="I24" s="147">
        <v>1.03</v>
      </c>
    </row>
    <row r="25" spans="1:21" ht="15" thickBot="1">
      <c r="A25" s="326" t="s">
        <v>5</v>
      </c>
      <c r="B25" s="328">
        <f>+Tabelas!I57</f>
        <v>1935843.4269469329</v>
      </c>
      <c r="C25" s="328">
        <f>SUM(Tabelas!C65:C66)</f>
        <v>519176.43004824256</v>
      </c>
      <c r="E25" s="145" t="s">
        <v>756</v>
      </c>
      <c r="F25" s="146" t="s">
        <v>757</v>
      </c>
      <c r="G25" s="146" t="s">
        <v>758</v>
      </c>
      <c r="H25" s="146" t="s">
        <v>759</v>
      </c>
      <c r="I25" s="147">
        <v>1.01</v>
      </c>
    </row>
    <row r="26" spans="1:21" ht="15" thickBot="1">
      <c r="A26" s="326" t="s">
        <v>289</v>
      </c>
      <c r="B26" s="328">
        <f>+Tabelas!Q57</f>
        <v>303385.71570699464</v>
      </c>
      <c r="C26" s="328"/>
      <c r="E26" s="145" t="s">
        <v>760</v>
      </c>
      <c r="F26" s="146" t="s">
        <v>761</v>
      </c>
      <c r="G26" s="146" t="s">
        <v>762</v>
      </c>
      <c r="H26" s="146" t="s">
        <v>763</v>
      </c>
      <c r="I26" s="147">
        <v>0.57999999999999996</v>
      </c>
    </row>
    <row r="27" spans="1:21" ht="15" thickBot="1">
      <c r="A27" s="327"/>
      <c r="B27" s="329">
        <f>SUM(B13:B26)</f>
        <v>41500418.206269689</v>
      </c>
      <c r="C27" s="329">
        <f>SUM(C13:C26)</f>
        <v>25786789.475585394</v>
      </c>
      <c r="E27" s="148" t="s">
        <v>281</v>
      </c>
      <c r="F27" s="149"/>
      <c r="G27" s="149"/>
      <c r="H27" s="149"/>
      <c r="I27" s="150"/>
    </row>
    <row r="29" spans="1:21" ht="15" thickBot="1">
      <c r="G29" s="332"/>
    </row>
    <row r="30" spans="1:21" ht="15" thickBot="1">
      <c r="A30" s="386" t="s">
        <v>764</v>
      </c>
    </row>
    <row r="31" spans="1:21">
      <c r="A31" s="332">
        <v>45688</v>
      </c>
      <c r="B31" s="332">
        <v>45716</v>
      </c>
      <c r="C31" s="332">
        <v>45747</v>
      </c>
      <c r="D31" s="332">
        <v>45777</v>
      </c>
      <c r="E31" s="332">
        <v>45808</v>
      </c>
      <c r="F31" s="332">
        <v>45810</v>
      </c>
      <c r="G31" s="332">
        <v>45811</v>
      </c>
      <c r="H31" s="332">
        <v>45812</v>
      </c>
      <c r="I31" s="332">
        <v>45813</v>
      </c>
      <c r="J31" s="332">
        <v>45814</v>
      </c>
      <c r="K31" s="332">
        <v>45818</v>
      </c>
      <c r="L31" s="332">
        <v>45819</v>
      </c>
      <c r="M31" s="332">
        <v>45821</v>
      </c>
      <c r="N31" s="332">
        <v>45824</v>
      </c>
      <c r="O31" s="332">
        <v>45825</v>
      </c>
      <c r="P31" s="332">
        <v>45827</v>
      </c>
      <c r="Q31" s="332">
        <v>45828</v>
      </c>
      <c r="R31" s="332">
        <v>45831</v>
      </c>
      <c r="S31" s="332">
        <v>45832</v>
      </c>
      <c r="T31" s="332"/>
      <c r="U31" s="332"/>
    </row>
    <row r="32" spans="1:21">
      <c r="A32" s="333">
        <f>'Lista contas'!AC99</f>
        <v>102832675.20896223</v>
      </c>
      <c r="B32" s="333">
        <f>'Lista contas'!AO99</f>
        <v>113826533.15718423</v>
      </c>
      <c r="C32" s="333">
        <f>'Lista contas'!BD99</f>
        <v>97448965.372183487</v>
      </c>
      <c r="D32" s="333">
        <f>'Lista contas'!DW99</f>
        <v>53156319.459812194</v>
      </c>
      <c r="E32" s="333">
        <f>'Lista contas'!GU99</f>
        <v>42151988.065155834</v>
      </c>
      <c r="F32" s="333">
        <f>'Lista contas'!GY99</f>
        <v>42904070.891177468</v>
      </c>
      <c r="G32" s="333">
        <f>'Lista contas'!HC99</f>
        <v>41872603.832566753</v>
      </c>
      <c r="H32" s="333">
        <f>'Lista contas'!HG99</f>
        <v>42498236.292420179</v>
      </c>
      <c r="I32" s="333">
        <f>'Lista contas'!HK99</f>
        <v>42954322.397685915</v>
      </c>
      <c r="J32" s="333">
        <f>'Lista contas'!HO99</f>
        <v>44549157.631805375</v>
      </c>
      <c r="K32" s="333">
        <f>'Lista contas'!HS99</f>
        <v>42992227.759730607</v>
      </c>
      <c r="L32" s="333">
        <f>'Lista contas'!HW99</f>
        <v>42892374.696927361</v>
      </c>
      <c r="M32" s="333">
        <f>'Lista contas'!IA99</f>
        <v>44338705.034182511</v>
      </c>
      <c r="N32" s="12">
        <f>'Lista contas'!IE99</f>
        <v>44154101.16334641</v>
      </c>
      <c r="O32" s="12">
        <f>'Lista contas'!II99</f>
        <v>44651003.460220613</v>
      </c>
      <c r="P32" s="12">
        <f>'Lista contas'!IM99</f>
        <v>43822681.132734835</v>
      </c>
      <c r="Q32" s="12">
        <f>'Lista contas'!IQ99</f>
        <v>44433984.663293585</v>
      </c>
      <c r="R32" s="12">
        <f>'Lista contas'!IU99</f>
        <v>42339195.618475355</v>
      </c>
      <c r="S32" s="12">
        <f>'Lista contas'!IY99</f>
        <v>41511267.206269689</v>
      </c>
      <c r="T32" s="12"/>
      <c r="U32" s="12"/>
    </row>
    <row r="33" spans="1:5" ht="15" thickBot="1">
      <c r="A33" s="332"/>
      <c r="B33" s="334"/>
      <c r="C33" s="332"/>
      <c r="D33" s="332"/>
      <c r="E33" s="332"/>
    </row>
    <row r="34" spans="1:5" ht="15.75" thickBot="1">
      <c r="A34" s="769" t="s">
        <v>765</v>
      </c>
      <c r="B34" s="770"/>
      <c r="C34" s="770"/>
      <c r="D34" s="771"/>
      <c r="E34" s="332"/>
    </row>
    <row r="35" spans="1:5" ht="15" thickBot="1">
      <c r="A35" s="767" t="s">
        <v>766</v>
      </c>
      <c r="B35" s="768"/>
      <c r="C35" s="130"/>
      <c r="D35" s="103" t="s">
        <v>767</v>
      </c>
      <c r="E35" s="332"/>
    </row>
    <row r="36" spans="1:5">
      <c r="A36" s="22" t="s">
        <v>7</v>
      </c>
      <c r="B36" s="279">
        <f>SUMIF('Fx Deals'!C:C,'Information to feed dash'!A36,'Fx Deals'!B:B)</f>
        <v>3224000</v>
      </c>
      <c r="C36" s="280">
        <f>SUMIF('Fx Deals'!C:C,'Information to feed dash'!A36,'Fx Deals'!E:E)</f>
        <v>1879160.9</v>
      </c>
      <c r="D36" s="101"/>
      <c r="E36" s="332"/>
    </row>
    <row r="37" spans="1:5">
      <c r="A37" s="22" t="s">
        <v>14</v>
      </c>
      <c r="B37" s="279">
        <f>SUMIF('Fx Deals'!C:C,'Information to feed dash'!A37,'Fx Deals'!B:B)</f>
        <v>2850000</v>
      </c>
      <c r="C37" s="279">
        <f>SUMIF('Fx Deals'!C:C,'Information to feed dash'!A37,'Fx Deals'!E:E)</f>
        <v>1883548.5699999998</v>
      </c>
      <c r="D37" s="101"/>
      <c r="E37" s="332"/>
    </row>
    <row r="38" spans="1:5">
      <c r="A38" s="22" t="s">
        <v>9</v>
      </c>
      <c r="B38" s="279">
        <f>SUMIF('Fx Deals'!C:C,'Information to feed dash'!A38,'Fx Deals'!B:B)</f>
        <v>300000</v>
      </c>
      <c r="C38" s="279">
        <f>SUMIF('Fx Deals'!C:C,'Information to feed dash'!A38,'Fx Deals'!E:E)</f>
        <v>317854.32</v>
      </c>
      <c r="D38" s="101"/>
      <c r="E38" s="332"/>
    </row>
    <row r="39" spans="1:5">
      <c r="A39" s="22" t="s">
        <v>3</v>
      </c>
      <c r="B39" s="279">
        <f>SUMIF('Fx Deals'!C:C,'Information to feed dash'!A39,'Fx Deals'!B:B)</f>
        <v>3000000</v>
      </c>
      <c r="C39" s="279">
        <f>SUMIF('Fx Deals'!C:C,'Information to feed dash'!A39,'Fx Deals'!E:E)</f>
        <v>401977.5</v>
      </c>
      <c r="D39" s="101"/>
      <c r="E39" s="332"/>
    </row>
    <row r="40" spans="1:5">
      <c r="A40" s="22" t="s">
        <v>4</v>
      </c>
      <c r="B40" s="279">
        <f>SUMIF('Fx Deals'!C:C,'Information to feed dash'!A40,'Fx Deals'!B:B)</f>
        <v>11401000</v>
      </c>
      <c r="C40" s="279">
        <f>SUMIF('Fx Deals'!C:C,'Information to feed dash'!A40,'Fx Deals'!E:E)</f>
        <v>13674106.879999999</v>
      </c>
      <c r="D40" s="101"/>
      <c r="E40" s="332"/>
    </row>
    <row r="41" spans="1:5">
      <c r="A41" s="22" t="s">
        <v>19</v>
      </c>
      <c r="B41" s="279">
        <f>SUMIF('Fx Deals'!C:C,'Information to feed dash'!A41,'Fx Deals'!B:B)</f>
        <v>114000000</v>
      </c>
      <c r="C41" s="279">
        <f>SUMIF('Fx Deals'!C:C,'Information to feed dash'!A41,'Fx Deals'!E:E)</f>
        <v>14522506.649999999</v>
      </c>
      <c r="D41" s="101"/>
    </row>
    <row r="42" spans="1:5">
      <c r="A42" s="22" t="s">
        <v>6</v>
      </c>
      <c r="B42" s="279">
        <f>SUMIF('Fx Deals'!C:C,'Information to feed dash'!A42,'Fx Deals'!B:B)-10000000</f>
        <v>98000000</v>
      </c>
      <c r="C42" s="279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79">
        <f>SUMIF('Fx Deals'!C:C,'Information to feed dash'!A43,'Fx Deals'!B:B)</f>
        <v>4099760</v>
      </c>
      <c r="C43" s="279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79">
        <f>SUMIF('Fx Deals'!C:C,'Information to feed dash'!A44,'Fx Deals'!B:B)</f>
        <v>5644513.6600000001</v>
      </c>
      <c r="C44" s="279">
        <f>SUMIF('Fx Deals'!C:C,'Information to feed dash'!A44,'Fx Deals'!E:E)</f>
        <v>5392815.4299999997</v>
      </c>
      <c r="D44" s="101"/>
    </row>
    <row r="45" spans="1:5" ht="15" thickBot="1">
      <c r="A45" s="377" t="s">
        <v>298</v>
      </c>
      <c r="B45" s="378"/>
      <c r="C45" s="378"/>
      <c r="D45" s="379">
        <f>SUMIF('Fx Deals'!M:M,'Information to feed dash'!A45,'Fx Deals'!L:L)</f>
        <v>17146500000</v>
      </c>
      <c r="E45" s="279">
        <f>SUMIF('Fx Deals'!M:M,'Information to feed dash'!A45,'Fx Deals'!O:O)</f>
        <v>1000000</v>
      </c>
    </row>
    <row r="46" spans="1:5" ht="15" thickBot="1">
      <c r="A46" s="765" t="s">
        <v>465</v>
      </c>
      <c r="B46" s="766"/>
      <c r="C46" s="279">
        <f>SUM(C36:C44)</f>
        <v>49994723.149999999</v>
      </c>
      <c r="D46" s="376">
        <f>SUM(D37:D44)</f>
        <v>735504</v>
      </c>
    </row>
    <row r="49" spans="1:9" ht="15" thickBot="1"/>
    <row r="50" spans="1:9" ht="15" thickBot="1">
      <c r="A50" s="756" t="s">
        <v>768</v>
      </c>
      <c r="B50" s="757"/>
      <c r="C50" s="757"/>
      <c r="D50" s="758"/>
      <c r="F50" s="756" t="s">
        <v>769</v>
      </c>
      <c r="G50" s="757"/>
      <c r="H50" s="757"/>
      <c r="I50" s="758"/>
    </row>
    <row r="51" spans="1:9" ht="15" thickBot="1">
      <c r="A51" s="320" t="s">
        <v>477</v>
      </c>
      <c r="B51" s="321" t="s">
        <v>731</v>
      </c>
      <c r="C51" s="321" t="s">
        <v>770</v>
      </c>
      <c r="D51" s="322" t="s">
        <v>771</v>
      </c>
      <c r="F51" s="364" t="s">
        <v>477</v>
      </c>
      <c r="G51" s="365" t="s">
        <v>731</v>
      </c>
      <c r="H51" s="365" t="s">
        <v>772</v>
      </c>
      <c r="I51" s="366" t="s">
        <v>2</v>
      </c>
    </row>
    <row r="52" spans="1:9">
      <c r="A52" s="367">
        <v>29</v>
      </c>
      <c r="B52" s="370" t="s">
        <v>773</v>
      </c>
      <c r="C52" s="370" t="s">
        <v>774</v>
      </c>
      <c r="D52" s="371">
        <v>573947</v>
      </c>
      <c r="F52" s="368" t="s">
        <v>599</v>
      </c>
      <c r="G52" s="372" t="s">
        <v>579</v>
      </c>
      <c r="H52" s="372" t="s">
        <v>775</v>
      </c>
      <c r="I52" s="373">
        <v>1102552</v>
      </c>
    </row>
    <row r="53" spans="1:9">
      <c r="A53" s="368" t="s">
        <v>599</v>
      </c>
      <c r="B53" s="372" t="s">
        <v>579</v>
      </c>
      <c r="C53" s="372" t="s">
        <v>774</v>
      </c>
      <c r="D53" s="373">
        <v>263563</v>
      </c>
      <c r="F53" s="368" t="s">
        <v>548</v>
      </c>
      <c r="G53" s="372" t="s">
        <v>38</v>
      </c>
      <c r="H53" s="372" t="s">
        <v>775</v>
      </c>
      <c r="I53" s="373">
        <v>337686</v>
      </c>
    </row>
    <row r="54" spans="1:9">
      <c r="A54" s="368">
        <v>30</v>
      </c>
      <c r="B54" s="372" t="s">
        <v>579</v>
      </c>
      <c r="C54" s="372" t="s">
        <v>774</v>
      </c>
      <c r="D54" s="373">
        <v>210799</v>
      </c>
      <c r="F54" s="368" t="s">
        <v>548</v>
      </c>
      <c r="G54" s="372" t="s">
        <v>38</v>
      </c>
      <c r="H54" s="372" t="s">
        <v>775</v>
      </c>
      <c r="I54" s="373">
        <v>226658</v>
      </c>
    </row>
    <row r="55" spans="1:9">
      <c r="A55" s="368">
        <v>51</v>
      </c>
      <c r="B55" s="372" t="s">
        <v>776</v>
      </c>
      <c r="C55" s="372" t="s">
        <v>774</v>
      </c>
      <c r="D55" s="373">
        <v>194795</v>
      </c>
      <c r="F55" s="368">
        <v>51</v>
      </c>
      <c r="G55" s="372" t="s">
        <v>777</v>
      </c>
      <c r="H55" s="372" t="s">
        <v>775</v>
      </c>
      <c r="I55" s="373">
        <v>300000</v>
      </c>
    </row>
    <row r="56" spans="1:9">
      <c r="A56" s="368">
        <v>61</v>
      </c>
      <c r="B56" s="372" t="s">
        <v>778</v>
      </c>
      <c r="C56" s="372" t="s">
        <v>774</v>
      </c>
      <c r="D56" s="373">
        <v>80041</v>
      </c>
      <c r="F56" s="368">
        <v>61</v>
      </c>
      <c r="G56" s="372" t="s">
        <v>779</v>
      </c>
      <c r="H56" s="372" t="s">
        <v>775</v>
      </c>
      <c r="I56" s="373">
        <v>500000</v>
      </c>
    </row>
    <row r="57" spans="1:9">
      <c r="A57" s="368" t="s">
        <v>548</v>
      </c>
      <c r="B57" s="372" t="s">
        <v>778</v>
      </c>
      <c r="C57" s="372" t="s">
        <v>774</v>
      </c>
      <c r="D57" s="373">
        <v>100000</v>
      </c>
      <c r="F57" s="368">
        <v>30</v>
      </c>
      <c r="G57" s="372" t="s">
        <v>752</v>
      </c>
      <c r="H57" s="372" t="s">
        <v>780</v>
      </c>
      <c r="I57" s="373">
        <v>50000</v>
      </c>
    </row>
    <row r="58" spans="1:9">
      <c r="A58" s="368"/>
      <c r="D58" s="323"/>
      <c r="F58" s="342"/>
      <c r="I58" s="323"/>
    </row>
    <row r="59" spans="1:9">
      <c r="A59" s="368"/>
      <c r="D59" s="323"/>
      <c r="F59" s="342"/>
      <c r="I59" s="323"/>
    </row>
    <row r="60" spans="1:9">
      <c r="A60" s="368"/>
      <c r="D60" s="323"/>
      <c r="F60" s="342"/>
      <c r="I60" s="323"/>
    </row>
    <row r="61" spans="1:9" ht="15" thickBot="1">
      <c r="A61" s="369"/>
      <c r="B61" s="345"/>
      <c r="C61" s="345"/>
      <c r="D61" s="363"/>
      <c r="F61" s="344"/>
      <c r="G61" s="345"/>
      <c r="H61" s="345"/>
      <c r="I61" s="363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K104"/>
  <sheetViews>
    <sheetView showGridLines="0" zoomScale="70" zoomScaleNormal="70" workbookViewId="0">
      <pane xSplit="2" ySplit="12" topLeftCell="AC24" activePane="bottomRight" state="frozenSplit"/>
      <selection pane="bottomRight" activeCell="AC24" sqref="AC24"/>
      <selection pane="bottomLeft" activeCell="A26" sqref="A26"/>
      <selection pane="topRight" activeCell="J1" sqref="J1"/>
    </sheetView>
  </sheetViews>
  <sheetFormatPr defaultColWidth="10.85546875" defaultRowHeight="14.25" outlineLevelRow="1"/>
  <cols>
    <col min="1" max="1" width="7" style="211" customWidth="1"/>
    <col min="2" max="2" width="54.7109375" style="211" customWidth="1"/>
    <col min="3" max="4" width="14.28515625" style="211" bestFit="1" customWidth="1"/>
    <col min="5" max="5" width="14.5703125" style="211" bestFit="1" customWidth="1"/>
    <col min="6" max="6" width="13.85546875" style="211" bestFit="1" customWidth="1"/>
    <col min="7" max="14" width="14.28515625" style="211" bestFit="1" customWidth="1"/>
    <col min="15" max="17" width="1.85546875" style="211" customWidth="1"/>
    <col min="18" max="18" width="20.85546875" style="211" customWidth="1"/>
    <col min="19" max="30" width="16.7109375" style="211" customWidth="1"/>
    <col min="31" max="31" width="25" style="211" customWidth="1"/>
    <col min="32" max="32" width="13.42578125" style="211" customWidth="1"/>
    <col min="33" max="33" width="13.140625" style="211" bestFit="1" customWidth="1"/>
    <col min="34" max="16384" width="10.85546875" style="211"/>
  </cols>
  <sheetData>
    <row r="1" spans="1:35" ht="15" customHeight="1">
      <c r="A1" s="210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</row>
    <row r="2" spans="1:35" ht="47.25" customHeight="1">
      <c r="A2" s="210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</row>
    <row r="3" spans="1:35" ht="14.25" customHeight="1">
      <c r="A3" s="210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</row>
    <row r="4" spans="1:35" ht="24.75" customHeight="1">
      <c r="A4" s="212"/>
      <c r="B4" s="213" t="s">
        <v>781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</row>
    <row r="5" spans="1:35" ht="6" customHeight="1">
      <c r="A5" s="210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</row>
    <row r="6" spans="1:35" ht="18">
      <c r="B6" s="214" t="s">
        <v>782</v>
      </c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</row>
    <row r="7" spans="1:35" ht="6" customHeight="1" thickBot="1">
      <c r="A7" s="210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</row>
    <row r="9" spans="1:35">
      <c r="B9" s="216"/>
      <c r="R9" s="217"/>
      <c r="AD9" s="217"/>
      <c r="AH9" s="217"/>
      <c r="AI9" s="217"/>
    </row>
    <row r="10" spans="1:35">
      <c r="B10" s="218"/>
      <c r="R10" s="219">
        <v>2025</v>
      </c>
      <c r="S10" s="219">
        <v>2025</v>
      </c>
      <c r="T10" s="219">
        <v>2025</v>
      </c>
      <c r="U10" s="219">
        <v>2025</v>
      </c>
      <c r="V10" s="219">
        <v>2025</v>
      </c>
      <c r="W10" s="219">
        <v>2025</v>
      </c>
      <c r="X10" s="219">
        <v>2025</v>
      </c>
      <c r="Y10" s="219">
        <v>2025</v>
      </c>
      <c r="Z10" s="219">
        <v>2025</v>
      </c>
      <c r="AA10" s="219">
        <v>2025</v>
      </c>
      <c r="AB10" s="219">
        <v>2025</v>
      </c>
      <c r="AC10" s="219">
        <v>2025</v>
      </c>
      <c r="AD10" s="220">
        <v>2025</v>
      </c>
      <c r="AF10" s="221"/>
    </row>
    <row r="11" spans="1:35" ht="15" customHeight="1">
      <c r="B11" s="218"/>
      <c r="C11" s="292">
        <v>45292</v>
      </c>
      <c r="D11" s="293" t="s">
        <v>783</v>
      </c>
      <c r="E11" s="292">
        <v>45352</v>
      </c>
      <c r="F11" s="293" t="s">
        <v>784</v>
      </c>
      <c r="G11" s="293" t="s">
        <v>785</v>
      </c>
      <c r="H11" s="292">
        <v>45444</v>
      </c>
      <c r="I11" s="292">
        <v>45474</v>
      </c>
      <c r="J11" s="293" t="s">
        <v>786</v>
      </c>
      <c r="K11" s="293" t="s">
        <v>787</v>
      </c>
      <c r="L11" s="293" t="s">
        <v>788</v>
      </c>
      <c r="M11" s="292">
        <v>45597</v>
      </c>
      <c r="N11" s="293" t="s">
        <v>789</v>
      </c>
      <c r="R11" s="222">
        <v>45658</v>
      </c>
      <c r="S11" s="222">
        <v>45689</v>
      </c>
      <c r="T11" s="222">
        <v>45717</v>
      </c>
      <c r="U11" s="222">
        <v>45748</v>
      </c>
      <c r="V11" s="222">
        <v>45778</v>
      </c>
      <c r="W11" s="222">
        <v>45809</v>
      </c>
      <c r="X11" s="222">
        <v>45839</v>
      </c>
      <c r="Y11" s="222">
        <v>45870</v>
      </c>
      <c r="Z11" s="222">
        <v>45901</v>
      </c>
      <c r="AA11" s="222">
        <v>45931</v>
      </c>
      <c r="AB11" s="222">
        <v>45962</v>
      </c>
      <c r="AC11" s="222">
        <v>45992</v>
      </c>
      <c r="AD11" s="223" t="s">
        <v>790</v>
      </c>
      <c r="AF11" s="222"/>
    </row>
    <row r="12" spans="1:35" ht="15" customHeight="1">
      <c r="B12" s="224" t="s">
        <v>791</v>
      </c>
      <c r="C12" s="295" t="s">
        <v>264</v>
      </c>
      <c r="D12" s="295" t="s">
        <v>264</v>
      </c>
      <c r="E12" s="295" t="s">
        <v>264</v>
      </c>
      <c r="F12" s="295" t="s">
        <v>264</v>
      </c>
      <c r="G12" s="295" t="s">
        <v>264</v>
      </c>
      <c r="H12" s="295" t="s">
        <v>264</v>
      </c>
      <c r="I12" s="295" t="s">
        <v>264</v>
      </c>
      <c r="J12" s="295" t="s">
        <v>264</v>
      </c>
      <c r="K12" s="295" t="s">
        <v>264</v>
      </c>
      <c r="L12" s="295" t="s">
        <v>264</v>
      </c>
      <c r="M12" s="295" t="s">
        <v>264</v>
      </c>
      <c r="N12" s="295" t="s">
        <v>264</v>
      </c>
      <c r="R12" s="225" t="s">
        <v>264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F12" s="226" t="s">
        <v>792</v>
      </c>
    </row>
    <row r="13" spans="1:35" ht="5.25" customHeight="1" thickBot="1"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</row>
    <row r="14" spans="1:35" ht="5.25" customHeight="1">
      <c r="B14" s="227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R14" s="228"/>
      <c r="S14" s="228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F14" s="228"/>
    </row>
    <row r="15" spans="1:35" s="229" customFormat="1" ht="15" customHeight="1" outlineLevel="1">
      <c r="B15" s="230" t="s">
        <v>793</v>
      </c>
      <c r="C15" s="302">
        <v>53296.1</v>
      </c>
      <c r="D15" s="302">
        <v>37946.6</v>
      </c>
      <c r="E15" s="302">
        <v>32152.799999999999</v>
      </c>
      <c r="F15" s="302">
        <v>32863.4</v>
      </c>
      <c r="G15" s="302">
        <v>37873.1</v>
      </c>
      <c r="H15" s="302">
        <v>32951.599999999999</v>
      </c>
      <c r="I15" s="302">
        <v>42006.3</v>
      </c>
      <c r="J15" s="302">
        <v>33362.1</v>
      </c>
      <c r="K15" s="302">
        <v>30660.3</v>
      </c>
      <c r="L15" s="302">
        <v>36496.199999999997</v>
      </c>
      <c r="M15" s="302">
        <v>36262.400000000001</v>
      </c>
      <c r="N15" s="302">
        <v>103466.4</v>
      </c>
      <c r="R15" s="307">
        <f>[16]Control_Collections!C16/1000</f>
        <v>57287.716</v>
      </c>
      <c r="S15" s="307">
        <v>57748.3</v>
      </c>
      <c r="T15" s="307">
        <v>39729.4</v>
      </c>
      <c r="U15" s="307">
        <v>37000</v>
      </c>
      <c r="V15" s="307">
        <v>39000</v>
      </c>
      <c r="W15" s="307">
        <v>40000</v>
      </c>
      <c r="X15" s="307">
        <v>52000</v>
      </c>
      <c r="Y15" s="307">
        <v>40000</v>
      </c>
      <c r="Z15" s="307">
        <v>39000</v>
      </c>
      <c r="AA15" s="307">
        <v>40000</v>
      </c>
      <c r="AB15" s="307">
        <v>41000</v>
      </c>
      <c r="AC15" s="307">
        <v>100000</v>
      </c>
      <c r="AD15" s="307">
        <f>SUM(R15:AC15)</f>
        <v>582765.41599999997</v>
      </c>
      <c r="AF15" s="231"/>
    </row>
    <row r="16" spans="1:35" s="229" customFormat="1" ht="15" customHeight="1" outlineLevel="1">
      <c r="B16" s="232" t="s">
        <v>794</v>
      </c>
      <c r="C16" s="302">
        <v>4136.7</v>
      </c>
      <c r="D16" s="302">
        <v>3622</v>
      </c>
      <c r="E16" s="302">
        <v>2245.1999999999998</v>
      </c>
      <c r="F16" s="302">
        <v>3038.4</v>
      </c>
      <c r="G16" s="302">
        <v>2371.1999999999998</v>
      </c>
      <c r="H16" s="302">
        <v>2397.4</v>
      </c>
      <c r="I16" s="302">
        <v>3422.5</v>
      </c>
      <c r="J16" s="302">
        <v>2352.1</v>
      </c>
      <c r="K16" s="302">
        <v>2179.1999999999998</v>
      </c>
      <c r="L16" s="302">
        <v>3584.3</v>
      </c>
      <c r="M16" s="302">
        <v>2994.7</v>
      </c>
      <c r="N16" s="302">
        <v>4051.7</v>
      </c>
      <c r="R16" s="308">
        <f>[16]Control_Collections!C17/1000</f>
        <v>4746.6335248009245</v>
      </c>
      <c r="S16" s="307">
        <v>0</v>
      </c>
      <c r="T16" s="307">
        <v>0</v>
      </c>
      <c r="U16" s="307">
        <v>2500</v>
      </c>
      <c r="V16" s="307">
        <v>2500</v>
      </c>
      <c r="W16" s="307">
        <v>2500</v>
      </c>
      <c r="X16" s="308">
        <f>[16]Control_Collections!I17/1000</f>
        <v>0</v>
      </c>
      <c r="Y16" s="308">
        <f>[16]Control_Collections!J17/1000</f>
        <v>0</v>
      </c>
      <c r="Z16" s="308">
        <f>[16]Control_Collections!K17/1000</f>
        <v>0</v>
      </c>
      <c r="AA16" s="308">
        <f>[16]Control_Collections!L17/1000</f>
        <v>0</v>
      </c>
      <c r="AB16" s="308">
        <f>[16]Control_Collections!M17/1000</f>
        <v>0</v>
      </c>
      <c r="AC16" s="308">
        <f>[16]Control_Collections!N17/1000</f>
        <v>0</v>
      </c>
      <c r="AD16" s="308">
        <f>SUM(R16:AC16)</f>
        <v>12246.633524800924</v>
      </c>
      <c r="AF16" s="233"/>
    </row>
    <row r="17" spans="1:37" s="229" customFormat="1" ht="15" customHeight="1">
      <c r="B17" s="234" t="s">
        <v>795</v>
      </c>
      <c r="C17" s="298">
        <v>57432.800000000003</v>
      </c>
      <c r="D17" s="298">
        <v>41568.6</v>
      </c>
      <c r="E17" s="298">
        <v>34398</v>
      </c>
      <c r="F17" s="298">
        <v>35901.800000000003</v>
      </c>
      <c r="G17" s="298">
        <v>40244.400000000001</v>
      </c>
      <c r="H17" s="298">
        <v>35349</v>
      </c>
      <c r="I17" s="298">
        <v>45428.7</v>
      </c>
      <c r="J17" s="298">
        <v>35714.199999999997</v>
      </c>
      <c r="K17" s="298">
        <v>32839.5</v>
      </c>
      <c r="L17" s="298">
        <v>40080.5</v>
      </c>
      <c r="M17" s="298">
        <v>39257.1</v>
      </c>
      <c r="N17" s="298">
        <v>107518.1</v>
      </c>
      <c r="R17" s="309">
        <f>[17]Summary!D241</f>
        <v>62034.349524800928</v>
      </c>
      <c r="S17" s="309">
        <f>SUM(S15:S16)</f>
        <v>57748.3</v>
      </c>
      <c r="T17" s="309">
        <f t="shared" ref="T17:AC17" si="0">SUM(T15:T16)</f>
        <v>39729.4</v>
      </c>
      <c r="U17" s="309">
        <f t="shared" si="0"/>
        <v>39500</v>
      </c>
      <c r="V17" s="309">
        <f t="shared" si="0"/>
        <v>41500</v>
      </c>
      <c r="W17" s="309">
        <f t="shared" si="0"/>
        <v>42500</v>
      </c>
      <c r="X17" s="309">
        <f t="shared" si="0"/>
        <v>52000</v>
      </c>
      <c r="Y17" s="309">
        <f t="shared" si="0"/>
        <v>40000</v>
      </c>
      <c r="Z17" s="309">
        <f t="shared" si="0"/>
        <v>39000</v>
      </c>
      <c r="AA17" s="309">
        <f t="shared" si="0"/>
        <v>40000</v>
      </c>
      <c r="AB17" s="309">
        <f t="shared" si="0"/>
        <v>41000</v>
      </c>
      <c r="AC17" s="309">
        <f t="shared" si="0"/>
        <v>100000</v>
      </c>
      <c r="AD17" s="309">
        <f>SUM(R17:AC17)</f>
        <v>595012.04952480097</v>
      </c>
      <c r="AF17" s="235"/>
    </row>
    <row r="18" spans="1:37">
      <c r="B18" s="236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spans="1:37" s="229" customFormat="1" ht="15" customHeight="1" outlineLevel="1">
      <c r="B19" s="232" t="s">
        <v>796</v>
      </c>
      <c r="C19" s="302">
        <v>-11321.6</v>
      </c>
      <c r="D19" s="302">
        <v>-11214.5</v>
      </c>
      <c r="E19" s="302">
        <v>-11048.5</v>
      </c>
      <c r="F19" s="302">
        <v>-7982.3</v>
      </c>
      <c r="G19" s="302">
        <v>-10013.4</v>
      </c>
      <c r="H19" s="302">
        <v>-7402.4</v>
      </c>
      <c r="I19" s="302">
        <v>-8921.2000000000007</v>
      </c>
      <c r="J19" s="302">
        <v>-6296.4</v>
      </c>
      <c r="K19" s="302">
        <v>-7103.2</v>
      </c>
      <c r="L19" s="302">
        <v>-7966.2</v>
      </c>
      <c r="M19" s="302">
        <v>-7403.2</v>
      </c>
      <c r="N19" s="302">
        <v>-10348.200000000001</v>
      </c>
      <c r="R19" s="308">
        <f>[17]Summary!D242</f>
        <v>-9198.9616589723664</v>
      </c>
      <c r="S19" s="308">
        <v>-7058.7</v>
      </c>
      <c r="T19" s="308">
        <v>-11152.7</v>
      </c>
      <c r="U19" s="308">
        <v>-8600.9616589723701</v>
      </c>
      <c r="V19" s="308">
        <v>-9500.9616589723701</v>
      </c>
      <c r="W19" s="308">
        <v>-10000.961658972299</v>
      </c>
      <c r="X19" s="308">
        <f>[17]Summary!J242</f>
        <v>0</v>
      </c>
      <c r="Y19" s="308">
        <f>[17]Summary!K242</f>
        <v>0</v>
      </c>
      <c r="Z19" s="308">
        <f>[17]Summary!L242</f>
        <v>0</v>
      </c>
      <c r="AA19" s="308">
        <f>[17]Summary!M242</f>
        <v>0</v>
      </c>
      <c r="AB19" s="308">
        <f>[17]Summary!N242</f>
        <v>0</v>
      </c>
      <c r="AC19" s="308">
        <f>[17]Summary!O242</f>
        <v>0</v>
      </c>
      <c r="AD19" s="308">
        <f t="shared" ref="AD19:AD20" si="1">SUM(R19:AC19)</f>
        <v>-55513.246635889416</v>
      </c>
      <c r="AF19" s="233"/>
    </row>
    <row r="20" spans="1:37" s="229" customFormat="1" ht="15" customHeight="1" outlineLevel="1">
      <c r="B20" s="232" t="s">
        <v>797</v>
      </c>
      <c r="C20" s="291">
        <v>-23.4</v>
      </c>
      <c r="D20" s="291">
        <v>-15.3</v>
      </c>
      <c r="E20" s="291">
        <v>-15.7</v>
      </c>
      <c r="F20" s="291">
        <v>-14.2</v>
      </c>
      <c r="G20" s="291">
        <v>-12.8</v>
      </c>
      <c r="H20" s="291">
        <v>-10.8</v>
      </c>
      <c r="I20" s="291">
        <v>-13.8</v>
      </c>
      <c r="J20" s="291">
        <v>-21</v>
      </c>
      <c r="K20" s="291">
        <v>-13.7</v>
      </c>
      <c r="L20" s="291">
        <v>-15.2</v>
      </c>
      <c r="M20" s="291">
        <v>-19.7</v>
      </c>
      <c r="N20" s="291">
        <v>-16</v>
      </c>
      <c r="R20" s="308">
        <f>[17]Summary!D251</f>
        <v>-22.007000000000001</v>
      </c>
      <c r="S20" s="308">
        <v>0</v>
      </c>
      <c r="T20" s="308">
        <v>0</v>
      </c>
      <c r="U20" s="308">
        <v>-22.007000000000001</v>
      </c>
      <c r="V20" s="308">
        <v>-22.007000000000001</v>
      </c>
      <c r="W20" s="308">
        <v>-22.007000000000001</v>
      </c>
      <c r="X20" s="308">
        <v>-22.007000000000001</v>
      </c>
      <c r="Y20" s="308">
        <v>-22.007000000000001</v>
      </c>
      <c r="Z20" s="308">
        <v>-22.007000000000001</v>
      </c>
      <c r="AA20" s="308">
        <v>-22.007000000000001</v>
      </c>
      <c r="AB20" s="308">
        <v>-22.007000000000001</v>
      </c>
      <c r="AC20" s="308">
        <v>-22.007000000000001</v>
      </c>
      <c r="AD20" s="308">
        <f t="shared" si="1"/>
        <v>-220.07000000000002</v>
      </c>
      <c r="AF20" s="233"/>
    </row>
    <row r="21" spans="1:37" s="229" customFormat="1" ht="15" customHeight="1">
      <c r="B21" s="234" t="s">
        <v>798</v>
      </c>
      <c r="C21" s="298">
        <v>-11344.9</v>
      </c>
      <c r="D21" s="298">
        <v>-11229.9</v>
      </c>
      <c r="E21" s="298">
        <v>-11064.1</v>
      </c>
      <c r="F21" s="298">
        <v>-7996.5</v>
      </c>
      <c r="G21" s="298">
        <v>-10026.200000000001</v>
      </c>
      <c r="H21" s="298">
        <v>-7413.3</v>
      </c>
      <c r="I21" s="298">
        <v>-8935</v>
      </c>
      <c r="J21" s="298">
        <v>-6317.4</v>
      </c>
      <c r="K21" s="298">
        <v>-7116.9</v>
      </c>
      <c r="L21" s="298">
        <v>-7981.4</v>
      </c>
      <c r="M21" s="298">
        <v>-7422.9</v>
      </c>
      <c r="N21" s="298">
        <v>-10364.200000000001</v>
      </c>
      <c r="R21" s="309">
        <f>SUM(R19:R20)</f>
        <v>-9220.968658972366</v>
      </c>
      <c r="S21" s="309">
        <f t="shared" ref="S21:AD21" si="2">SUM(S19:S20)</f>
        <v>-7058.7</v>
      </c>
      <c r="T21" s="309">
        <f t="shared" si="2"/>
        <v>-11152.7</v>
      </c>
      <c r="U21" s="309">
        <f t="shared" si="2"/>
        <v>-8622.9686589723697</v>
      </c>
      <c r="V21" s="309">
        <f t="shared" si="2"/>
        <v>-9522.9686589723697</v>
      </c>
      <c r="W21" s="309">
        <f t="shared" si="2"/>
        <v>-10022.968658972299</v>
      </c>
      <c r="X21" s="309">
        <f t="shared" si="2"/>
        <v>-22.007000000000001</v>
      </c>
      <c r="Y21" s="309">
        <f t="shared" si="2"/>
        <v>-22.007000000000001</v>
      </c>
      <c r="Z21" s="309">
        <f t="shared" si="2"/>
        <v>-22.007000000000001</v>
      </c>
      <c r="AA21" s="309">
        <f t="shared" si="2"/>
        <v>-22.007000000000001</v>
      </c>
      <c r="AB21" s="309">
        <f t="shared" si="2"/>
        <v>-22.007000000000001</v>
      </c>
      <c r="AC21" s="309">
        <f t="shared" si="2"/>
        <v>-22.007000000000001</v>
      </c>
      <c r="AD21" s="309">
        <f t="shared" si="2"/>
        <v>-55733.316635889416</v>
      </c>
      <c r="AF21" s="235"/>
    </row>
    <row r="22" spans="1:37" s="241" customFormat="1" ht="15" customHeight="1">
      <c r="A22" s="237"/>
      <c r="B22" s="238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39"/>
      <c r="P22" s="239"/>
      <c r="Q22" s="239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39"/>
      <c r="AF22" s="240"/>
      <c r="AG22" s="239"/>
      <c r="AH22" s="239"/>
      <c r="AI22" s="237"/>
      <c r="AJ22" s="239"/>
      <c r="AK22" s="237"/>
    </row>
    <row r="23" spans="1:37" ht="15" customHeight="1" outlineLevel="1">
      <c r="B23" s="232" t="s">
        <v>799</v>
      </c>
      <c r="C23" s="302">
        <v>-12505.7</v>
      </c>
      <c r="D23" s="302">
        <v>-11520</v>
      </c>
      <c r="E23" s="302">
        <v>-17531.900000000001</v>
      </c>
      <c r="F23" s="302">
        <v>-9370.7000000000007</v>
      </c>
      <c r="G23" s="302">
        <v>-11636.7</v>
      </c>
      <c r="H23" s="302">
        <v>-10290.1</v>
      </c>
      <c r="I23" s="302">
        <v>-7985</v>
      </c>
      <c r="J23" s="302">
        <v>-10039.200000000001</v>
      </c>
      <c r="K23" s="302">
        <v>-8750.5</v>
      </c>
      <c r="L23" s="302">
        <v>-9035.2000000000007</v>
      </c>
      <c r="M23" s="302">
        <v>-10681.6</v>
      </c>
      <c r="N23" s="302">
        <v>-10286.700000000001</v>
      </c>
      <c r="R23" s="308">
        <f>[17]Summary!D244</f>
        <v>-15020.84350196623</v>
      </c>
      <c r="S23" s="308">
        <v>-14000</v>
      </c>
      <c r="T23" s="308">
        <v>-27061.7</v>
      </c>
      <c r="U23" s="308">
        <v>-11500.843501966199</v>
      </c>
      <c r="V23" s="308">
        <v>-11500.843501966199</v>
      </c>
      <c r="W23" s="308">
        <f>V23</f>
        <v>-11500.843501966199</v>
      </c>
      <c r="X23" s="308">
        <f t="shared" ref="X23:AB23" si="3">W23</f>
        <v>-11500.843501966199</v>
      </c>
      <c r="Y23" s="308">
        <v>-13000</v>
      </c>
      <c r="Z23" s="308">
        <v>-11500.8</v>
      </c>
      <c r="AA23" s="308">
        <f t="shared" si="3"/>
        <v>-11500.8</v>
      </c>
      <c r="AB23" s="308">
        <f t="shared" si="3"/>
        <v>-11500.8</v>
      </c>
      <c r="AC23" s="308">
        <v>-13000</v>
      </c>
      <c r="AD23" s="308">
        <f t="shared" ref="AD23:AD28" si="4">SUM(R23:AC23)</f>
        <v>-162588.31750983102</v>
      </c>
      <c r="AF23" s="233"/>
    </row>
    <row r="24" spans="1:37" ht="15" customHeight="1" outlineLevel="1">
      <c r="B24" s="232" t="s">
        <v>800</v>
      </c>
      <c r="C24" s="302">
        <v>-3760.9</v>
      </c>
      <c r="D24" s="302">
        <v>-1803.6</v>
      </c>
      <c r="E24" s="302">
        <v>-2696.3</v>
      </c>
      <c r="F24" s="302">
        <v>-6106.5</v>
      </c>
      <c r="G24" s="302">
        <v>-4563.3999999999996</v>
      </c>
      <c r="H24" s="302">
        <v>-2062</v>
      </c>
      <c r="I24" s="302">
        <v>-2835.1</v>
      </c>
      <c r="J24" s="302">
        <v>-4899.7</v>
      </c>
      <c r="K24" s="302">
        <v>-3187.2</v>
      </c>
      <c r="L24" s="302">
        <v>-3480.8</v>
      </c>
      <c r="M24" s="302">
        <v>-3255.3</v>
      </c>
      <c r="N24" s="302">
        <v>-3573.8</v>
      </c>
      <c r="R24" s="308">
        <f>[17]Summary!D245</f>
        <v>-1119.71404552732</v>
      </c>
      <c r="S24" s="308">
        <f>S23*7.5%</f>
        <v>-1050</v>
      </c>
      <c r="T24" s="308">
        <v>0</v>
      </c>
      <c r="U24" s="308">
        <f t="shared" ref="U24:AC24" si="5">U23*7.5%</f>
        <v>-862.56326264746497</v>
      </c>
      <c r="V24" s="308">
        <f t="shared" si="5"/>
        <v>-862.56326264746497</v>
      </c>
      <c r="W24" s="308">
        <f t="shared" si="5"/>
        <v>-862.56326264746497</v>
      </c>
      <c r="X24" s="308">
        <f t="shared" si="5"/>
        <v>-862.56326264746497</v>
      </c>
      <c r="Y24" s="308">
        <f t="shared" si="5"/>
        <v>-975</v>
      </c>
      <c r="Z24" s="308">
        <f t="shared" si="5"/>
        <v>-862.56</v>
      </c>
      <c r="AA24" s="308">
        <f t="shared" si="5"/>
        <v>-862.56</v>
      </c>
      <c r="AB24" s="308">
        <f t="shared" si="5"/>
        <v>-862.56</v>
      </c>
      <c r="AC24" s="308">
        <f t="shared" si="5"/>
        <v>-975</v>
      </c>
      <c r="AD24" s="308">
        <f t="shared" si="4"/>
        <v>-10157.64709611718</v>
      </c>
      <c r="AF24" s="233"/>
    </row>
    <row r="25" spans="1:37" ht="15" customHeight="1" outlineLevel="1">
      <c r="B25" s="232" t="s">
        <v>801</v>
      </c>
      <c r="C25" s="302">
        <v>-2825.3</v>
      </c>
      <c r="D25" s="302">
        <v>-5478.9</v>
      </c>
      <c r="E25" s="302">
        <v>-4427.6000000000004</v>
      </c>
      <c r="F25" s="302">
        <v>-4822.6000000000004</v>
      </c>
      <c r="G25" s="302">
        <v>-4268</v>
      </c>
      <c r="H25" s="302">
        <v>-4400.8999999999996</v>
      </c>
      <c r="I25" s="302">
        <v>-4059.5</v>
      </c>
      <c r="J25" s="302">
        <v>-3103.6</v>
      </c>
      <c r="K25" s="302">
        <v>-4631</v>
      </c>
      <c r="L25" s="302">
        <v>-2604</v>
      </c>
      <c r="M25" s="302">
        <v>-4567</v>
      </c>
      <c r="N25" s="302">
        <v>-3317.5</v>
      </c>
      <c r="R25" s="308">
        <f>[17]Summary!D246</f>
        <v>-6127.6581516919641</v>
      </c>
      <c r="S25" s="308">
        <f>S23*41%</f>
        <v>-5740</v>
      </c>
      <c r="T25" s="308">
        <v>0</v>
      </c>
      <c r="U25" s="308">
        <f t="shared" ref="U25:AC25" si="6">U23*41%</f>
        <v>-4715.3458358061416</v>
      </c>
      <c r="V25" s="308">
        <f t="shared" si="6"/>
        <v>-4715.3458358061416</v>
      </c>
      <c r="W25" s="308">
        <f t="shared" si="6"/>
        <v>-4715.3458358061416</v>
      </c>
      <c r="X25" s="308">
        <f t="shared" si="6"/>
        <v>-4715.3458358061416</v>
      </c>
      <c r="Y25" s="308">
        <f t="shared" si="6"/>
        <v>-5330</v>
      </c>
      <c r="Z25" s="308">
        <f t="shared" si="6"/>
        <v>-4715.3279999999995</v>
      </c>
      <c r="AA25" s="308">
        <f t="shared" si="6"/>
        <v>-4715.3279999999995</v>
      </c>
      <c r="AB25" s="308">
        <f t="shared" si="6"/>
        <v>-4715.3279999999995</v>
      </c>
      <c r="AC25" s="308">
        <f t="shared" si="6"/>
        <v>-5330</v>
      </c>
      <c r="AD25" s="308">
        <f t="shared" si="4"/>
        <v>-55535.025494916532</v>
      </c>
      <c r="AF25" s="233"/>
    </row>
    <row r="26" spans="1:37" ht="15" customHeight="1" outlineLevel="1">
      <c r="B26" s="232" t="s">
        <v>802</v>
      </c>
      <c r="C26" s="291">
        <v>-801.3</v>
      </c>
      <c r="D26" s="291">
        <v>-603.29999999999995</v>
      </c>
      <c r="E26" s="291">
        <v>-919.4</v>
      </c>
      <c r="F26" s="291">
        <v>-489.9</v>
      </c>
      <c r="G26" s="291">
        <v>-458.6</v>
      </c>
      <c r="H26" s="291">
        <v>-194.4</v>
      </c>
      <c r="I26" s="291">
        <v>-409.6</v>
      </c>
      <c r="J26" s="291">
        <v>-301.60000000000002</v>
      </c>
      <c r="K26" s="291">
        <v>-549.79999999999995</v>
      </c>
      <c r="L26" s="291">
        <v>-827.1</v>
      </c>
      <c r="M26" s="291">
        <v>-715.5</v>
      </c>
      <c r="N26" s="291">
        <v>-804.7</v>
      </c>
      <c r="R26" s="308">
        <f>[17]Summary!D247</f>
        <v>-342.59821945360756</v>
      </c>
      <c r="S26" s="308">
        <v>-400.59821945360801</v>
      </c>
      <c r="T26" s="308">
        <v>0</v>
      </c>
      <c r="U26" s="308">
        <v>100</v>
      </c>
      <c r="V26" s="308">
        <f t="shared" ref="V26:W27" si="7">U26</f>
        <v>100</v>
      </c>
      <c r="W26" s="308">
        <f t="shared" si="7"/>
        <v>100</v>
      </c>
      <c r="X26" s="308">
        <f>[17]Summary!J244</f>
        <v>0</v>
      </c>
      <c r="Y26" s="308">
        <f>[17]Summary!K244</f>
        <v>0</v>
      </c>
      <c r="Z26" s="308">
        <f>[17]Summary!L244</f>
        <v>0</v>
      </c>
      <c r="AA26" s="308">
        <f>[17]Summary!M244</f>
        <v>0</v>
      </c>
      <c r="AB26" s="308">
        <f>[17]Summary!N244</f>
        <v>0</v>
      </c>
      <c r="AC26" s="308">
        <f>[17]Summary!O244</f>
        <v>0</v>
      </c>
      <c r="AD26" s="308">
        <f t="shared" si="4"/>
        <v>-443.19643890721557</v>
      </c>
      <c r="AF26" s="233"/>
    </row>
    <row r="27" spans="1:37" ht="15" customHeight="1" outlineLevel="1">
      <c r="B27" s="232" t="s">
        <v>803</v>
      </c>
      <c r="C27" s="291">
        <v>-428.8</v>
      </c>
      <c r="D27" s="291">
        <v>-347.5</v>
      </c>
      <c r="E27" s="291">
        <v>-533.9</v>
      </c>
      <c r="F27" s="291">
        <v>-327.5</v>
      </c>
      <c r="G27" s="291">
        <v>-470.3</v>
      </c>
      <c r="H27" s="291">
        <v>-413.3</v>
      </c>
      <c r="I27" s="291">
        <v>-544</v>
      </c>
      <c r="J27" s="291">
        <v>-302.8</v>
      </c>
      <c r="K27" s="291">
        <v>-292.7</v>
      </c>
      <c r="L27" s="291">
        <v>-492.5</v>
      </c>
      <c r="M27" s="291">
        <v>-384.3</v>
      </c>
      <c r="N27" s="291">
        <v>-624.79999999999995</v>
      </c>
      <c r="R27" s="308">
        <f>[17]Summary!D248</f>
        <v>-371.66469812823789</v>
      </c>
      <c r="S27" s="308">
        <v>-750</v>
      </c>
      <c r="T27" s="308">
        <v>0</v>
      </c>
      <c r="U27" s="308">
        <v>100</v>
      </c>
      <c r="V27" s="308">
        <f t="shared" si="7"/>
        <v>100</v>
      </c>
      <c r="W27" s="308">
        <f t="shared" si="7"/>
        <v>100</v>
      </c>
      <c r="X27" s="308">
        <f>[17]Summary!J245</f>
        <v>0</v>
      </c>
      <c r="Y27" s="308">
        <f>[17]Summary!K245</f>
        <v>0</v>
      </c>
      <c r="Z27" s="308">
        <f>[17]Summary!L245</f>
        <v>0</v>
      </c>
      <c r="AA27" s="308">
        <f>[17]Summary!M245</f>
        <v>0</v>
      </c>
      <c r="AB27" s="308">
        <f>[17]Summary!N245</f>
        <v>0</v>
      </c>
      <c r="AC27" s="308">
        <f>[17]Summary!O245</f>
        <v>0</v>
      </c>
      <c r="AD27" s="308">
        <f t="shared" si="4"/>
        <v>-821.66469812823789</v>
      </c>
      <c r="AF27" s="233"/>
    </row>
    <row r="28" spans="1:37" s="229" customFormat="1" ht="15" customHeight="1">
      <c r="B28" s="234" t="s">
        <v>804</v>
      </c>
      <c r="C28" s="298">
        <v>-20322.099999999999</v>
      </c>
      <c r="D28" s="298">
        <v>-19753.3</v>
      </c>
      <c r="E28" s="298">
        <v>-26109.1</v>
      </c>
      <c r="F28" s="298">
        <v>-21117.3</v>
      </c>
      <c r="G28" s="298">
        <v>-21397</v>
      </c>
      <c r="H28" s="298">
        <v>-17360.7</v>
      </c>
      <c r="I28" s="298">
        <v>-15833.2</v>
      </c>
      <c r="J28" s="298">
        <v>-18646.8</v>
      </c>
      <c r="K28" s="298">
        <v>-17411.3</v>
      </c>
      <c r="L28" s="298">
        <v>-16439.599999999999</v>
      </c>
      <c r="M28" s="298">
        <v>-19603.7</v>
      </c>
      <c r="N28" s="298">
        <v>-18607.400000000001</v>
      </c>
      <c r="R28" s="309">
        <f>SUM(R23:R27)</f>
        <v>-22982.478616767363</v>
      </c>
      <c r="S28" s="309">
        <f>SUM(S23:S27)</f>
        <v>-21940.598219453608</v>
      </c>
      <c r="T28" s="309">
        <f t="shared" ref="T28:AC28" si="8">SUM(T23:T27)</f>
        <v>-27061.7</v>
      </c>
      <c r="U28" s="309">
        <f t="shared" si="8"/>
        <v>-16878.752600419808</v>
      </c>
      <c r="V28" s="309">
        <f t="shared" si="8"/>
        <v>-16878.752600419808</v>
      </c>
      <c r="W28" s="309">
        <f t="shared" si="8"/>
        <v>-16878.752600419808</v>
      </c>
      <c r="X28" s="309">
        <f t="shared" si="8"/>
        <v>-17078.752600419808</v>
      </c>
      <c r="Y28" s="309">
        <f t="shared" si="8"/>
        <v>-19305</v>
      </c>
      <c r="Z28" s="309">
        <f t="shared" si="8"/>
        <v>-17078.687999999998</v>
      </c>
      <c r="AA28" s="309">
        <f t="shared" si="8"/>
        <v>-17078.687999999998</v>
      </c>
      <c r="AB28" s="309">
        <f t="shared" si="8"/>
        <v>-17078.687999999998</v>
      </c>
      <c r="AC28" s="309">
        <f t="shared" si="8"/>
        <v>-19305</v>
      </c>
      <c r="AD28" s="309">
        <f t="shared" si="4"/>
        <v>-229545.85123790018</v>
      </c>
      <c r="AF28" s="235"/>
    </row>
    <row r="29" spans="1:37" s="241" customFormat="1" ht="15" customHeight="1">
      <c r="A29" s="237"/>
      <c r="B29" s="238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39"/>
      <c r="P29" s="239"/>
      <c r="Q29" s="239"/>
      <c r="R29" s="311"/>
      <c r="S29" s="311"/>
      <c r="T29" s="311"/>
      <c r="U29" s="311"/>
      <c r="V29" s="311"/>
      <c r="W29" s="311"/>
      <c r="X29" s="311"/>
      <c r="Y29" s="311"/>
      <c r="Z29" s="311"/>
      <c r="AA29" s="311"/>
      <c r="AB29" s="311"/>
      <c r="AC29" s="311"/>
      <c r="AD29" s="311"/>
      <c r="AE29" s="239"/>
      <c r="AF29" s="240"/>
      <c r="AG29" s="239"/>
      <c r="AH29" s="239"/>
      <c r="AI29" s="237"/>
      <c r="AJ29" s="239"/>
      <c r="AK29" s="237"/>
    </row>
    <row r="30" spans="1:37" s="241" customFormat="1" ht="15" customHeight="1">
      <c r="A30" s="237"/>
      <c r="B30" s="242" t="s">
        <v>805</v>
      </c>
      <c r="C30" s="298">
        <v>-12210</v>
      </c>
      <c r="D30" s="298">
        <v>-8103.4</v>
      </c>
      <c r="E30" s="298">
        <v>-2449</v>
      </c>
      <c r="F30" s="298">
        <v>-7888.6</v>
      </c>
      <c r="G30" s="298">
        <v>-5458</v>
      </c>
      <c r="H30" s="298">
        <v>-1205.5</v>
      </c>
      <c r="I30" s="298">
        <v>-7423.6</v>
      </c>
      <c r="J30" s="298">
        <v>-2158.5</v>
      </c>
      <c r="K30" s="298">
        <v>-2506.3000000000002</v>
      </c>
      <c r="L30" s="298">
        <v>-7026.5</v>
      </c>
      <c r="M30" s="298">
        <v>-2867.7</v>
      </c>
      <c r="N30" s="298">
        <v>-8461.2000000000007</v>
      </c>
      <c r="O30" s="239"/>
      <c r="P30" s="239"/>
      <c r="Q30" s="239"/>
      <c r="R30" s="309">
        <f>[17]Summary!D249</f>
        <v>-15513.34546467524</v>
      </c>
      <c r="S30" s="309">
        <v>-10057.4</v>
      </c>
      <c r="T30" s="309">
        <v>-2590.1</v>
      </c>
      <c r="U30" s="309">
        <v>-7000.3454646751998</v>
      </c>
      <c r="V30" s="309">
        <v>-7013.3454646751998</v>
      </c>
      <c r="W30" s="309">
        <v>-5000</v>
      </c>
      <c r="X30" s="309">
        <v>-5000</v>
      </c>
      <c r="Y30" s="309">
        <v>-5000</v>
      </c>
      <c r="Z30" s="309">
        <v>-5000</v>
      </c>
      <c r="AA30" s="309">
        <v>-7000</v>
      </c>
      <c r="AB30" s="309">
        <v>-8000</v>
      </c>
      <c r="AC30" s="309">
        <v>-9000</v>
      </c>
      <c r="AD30" s="309">
        <f t="shared" ref="AD30" si="9">SUM(R30:AC30)</f>
        <v>-86174.536394025636</v>
      </c>
      <c r="AE30" s="239"/>
      <c r="AF30" s="235"/>
      <c r="AG30" s="239"/>
      <c r="AH30" s="239"/>
      <c r="AI30" s="237"/>
      <c r="AJ30" s="239"/>
      <c r="AK30" s="237"/>
    </row>
    <row r="31" spans="1:37" s="241" customFormat="1" ht="15" customHeight="1">
      <c r="A31" s="237"/>
      <c r="B31" s="238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39"/>
      <c r="P31" s="239"/>
      <c r="Q31" s="239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239"/>
      <c r="AF31" s="240"/>
      <c r="AG31" s="239"/>
      <c r="AH31" s="239"/>
      <c r="AI31" s="237"/>
      <c r="AJ31" s="239"/>
      <c r="AK31" s="237"/>
    </row>
    <row r="32" spans="1:37" s="241" customFormat="1" ht="15" customHeight="1">
      <c r="A32" s="237"/>
      <c r="B32" s="316" t="s">
        <v>806</v>
      </c>
      <c r="C32" s="317">
        <v>13555.8</v>
      </c>
      <c r="D32" s="317">
        <v>2482.1</v>
      </c>
      <c r="E32" s="317">
        <v>-5224.3</v>
      </c>
      <c r="F32" s="317">
        <v>-1100.5999999999999</v>
      </c>
      <c r="G32" s="317">
        <v>3363.1</v>
      </c>
      <c r="H32" s="317">
        <v>9369.6</v>
      </c>
      <c r="I32" s="317">
        <v>13237</v>
      </c>
      <c r="J32" s="317">
        <v>8591.5</v>
      </c>
      <c r="K32" s="317">
        <v>5805.1</v>
      </c>
      <c r="L32" s="317">
        <v>8633</v>
      </c>
      <c r="M32" s="317">
        <v>9362.7999999999993</v>
      </c>
      <c r="N32" s="317">
        <v>70085.3</v>
      </c>
      <c r="O32" s="318"/>
      <c r="P32" s="318"/>
      <c r="Q32" s="318"/>
      <c r="R32" s="319">
        <f t="shared" ref="R32:AC32" si="10">R17+R21+R28+R30</f>
        <v>14317.556784385961</v>
      </c>
      <c r="S32" s="319">
        <f t="shared" si="10"/>
        <v>18691.6017805464</v>
      </c>
      <c r="T32" s="319">
        <f t="shared" si="10"/>
        <v>-1075.0999999999999</v>
      </c>
      <c r="U32" s="319">
        <f t="shared" si="10"/>
        <v>6997.9332759326207</v>
      </c>
      <c r="V32" s="319">
        <f t="shared" si="10"/>
        <v>8084.9332759326207</v>
      </c>
      <c r="W32" s="319">
        <f t="shared" si="10"/>
        <v>10598.278740607893</v>
      </c>
      <c r="X32" s="319">
        <f t="shared" si="10"/>
        <v>29899.240399580194</v>
      </c>
      <c r="Y32" s="319">
        <f t="shared" si="10"/>
        <v>15672.993000000002</v>
      </c>
      <c r="Z32" s="319">
        <f t="shared" si="10"/>
        <v>16899.305000000004</v>
      </c>
      <c r="AA32" s="319">
        <f t="shared" si="10"/>
        <v>15899.305000000004</v>
      </c>
      <c r="AB32" s="319">
        <f t="shared" si="10"/>
        <v>15899.305000000004</v>
      </c>
      <c r="AC32" s="319">
        <f t="shared" si="10"/>
        <v>71672.993000000002</v>
      </c>
      <c r="AD32" s="319">
        <f>AD17+AD21+AD28+AD30</f>
        <v>223558.34525698566</v>
      </c>
      <c r="AE32" s="239"/>
      <c r="AF32" s="243"/>
      <c r="AG32" s="239"/>
      <c r="AH32" s="239"/>
      <c r="AI32" s="237"/>
      <c r="AJ32" s="239"/>
      <c r="AK32" s="237"/>
    </row>
    <row r="33" spans="1:37" s="241" customFormat="1" ht="15" customHeight="1">
      <c r="A33" s="237"/>
      <c r="B33" s="238"/>
      <c r="C33" s="291"/>
      <c r="D33" s="291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39"/>
      <c r="P33" s="239"/>
      <c r="Q33" s="239"/>
      <c r="R33" s="311"/>
      <c r="S33" s="311"/>
      <c r="T33" s="311"/>
      <c r="U33" s="311"/>
      <c r="V33" s="311"/>
      <c r="W33" s="311"/>
      <c r="X33" s="311"/>
      <c r="Y33" s="311"/>
      <c r="Z33" s="311"/>
      <c r="AA33" s="311"/>
      <c r="AB33" s="311"/>
      <c r="AC33" s="311"/>
      <c r="AD33" s="311"/>
      <c r="AE33" s="239"/>
      <c r="AF33" s="240"/>
      <c r="AG33" s="239"/>
      <c r="AH33" s="239"/>
      <c r="AI33" s="237"/>
      <c r="AJ33" s="239"/>
      <c r="AK33" s="237"/>
    </row>
    <row r="34" spans="1:37" s="241" customFormat="1" ht="15" customHeight="1">
      <c r="A34" s="237"/>
      <c r="B34" s="242" t="s">
        <v>807</v>
      </c>
      <c r="C34" s="298">
        <v>-1248.2</v>
      </c>
      <c r="D34" s="299">
        <v>-892.9</v>
      </c>
      <c r="E34" s="299">
        <v>-478.8</v>
      </c>
      <c r="F34" s="298">
        <v>-2247.3000000000002</v>
      </c>
      <c r="G34" s="299">
        <v>-723.1</v>
      </c>
      <c r="H34" s="298">
        <v>-4397.6000000000004</v>
      </c>
      <c r="I34" s="298">
        <v>-1168.9000000000001</v>
      </c>
      <c r="J34" s="298">
        <v>-1045.2</v>
      </c>
      <c r="K34" s="299">
        <v>-486.2</v>
      </c>
      <c r="L34" s="299">
        <v>-669.4</v>
      </c>
      <c r="M34" s="299">
        <v>-99.6</v>
      </c>
      <c r="N34" s="299">
        <v>298.10000000000002</v>
      </c>
      <c r="O34" s="239"/>
      <c r="P34" s="239"/>
      <c r="Q34" s="239"/>
      <c r="R34" s="309">
        <f>[17]Summary!D254</f>
        <v>-231.53739787221002</v>
      </c>
      <c r="S34" s="309">
        <v>-8384.5</v>
      </c>
      <c r="T34" s="309">
        <v>-2729.3</v>
      </c>
      <c r="U34" s="309">
        <v>-1100.53739787221</v>
      </c>
      <c r="V34" s="309">
        <v>-1100.53739787221</v>
      </c>
      <c r="W34" s="309">
        <v>-1100.53739787221</v>
      </c>
      <c r="X34" s="309">
        <v>-1100.53739787221</v>
      </c>
      <c r="Y34" s="309">
        <v>-1100.53739787221</v>
      </c>
      <c r="Z34" s="309">
        <v>-1100.53739787221</v>
      </c>
      <c r="AA34" s="309">
        <v>-1100.53739787221</v>
      </c>
      <c r="AB34" s="309">
        <v>-1100.53739787221</v>
      </c>
      <c r="AC34" s="309">
        <v>-1100.53739787221</v>
      </c>
      <c r="AD34" s="309">
        <f t="shared" ref="AD34" si="11">SUM(R34:AC34)</f>
        <v>-21250.17397872209</v>
      </c>
      <c r="AE34" s="239"/>
      <c r="AF34" s="235"/>
      <c r="AG34" s="239"/>
      <c r="AH34" s="239"/>
      <c r="AI34" s="237"/>
      <c r="AJ34" s="239"/>
      <c r="AK34" s="237"/>
    </row>
    <row r="35" spans="1:37" s="241" customFormat="1" ht="15" customHeight="1">
      <c r="A35" s="237"/>
      <c r="B35" s="238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39"/>
      <c r="P35" s="239"/>
      <c r="Q35" s="239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239"/>
      <c r="AF35" s="240"/>
      <c r="AG35" s="239"/>
      <c r="AH35" s="239"/>
      <c r="AI35" s="237"/>
      <c r="AJ35" s="239"/>
      <c r="AK35" s="237"/>
    </row>
    <row r="36" spans="1:37" s="248" customFormat="1" ht="15" customHeight="1" outlineLevel="1">
      <c r="A36" s="244"/>
      <c r="B36" s="245" t="s">
        <v>808</v>
      </c>
      <c r="C36" s="297">
        <v>0</v>
      </c>
      <c r="D36" s="297">
        <v>0</v>
      </c>
      <c r="E36" s="303">
        <v>-16683.099999999999</v>
      </c>
      <c r="F36" s="297">
        <v>0</v>
      </c>
      <c r="G36" s="297">
        <v>0</v>
      </c>
      <c r="H36" s="303">
        <v>-14577.8</v>
      </c>
      <c r="I36" s="297">
        <v>0</v>
      </c>
      <c r="J36" s="297">
        <v>0</v>
      </c>
      <c r="K36" s="303">
        <v>-16500.3</v>
      </c>
      <c r="L36" s="297">
        <v>0</v>
      </c>
      <c r="M36" s="297">
        <v>0</v>
      </c>
      <c r="N36" s="303">
        <v>-15306.2</v>
      </c>
      <c r="O36" s="246"/>
      <c r="P36" s="246"/>
      <c r="Q36" s="246"/>
      <c r="R36" s="312">
        <f t="shared" ref="R36:AC36" si="12">SUM(R37:R38)</f>
        <v>0</v>
      </c>
      <c r="S36" s="312">
        <f t="shared" si="12"/>
        <v>0</v>
      </c>
      <c r="T36" s="312">
        <f t="shared" si="12"/>
        <v>-13500</v>
      </c>
      <c r="U36" s="312">
        <f t="shared" si="12"/>
        <v>0</v>
      </c>
      <c r="V36" s="312">
        <f t="shared" si="12"/>
        <v>0</v>
      </c>
      <c r="W36" s="312">
        <f t="shared" si="12"/>
        <v>-13500</v>
      </c>
      <c r="X36" s="312">
        <f t="shared" si="12"/>
        <v>0</v>
      </c>
      <c r="Y36" s="312">
        <f t="shared" si="12"/>
        <v>0</v>
      </c>
      <c r="Z36" s="312">
        <f t="shared" si="12"/>
        <v>-13500</v>
      </c>
      <c r="AA36" s="312">
        <f t="shared" si="12"/>
        <v>0</v>
      </c>
      <c r="AB36" s="312">
        <f t="shared" si="12"/>
        <v>0</v>
      </c>
      <c r="AC36" s="312">
        <f t="shared" si="12"/>
        <v>-13500</v>
      </c>
      <c r="AD36" s="312">
        <f t="shared" ref="AD36:AD41" si="13">SUM(R36:AC36)</f>
        <v>-54000</v>
      </c>
      <c r="AE36" s="246"/>
      <c r="AF36" s="247"/>
      <c r="AG36" s="246"/>
      <c r="AH36" s="246"/>
      <c r="AI36" s="244"/>
      <c r="AJ36" s="246"/>
      <c r="AK36" s="244"/>
    </row>
    <row r="37" spans="1:37" s="241" customFormat="1" ht="15" customHeight="1" outlineLevel="1">
      <c r="A37" s="237"/>
      <c r="B37" s="249" t="s">
        <v>809</v>
      </c>
      <c r="C37" s="291">
        <v>0</v>
      </c>
      <c r="D37" s="291">
        <v>0</v>
      </c>
      <c r="E37" s="302">
        <v>-16683.099999999999</v>
      </c>
      <c r="F37" s="291">
        <v>0</v>
      </c>
      <c r="G37" s="291">
        <v>0</v>
      </c>
      <c r="H37" s="302">
        <v>-12768.5</v>
      </c>
      <c r="I37" s="291">
        <v>0</v>
      </c>
      <c r="J37" s="291">
        <v>0</v>
      </c>
      <c r="K37" s="302">
        <v>-12728.8</v>
      </c>
      <c r="L37" s="291">
        <v>0</v>
      </c>
      <c r="M37" s="291">
        <v>0</v>
      </c>
      <c r="N37" s="302">
        <v>-11807.6</v>
      </c>
      <c r="O37" s="239"/>
      <c r="P37" s="239"/>
      <c r="Q37" s="239"/>
      <c r="R37" s="308">
        <f>[16]Control_Interest!C124</f>
        <v>0</v>
      </c>
      <c r="S37" s="308">
        <v>0</v>
      </c>
      <c r="T37" s="308">
        <v>-13500</v>
      </c>
      <c r="U37" s="308">
        <f>[16]Control_Interest!F124</f>
        <v>0</v>
      </c>
      <c r="V37" s="308">
        <f>[16]Control_Interest!G124</f>
        <v>0</v>
      </c>
      <c r="W37" s="308">
        <v>-13500</v>
      </c>
      <c r="X37" s="308">
        <f>[16]Control_Interest!I124</f>
        <v>0</v>
      </c>
      <c r="Y37" s="308">
        <f>[16]Control_Interest!J124</f>
        <v>0</v>
      </c>
      <c r="Z37" s="308">
        <v>-13500</v>
      </c>
      <c r="AA37" s="308">
        <f>[16]Control_Interest!L124</f>
        <v>0</v>
      </c>
      <c r="AB37" s="308">
        <f>[16]Control_Interest!M124</f>
        <v>0</v>
      </c>
      <c r="AC37" s="308">
        <v>-13500</v>
      </c>
      <c r="AD37" s="308">
        <f t="shared" si="13"/>
        <v>-54000</v>
      </c>
      <c r="AE37" s="239"/>
      <c r="AF37" s="233"/>
      <c r="AG37" s="239"/>
      <c r="AH37" s="239"/>
      <c r="AI37" s="237"/>
      <c r="AJ37" s="239"/>
      <c r="AK37" s="237"/>
    </row>
    <row r="38" spans="1:37" s="241" customFormat="1" ht="15" customHeight="1" outlineLevel="1">
      <c r="A38" s="237"/>
      <c r="B38" s="249" t="s">
        <v>810</v>
      </c>
      <c r="C38" s="291">
        <v>0</v>
      </c>
      <c r="D38" s="291">
        <v>0</v>
      </c>
      <c r="E38" s="291">
        <v>0</v>
      </c>
      <c r="F38" s="291">
        <v>0</v>
      </c>
      <c r="G38" s="291">
        <v>0</v>
      </c>
      <c r="H38" s="302">
        <v>-1809.4</v>
      </c>
      <c r="I38" s="291">
        <v>0</v>
      </c>
      <c r="J38" s="291">
        <v>0</v>
      </c>
      <c r="K38" s="302">
        <v>-3771.5</v>
      </c>
      <c r="L38" s="291">
        <v>0</v>
      </c>
      <c r="M38" s="291">
        <v>0</v>
      </c>
      <c r="N38" s="302">
        <v>-3498.6</v>
      </c>
      <c r="O38" s="239"/>
      <c r="P38" s="239"/>
      <c r="Q38" s="239"/>
      <c r="R38" s="308">
        <f>[16]Control_Interest!C125</f>
        <v>0</v>
      </c>
      <c r="S38" s="308">
        <v>0</v>
      </c>
      <c r="T38" s="308">
        <v>0</v>
      </c>
      <c r="U38" s="308">
        <f>[16]Control_Interest!F125</f>
        <v>0</v>
      </c>
      <c r="V38" s="308">
        <f>[16]Control_Interest!G125</f>
        <v>0</v>
      </c>
      <c r="W38" s="308">
        <f>[16]Control_Interest!H125</f>
        <v>0</v>
      </c>
      <c r="X38" s="308">
        <f>[16]Control_Interest!I125</f>
        <v>0</v>
      </c>
      <c r="Y38" s="308">
        <f>[16]Control_Interest!J125</f>
        <v>0</v>
      </c>
      <c r="Z38" s="308">
        <f>[16]Control_Interest!K125</f>
        <v>0</v>
      </c>
      <c r="AA38" s="308">
        <f>[16]Control_Interest!L125</f>
        <v>0</v>
      </c>
      <c r="AB38" s="308">
        <f>[16]Control_Interest!M125</f>
        <v>0</v>
      </c>
      <c r="AC38" s="308">
        <f>[16]Control_Interest!N125</f>
        <v>0</v>
      </c>
      <c r="AD38" s="308">
        <f t="shared" si="13"/>
        <v>0</v>
      </c>
      <c r="AE38" s="239"/>
      <c r="AF38" s="233"/>
      <c r="AG38" s="239"/>
      <c r="AH38" s="239"/>
      <c r="AI38" s="237"/>
      <c r="AJ38" s="239"/>
      <c r="AK38" s="237"/>
    </row>
    <row r="39" spans="1:37" s="248" customFormat="1" ht="15" customHeight="1" outlineLevel="1">
      <c r="A39" s="244"/>
      <c r="B39" s="245" t="s">
        <v>811</v>
      </c>
      <c r="C39" s="297">
        <v>0</v>
      </c>
      <c r="D39" s="297">
        <v>0</v>
      </c>
      <c r="E39" s="303">
        <v>2703.4</v>
      </c>
      <c r="F39" s="297">
        <v>0</v>
      </c>
      <c r="G39" s="297">
        <v>0</v>
      </c>
      <c r="H39" s="303">
        <v>2733.7</v>
      </c>
      <c r="I39" s="297">
        <v>0</v>
      </c>
      <c r="J39" s="297">
        <v>0</v>
      </c>
      <c r="K39" s="303">
        <v>2555.1999999999998</v>
      </c>
      <c r="L39" s="297">
        <v>0</v>
      </c>
      <c r="M39" s="297">
        <v>0</v>
      </c>
      <c r="N39" s="303">
        <v>2013.1</v>
      </c>
      <c r="O39" s="246"/>
      <c r="P39" s="246"/>
      <c r="Q39" s="246"/>
      <c r="R39" s="312">
        <f>R40</f>
        <v>0</v>
      </c>
      <c r="S39" s="312">
        <f t="shared" ref="S39:AC39" si="14">S40</f>
        <v>0</v>
      </c>
      <c r="T39" s="312">
        <f t="shared" si="14"/>
        <v>1000</v>
      </c>
      <c r="U39" s="312">
        <f t="shared" si="14"/>
        <v>0</v>
      </c>
      <c r="V39" s="312">
        <f t="shared" si="14"/>
        <v>0</v>
      </c>
      <c r="W39" s="312">
        <f t="shared" si="14"/>
        <v>1000</v>
      </c>
      <c r="X39" s="312">
        <f t="shared" si="14"/>
        <v>0</v>
      </c>
      <c r="Y39" s="312">
        <f t="shared" si="14"/>
        <v>0</v>
      </c>
      <c r="Z39" s="312">
        <f t="shared" si="14"/>
        <v>1000</v>
      </c>
      <c r="AA39" s="312">
        <f t="shared" si="14"/>
        <v>0</v>
      </c>
      <c r="AB39" s="312">
        <f t="shared" si="14"/>
        <v>0</v>
      </c>
      <c r="AC39" s="312">
        <f t="shared" si="14"/>
        <v>1000</v>
      </c>
      <c r="AD39" s="312">
        <f t="shared" si="13"/>
        <v>4000</v>
      </c>
      <c r="AE39" s="246"/>
      <c r="AF39" s="247"/>
      <c r="AG39" s="246"/>
      <c r="AH39" s="246"/>
      <c r="AI39" s="244"/>
      <c r="AJ39" s="246"/>
      <c r="AK39" s="244"/>
    </row>
    <row r="40" spans="1:37" s="241" customFormat="1" ht="15" customHeight="1" outlineLevel="1">
      <c r="A40" s="237"/>
      <c r="B40" s="249" t="s">
        <v>812</v>
      </c>
      <c r="C40" s="291">
        <v>0</v>
      </c>
      <c r="D40" s="291">
        <v>0</v>
      </c>
      <c r="E40" s="302">
        <v>2703.4</v>
      </c>
      <c r="F40" s="291">
        <v>0</v>
      </c>
      <c r="G40" s="291">
        <v>0</v>
      </c>
      <c r="H40" s="302">
        <v>2733.7</v>
      </c>
      <c r="I40" s="291">
        <v>0</v>
      </c>
      <c r="J40" s="291">
        <v>0</v>
      </c>
      <c r="K40" s="302">
        <v>2555.1999999999998</v>
      </c>
      <c r="L40" s="291">
        <v>0</v>
      </c>
      <c r="M40" s="291">
        <v>0</v>
      </c>
      <c r="N40" s="302">
        <v>2013.1</v>
      </c>
      <c r="O40" s="239"/>
      <c r="P40" s="239"/>
      <c r="Q40" s="239"/>
      <c r="R40" s="308">
        <f>[16]Control_Interest!C69</f>
        <v>0</v>
      </c>
      <c r="S40" s="308">
        <v>0</v>
      </c>
      <c r="T40" s="308">
        <v>1000</v>
      </c>
      <c r="U40" s="308">
        <f>[16]Control_Interest!F69</f>
        <v>0</v>
      </c>
      <c r="V40" s="308">
        <f>[16]Control_Interest!G69</f>
        <v>0</v>
      </c>
      <c r="W40" s="308">
        <v>1000</v>
      </c>
      <c r="X40" s="308">
        <f>[16]Control_Interest!I69</f>
        <v>0</v>
      </c>
      <c r="Y40" s="308">
        <f>[16]Control_Interest!J69</f>
        <v>0</v>
      </c>
      <c r="Z40" s="308">
        <f>W40</f>
        <v>1000</v>
      </c>
      <c r="AA40" s="308">
        <f>[16]Control_Interest!L69</f>
        <v>0</v>
      </c>
      <c r="AB40" s="308">
        <f>[16]Control_Interest!M69</f>
        <v>0</v>
      </c>
      <c r="AC40" s="308">
        <f>Z40</f>
        <v>1000</v>
      </c>
      <c r="AD40" s="308">
        <f t="shared" si="13"/>
        <v>4000</v>
      </c>
      <c r="AE40" s="239"/>
      <c r="AF40" s="233"/>
      <c r="AG40" s="239"/>
      <c r="AH40" s="239"/>
      <c r="AI40" s="237"/>
      <c r="AJ40" s="239"/>
      <c r="AK40" s="237"/>
    </row>
    <row r="41" spans="1:37" s="248" customFormat="1" ht="15" customHeight="1" outlineLevel="1">
      <c r="A41" s="244"/>
      <c r="B41" s="245" t="s">
        <v>344</v>
      </c>
      <c r="C41" s="297">
        <v>80.599999999999994</v>
      </c>
      <c r="D41" s="297">
        <v>14.6</v>
      </c>
      <c r="E41" s="297">
        <v>51.3</v>
      </c>
      <c r="F41" s="297">
        <v>34</v>
      </c>
      <c r="G41" s="297">
        <v>-2.2000000000000002</v>
      </c>
      <c r="H41" s="297">
        <v>6.1</v>
      </c>
      <c r="I41" s="297">
        <v>-2.2999999999999998</v>
      </c>
      <c r="J41" s="297">
        <v>3.4</v>
      </c>
      <c r="K41" s="297">
        <v>3.8</v>
      </c>
      <c r="L41" s="297">
        <v>93.9</v>
      </c>
      <c r="M41" s="297">
        <v>3.3</v>
      </c>
      <c r="N41" s="297">
        <v>188</v>
      </c>
      <c r="O41" s="246"/>
      <c r="P41" s="246"/>
      <c r="Q41" s="246"/>
      <c r="R41" s="312">
        <f>SUM([17]Summary!D255:D256)-SUM(R36,R39)</f>
        <v>28.1696045835583</v>
      </c>
      <c r="S41" s="312">
        <v>0</v>
      </c>
      <c r="T41" s="312">
        <v>-185</v>
      </c>
      <c r="U41" s="312">
        <v>0</v>
      </c>
      <c r="V41" s="312">
        <v>0</v>
      </c>
      <c r="W41" s="312">
        <v>-185</v>
      </c>
      <c r="X41" s="312">
        <v>0</v>
      </c>
      <c r="Y41" s="312">
        <v>0</v>
      </c>
      <c r="Z41" s="312">
        <v>-185</v>
      </c>
      <c r="AA41" s="312">
        <v>0</v>
      </c>
      <c r="AB41" s="312">
        <v>0</v>
      </c>
      <c r="AC41" s="312">
        <v>-185</v>
      </c>
      <c r="AD41" s="312">
        <f t="shared" si="13"/>
        <v>-711.83039541644166</v>
      </c>
      <c r="AE41" s="246"/>
      <c r="AF41" s="247"/>
      <c r="AG41" s="246"/>
      <c r="AH41" s="246"/>
      <c r="AI41" s="244"/>
      <c r="AJ41" s="246"/>
      <c r="AK41" s="244"/>
    </row>
    <row r="42" spans="1:37" s="241" customFormat="1" ht="15" customHeight="1">
      <c r="A42" s="237"/>
      <c r="B42" s="242" t="s">
        <v>813</v>
      </c>
      <c r="C42" s="299">
        <v>80.599999999999994</v>
      </c>
      <c r="D42" s="299">
        <v>14.6</v>
      </c>
      <c r="E42" s="298">
        <v>-13928.4</v>
      </c>
      <c r="F42" s="299">
        <v>34</v>
      </c>
      <c r="G42" s="299">
        <v>-2.2000000000000002</v>
      </c>
      <c r="H42" s="298">
        <v>-11838</v>
      </c>
      <c r="I42" s="299">
        <v>-2.2999999999999998</v>
      </c>
      <c r="J42" s="299">
        <v>3.4</v>
      </c>
      <c r="K42" s="298">
        <v>-13941.3</v>
      </c>
      <c r="L42" s="299">
        <v>93.9</v>
      </c>
      <c r="M42" s="299">
        <v>3.3</v>
      </c>
      <c r="N42" s="298">
        <v>-13105.1</v>
      </c>
      <c r="O42" s="246"/>
      <c r="P42" s="246"/>
      <c r="Q42" s="246"/>
      <c r="R42" s="309">
        <f t="shared" ref="R42:AD42" si="15">SUM(R36,R39,R41)</f>
        <v>28.1696045835583</v>
      </c>
      <c r="S42" s="309">
        <f t="shared" si="15"/>
        <v>0</v>
      </c>
      <c r="T42" s="309">
        <f t="shared" si="15"/>
        <v>-12685</v>
      </c>
      <c r="U42" s="309">
        <f t="shared" si="15"/>
        <v>0</v>
      </c>
      <c r="V42" s="309">
        <f t="shared" si="15"/>
        <v>0</v>
      </c>
      <c r="W42" s="309">
        <f t="shared" si="15"/>
        <v>-12685</v>
      </c>
      <c r="X42" s="309">
        <f t="shared" si="15"/>
        <v>0</v>
      </c>
      <c r="Y42" s="309">
        <f t="shared" si="15"/>
        <v>0</v>
      </c>
      <c r="Z42" s="309">
        <f t="shared" si="15"/>
        <v>-12685</v>
      </c>
      <c r="AA42" s="309">
        <f t="shared" si="15"/>
        <v>0</v>
      </c>
      <c r="AB42" s="309">
        <f t="shared" si="15"/>
        <v>0</v>
      </c>
      <c r="AC42" s="309">
        <f t="shared" si="15"/>
        <v>-12685</v>
      </c>
      <c r="AD42" s="309">
        <f t="shared" si="15"/>
        <v>-50711.830395416444</v>
      </c>
      <c r="AE42" s="250"/>
      <c r="AF42" s="235"/>
      <c r="AG42" s="246"/>
      <c r="AH42" s="246"/>
      <c r="AI42" s="237"/>
      <c r="AJ42" s="246"/>
      <c r="AK42" s="237"/>
    </row>
    <row r="43" spans="1:37" s="241" customFormat="1" ht="15" customHeight="1" outlineLevel="1">
      <c r="A43" s="237"/>
      <c r="B43" s="238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39"/>
      <c r="P43" s="239"/>
      <c r="Q43" s="239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239"/>
      <c r="AF43" s="240"/>
      <c r="AG43" s="239"/>
      <c r="AH43" s="239"/>
      <c r="AI43" s="237"/>
      <c r="AJ43" s="239"/>
      <c r="AK43" s="237"/>
    </row>
    <row r="44" spans="1:37" s="241" customFormat="1" ht="15" customHeight="1" outlineLevel="1">
      <c r="A44" s="237"/>
      <c r="B44" s="242" t="s">
        <v>814</v>
      </c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239"/>
      <c r="P44" s="239"/>
      <c r="Q44" s="239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3"/>
      <c r="AD44" s="313"/>
      <c r="AE44" s="239"/>
      <c r="AF44" s="251"/>
      <c r="AG44" s="239"/>
      <c r="AH44" s="239"/>
      <c r="AI44" s="237"/>
      <c r="AJ44" s="239"/>
      <c r="AK44" s="237"/>
    </row>
    <row r="45" spans="1:37" s="241" customFormat="1" ht="15" customHeight="1" outlineLevel="1">
      <c r="A45" s="237"/>
      <c r="B45" s="238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39"/>
      <c r="P45" s="239"/>
      <c r="Q45" s="239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239"/>
      <c r="AF45" s="240"/>
      <c r="AG45" s="239"/>
      <c r="AH45" s="239"/>
      <c r="AI45" s="237"/>
      <c r="AJ45" s="239"/>
      <c r="AK45" s="237"/>
    </row>
    <row r="46" spans="1:37" s="241" customFormat="1" ht="15" customHeight="1" outlineLevel="1">
      <c r="A46" s="237"/>
      <c r="B46" s="242" t="s">
        <v>815</v>
      </c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239"/>
      <c r="P46" s="239"/>
      <c r="Q46" s="239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3"/>
      <c r="AD46" s="313"/>
      <c r="AE46" s="239"/>
      <c r="AF46" s="251"/>
      <c r="AG46" s="239"/>
      <c r="AH46" s="239"/>
      <c r="AI46" s="237"/>
      <c r="AJ46" s="239"/>
      <c r="AK46" s="237"/>
    </row>
    <row r="47" spans="1:37" s="241" customFormat="1" ht="15" customHeight="1">
      <c r="A47" s="237"/>
      <c r="B47" s="238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39"/>
      <c r="P47" s="239"/>
      <c r="Q47" s="239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239"/>
      <c r="AF47" s="252"/>
      <c r="AG47" s="239"/>
      <c r="AH47" s="239"/>
      <c r="AI47" s="237"/>
      <c r="AJ47" s="239"/>
      <c r="AK47" s="237"/>
    </row>
    <row r="48" spans="1:37" s="241" customFormat="1" ht="15" customHeight="1">
      <c r="A48" s="237"/>
      <c r="B48" s="242" t="s">
        <v>816</v>
      </c>
      <c r="C48" s="299">
        <v>-152.30000000000001</v>
      </c>
      <c r="D48" s="299">
        <v>0</v>
      </c>
      <c r="E48" s="299">
        <v>0</v>
      </c>
      <c r="F48" s="299">
        <v>-197.9</v>
      </c>
      <c r="G48" s="299">
        <v>0</v>
      </c>
      <c r="H48" s="299">
        <v>0</v>
      </c>
      <c r="I48" s="299">
        <v>-187.5</v>
      </c>
      <c r="J48" s="299">
        <v>0</v>
      </c>
      <c r="K48" s="299">
        <v>-189.6</v>
      </c>
      <c r="L48" s="299">
        <v>0</v>
      </c>
      <c r="M48" s="299">
        <v>0</v>
      </c>
      <c r="N48" s="299">
        <v>-189.6</v>
      </c>
      <c r="O48" s="239"/>
      <c r="P48" s="239"/>
      <c r="Q48" s="239"/>
      <c r="R48" s="309">
        <f>[17]Summary!D257</f>
        <v>-50321.332999999999</v>
      </c>
      <c r="S48" s="309">
        <v>0</v>
      </c>
      <c r="T48" s="309">
        <v>0</v>
      </c>
      <c r="U48" s="309">
        <f>[17]Summary!G257</f>
        <v>0</v>
      </c>
      <c r="V48" s="309">
        <f>[17]Summary!H257</f>
        <v>0</v>
      </c>
      <c r="W48" s="309">
        <f>[17]Summary!I257</f>
        <v>0</v>
      </c>
      <c r="X48" s="309">
        <f>[17]Summary!J257</f>
        <v>0</v>
      </c>
      <c r="Y48" s="309">
        <f>[17]Summary!K257</f>
        <v>0</v>
      </c>
      <c r="Z48" s="309">
        <f>[17]Summary!L257</f>
        <v>0</v>
      </c>
      <c r="AA48" s="309">
        <f>[17]Summary!M257</f>
        <v>0</v>
      </c>
      <c r="AB48" s="309">
        <f>[17]Summary!N257</f>
        <v>0</v>
      </c>
      <c r="AC48" s="309">
        <f>[17]Summary!O257</f>
        <v>0</v>
      </c>
      <c r="AD48" s="309">
        <f t="shared" ref="AD48" si="16">SUM(R48:AC48)</f>
        <v>-50321.332999999999</v>
      </c>
      <c r="AE48" s="239"/>
      <c r="AF48" s="253" t="s">
        <v>817</v>
      </c>
      <c r="AG48" s="239"/>
      <c r="AH48" s="239"/>
      <c r="AI48" s="237"/>
      <c r="AJ48" s="239"/>
      <c r="AK48" s="237"/>
    </row>
    <row r="49" spans="1:37" s="241" customFormat="1" ht="15" customHeight="1">
      <c r="A49" s="237"/>
      <c r="B49" s="238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39"/>
      <c r="P49" s="239"/>
      <c r="Q49" s="239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239"/>
      <c r="AF49" s="240"/>
      <c r="AG49" s="239"/>
      <c r="AH49" s="239"/>
      <c r="AI49" s="237"/>
      <c r="AJ49" s="239"/>
      <c r="AK49" s="237"/>
    </row>
    <row r="50" spans="1:37" s="241" customFormat="1" ht="15" customHeight="1">
      <c r="A50" s="237"/>
      <c r="B50" s="242" t="s">
        <v>818</v>
      </c>
      <c r="C50" s="299">
        <v>-0.6</v>
      </c>
      <c r="D50" s="299">
        <v>-16.2</v>
      </c>
      <c r="E50" s="299">
        <v>-95.5</v>
      </c>
      <c r="F50" s="299">
        <v>-13.6</v>
      </c>
      <c r="G50" s="299">
        <v>2.5</v>
      </c>
      <c r="H50" s="299">
        <v>2.1</v>
      </c>
      <c r="I50" s="299">
        <v>-14.1</v>
      </c>
      <c r="J50" s="299">
        <v>-15.6</v>
      </c>
      <c r="K50" s="299">
        <v>403.7</v>
      </c>
      <c r="L50" s="299">
        <v>-146</v>
      </c>
      <c r="M50" s="299">
        <v>-29.9</v>
      </c>
      <c r="N50" s="299">
        <v>-23.4</v>
      </c>
      <c r="O50" s="239"/>
      <c r="P50" s="239"/>
      <c r="Q50" s="239"/>
      <c r="R50" s="309">
        <f>[17]Summary!D258</f>
        <v>-51.734999999999999</v>
      </c>
      <c r="S50" s="309">
        <v>-55</v>
      </c>
      <c r="T50" s="309">
        <v>-51.734999999999999</v>
      </c>
      <c r="U50" s="309">
        <v>-51.734999999999999</v>
      </c>
      <c r="V50" s="309">
        <v>-51.734999999999999</v>
      </c>
      <c r="W50" s="309">
        <v>-51.734999999999999</v>
      </c>
      <c r="X50" s="309">
        <f>[17]Summary!J258</f>
        <v>0</v>
      </c>
      <c r="Y50" s="309">
        <f>[17]Summary!K258</f>
        <v>0</v>
      </c>
      <c r="Z50" s="309">
        <f>[17]Summary!L258</f>
        <v>0</v>
      </c>
      <c r="AA50" s="309">
        <f>[17]Summary!M258</f>
        <v>0</v>
      </c>
      <c r="AB50" s="309">
        <f>[17]Summary!N258</f>
        <v>0</v>
      </c>
      <c r="AC50" s="309">
        <f>[17]Summary!O258</f>
        <v>0</v>
      </c>
      <c r="AD50" s="309">
        <f t="shared" ref="AD50" si="17">SUM(R50:AC50)</f>
        <v>-313.67500000000001</v>
      </c>
      <c r="AE50" s="239"/>
      <c r="AF50" s="235"/>
      <c r="AG50" s="239"/>
      <c r="AH50" s="239"/>
      <c r="AI50" s="237"/>
      <c r="AJ50" s="239"/>
      <c r="AK50" s="237"/>
    </row>
    <row r="51" spans="1:37" s="241" customFormat="1" ht="15" customHeight="1">
      <c r="A51" s="237"/>
      <c r="B51" s="238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39"/>
      <c r="P51" s="239"/>
      <c r="Q51" s="239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239"/>
      <c r="AF51" s="240"/>
      <c r="AG51" s="239"/>
      <c r="AH51" s="239"/>
      <c r="AI51" s="237"/>
      <c r="AJ51" s="239"/>
      <c r="AK51" s="237"/>
    </row>
    <row r="52" spans="1:37" s="248" customFormat="1" ht="15" customHeight="1" outlineLevel="1">
      <c r="A52" s="244"/>
      <c r="B52" s="245" t="s">
        <v>344</v>
      </c>
      <c r="C52" s="297">
        <v>65.2</v>
      </c>
      <c r="D52" s="297">
        <v>2.6</v>
      </c>
      <c r="E52" s="297">
        <v>18.7</v>
      </c>
      <c r="F52" s="297">
        <v>-55</v>
      </c>
      <c r="G52" s="297">
        <v>-12.3</v>
      </c>
      <c r="H52" s="297">
        <v>-37.4</v>
      </c>
      <c r="I52" s="297">
        <v>11.4</v>
      </c>
      <c r="J52" s="297">
        <v>48.1</v>
      </c>
      <c r="K52" s="297">
        <v>1.3</v>
      </c>
      <c r="L52" s="297">
        <v>3.4</v>
      </c>
      <c r="M52" s="297">
        <v>3.1</v>
      </c>
      <c r="N52" s="303">
        <v>1400</v>
      </c>
      <c r="O52" s="246"/>
      <c r="P52" s="246"/>
      <c r="Q52" s="246"/>
      <c r="R52" s="312">
        <f>[17]Summary!D252</f>
        <v>-29.542000000000002</v>
      </c>
      <c r="S52" s="312">
        <v>0</v>
      </c>
      <c r="T52" s="312">
        <v>0</v>
      </c>
      <c r="U52" s="312">
        <f>[17]Summary!G252</f>
        <v>0</v>
      </c>
      <c r="V52" s="312">
        <f>[17]Summary!H252</f>
        <v>0</v>
      </c>
      <c r="W52" s="312">
        <f>[17]Summary!I252</f>
        <v>0</v>
      </c>
      <c r="X52" s="312">
        <f>[17]Summary!J252</f>
        <v>0</v>
      </c>
      <c r="Y52" s="312">
        <f>[17]Summary!K252</f>
        <v>0</v>
      </c>
      <c r="Z52" s="312">
        <f>[17]Summary!L252</f>
        <v>0</v>
      </c>
      <c r="AA52" s="312">
        <f>[17]Summary!M252</f>
        <v>0</v>
      </c>
      <c r="AB52" s="312">
        <f>[17]Summary!N252</f>
        <v>0</v>
      </c>
      <c r="AC52" s="312">
        <f>[17]Summary!O252</f>
        <v>0</v>
      </c>
      <c r="AD52" s="312">
        <f>SUM(R52:AC52)</f>
        <v>-29.542000000000002</v>
      </c>
      <c r="AE52" s="246"/>
      <c r="AF52" s="233"/>
      <c r="AG52" s="246"/>
      <c r="AH52" s="246"/>
      <c r="AI52" s="244"/>
      <c r="AJ52" s="246"/>
      <c r="AK52" s="244"/>
    </row>
    <row r="53" spans="1:37" s="248" customFormat="1" ht="15" customHeight="1" outlineLevel="1">
      <c r="A53" s="244"/>
      <c r="B53" s="245" t="s">
        <v>819</v>
      </c>
      <c r="C53" s="303">
        <v>5260.7</v>
      </c>
      <c r="D53" s="303">
        <v>-16422.8</v>
      </c>
      <c r="E53" s="297">
        <v>-408.4</v>
      </c>
      <c r="F53" s="303">
        <v>10682</v>
      </c>
      <c r="G53" s="297">
        <v>44.9</v>
      </c>
      <c r="H53" s="303">
        <v>1032.0999999999999</v>
      </c>
      <c r="I53" s="297">
        <v>9.9</v>
      </c>
      <c r="J53" s="297">
        <v>-417</v>
      </c>
      <c r="K53" s="297">
        <v>489.6</v>
      </c>
      <c r="L53" s="297">
        <v>21.8</v>
      </c>
      <c r="M53" s="297">
        <v>-266.10000000000002</v>
      </c>
      <c r="N53" s="297">
        <v>42.2</v>
      </c>
      <c r="O53" s="246"/>
      <c r="P53" s="246"/>
      <c r="Q53" s="246"/>
      <c r="R53" s="312">
        <f>[17]Summary!D253</f>
        <v>1.6970000000001371</v>
      </c>
      <c r="S53" s="312">
        <v>0</v>
      </c>
      <c r="T53" s="312">
        <v>0</v>
      </c>
      <c r="U53" s="312">
        <f>[17]Summary!G253</f>
        <v>0</v>
      </c>
      <c r="V53" s="312">
        <f>[17]Summary!H253</f>
        <v>0</v>
      </c>
      <c r="W53" s="312">
        <f>[17]Summary!I253</f>
        <v>0</v>
      </c>
      <c r="X53" s="312">
        <f>[17]Summary!J253</f>
        <v>0</v>
      </c>
      <c r="Y53" s="312">
        <f>[17]Summary!K253</f>
        <v>0</v>
      </c>
      <c r="Z53" s="312">
        <f>[17]Summary!L253</f>
        <v>0</v>
      </c>
      <c r="AA53" s="312">
        <f>[17]Summary!M253</f>
        <v>0</v>
      </c>
      <c r="AB53" s="312">
        <f>[17]Summary!N253</f>
        <v>0</v>
      </c>
      <c r="AC53" s="312">
        <f>[17]Summary!O253</f>
        <v>0</v>
      </c>
      <c r="AD53" s="312">
        <f>SUM(R53:AC53)</f>
        <v>1.6970000000001371</v>
      </c>
      <c r="AE53" s="246"/>
      <c r="AF53" s="247"/>
      <c r="AG53" s="246"/>
      <c r="AH53" s="246"/>
      <c r="AI53" s="244"/>
      <c r="AJ53" s="246"/>
      <c r="AK53" s="244"/>
    </row>
    <row r="54" spans="1:37" s="248" customFormat="1" ht="15" customHeight="1" outlineLevel="1">
      <c r="A54" s="244"/>
      <c r="B54" s="245" t="s">
        <v>820</v>
      </c>
      <c r="C54" s="303">
        <v>-4919.8999999999996</v>
      </c>
      <c r="D54" s="303">
        <v>15504.1</v>
      </c>
      <c r="E54" s="297">
        <v>-287.8</v>
      </c>
      <c r="F54" s="303">
        <v>-10215.200000000001</v>
      </c>
      <c r="G54" s="297">
        <v>-4.2</v>
      </c>
      <c r="H54" s="297">
        <v>-826.6</v>
      </c>
      <c r="I54" s="297">
        <v>333.6</v>
      </c>
      <c r="J54" s="297">
        <v>511.9</v>
      </c>
      <c r="K54" s="303">
        <v>-1745.7</v>
      </c>
      <c r="L54" s="303">
        <v>1233.7</v>
      </c>
      <c r="M54" s="297">
        <v>-0.7</v>
      </c>
      <c r="N54" s="297">
        <v>-0.8</v>
      </c>
      <c r="O54" s="246"/>
      <c r="P54" s="246"/>
      <c r="Q54" s="246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>
        <f>SUM(R54:AC54)</f>
        <v>0</v>
      </c>
      <c r="AE54" s="246"/>
      <c r="AF54" s="247"/>
      <c r="AG54" s="246"/>
      <c r="AH54" s="246"/>
      <c r="AI54" s="244"/>
      <c r="AJ54" s="246"/>
      <c r="AK54" s="244"/>
    </row>
    <row r="55" spans="1:37" s="241" customFormat="1" ht="15" customHeight="1">
      <c r="A55" s="237"/>
      <c r="B55" s="242" t="s">
        <v>344</v>
      </c>
      <c r="C55" s="299">
        <v>405.9</v>
      </c>
      <c r="D55" s="299">
        <v>-916.1</v>
      </c>
      <c r="E55" s="299">
        <v>-677.5</v>
      </c>
      <c r="F55" s="299">
        <v>411.9</v>
      </c>
      <c r="G55" s="299">
        <v>28.4</v>
      </c>
      <c r="H55" s="299">
        <v>168.1</v>
      </c>
      <c r="I55" s="299">
        <v>354.9</v>
      </c>
      <c r="J55" s="299">
        <v>143</v>
      </c>
      <c r="K55" s="298">
        <v>-1254.7</v>
      </c>
      <c r="L55" s="298">
        <v>1258.9000000000001</v>
      </c>
      <c r="M55" s="299">
        <v>-263.8</v>
      </c>
      <c r="N55" s="298">
        <v>1441.4</v>
      </c>
      <c r="O55" s="246"/>
      <c r="P55" s="246"/>
      <c r="Q55" s="246"/>
      <c r="R55" s="309">
        <f t="shared" ref="R55:AD55" si="18">SUM(R52,R53,R54)</f>
        <v>-27.844999999999864</v>
      </c>
      <c r="S55" s="309">
        <v>-27.844999999999864</v>
      </c>
      <c r="T55" s="309">
        <v>-27.844999999999864</v>
      </c>
      <c r="U55" s="309">
        <v>-27.844999999999864</v>
      </c>
      <c r="V55" s="309">
        <v>-27.844999999999864</v>
      </c>
      <c r="W55" s="309">
        <v>-27.844999999999864</v>
      </c>
      <c r="X55" s="309">
        <f t="shared" si="18"/>
        <v>0</v>
      </c>
      <c r="Y55" s="309">
        <f t="shared" si="18"/>
        <v>0</v>
      </c>
      <c r="Z55" s="309">
        <f t="shared" si="18"/>
        <v>0</v>
      </c>
      <c r="AA55" s="309">
        <f t="shared" si="18"/>
        <v>0</v>
      </c>
      <c r="AB55" s="309">
        <f t="shared" si="18"/>
        <v>0</v>
      </c>
      <c r="AC55" s="309">
        <f t="shared" si="18"/>
        <v>0</v>
      </c>
      <c r="AD55" s="309">
        <f t="shared" si="18"/>
        <v>-27.844999999999864</v>
      </c>
      <c r="AE55" s="250"/>
      <c r="AF55" s="235"/>
      <c r="AG55" s="246"/>
      <c r="AH55" s="246"/>
      <c r="AI55" s="237"/>
      <c r="AJ55" s="246"/>
      <c r="AK55" s="237"/>
    </row>
    <row r="56" spans="1:37" s="241" customFormat="1" ht="15" customHeight="1">
      <c r="A56" s="237"/>
      <c r="B56" s="254"/>
      <c r="C56" s="305"/>
      <c r="D56" s="305"/>
      <c r="E56" s="305"/>
      <c r="F56" s="305"/>
      <c r="G56" s="305"/>
      <c r="H56" s="305"/>
      <c r="I56" s="305"/>
      <c r="J56" s="305"/>
      <c r="K56" s="305"/>
      <c r="L56" s="305"/>
      <c r="M56" s="305"/>
      <c r="N56" s="305"/>
      <c r="O56" s="246"/>
      <c r="P56" s="246"/>
      <c r="Q56" s="246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250"/>
      <c r="AF56" s="255"/>
      <c r="AG56" s="246"/>
      <c r="AH56" s="246"/>
      <c r="AI56" s="237"/>
      <c r="AJ56" s="246"/>
      <c r="AK56" s="237"/>
    </row>
    <row r="57" spans="1:37" s="241" customFormat="1" ht="15" customHeight="1">
      <c r="A57" s="237"/>
      <c r="B57" s="256" t="s">
        <v>821</v>
      </c>
      <c r="C57" s="264">
        <v>-133.19999999999999</v>
      </c>
      <c r="D57" s="264">
        <v>-143.5</v>
      </c>
      <c r="E57" s="264">
        <v>34.5</v>
      </c>
      <c r="F57" s="264">
        <v>93.5</v>
      </c>
      <c r="G57" s="264">
        <v>339.2</v>
      </c>
      <c r="H57" s="264">
        <v>73.900000000000006</v>
      </c>
      <c r="I57" s="264">
        <v>-749</v>
      </c>
      <c r="J57" s="264">
        <v>406.9</v>
      </c>
      <c r="K57" s="264">
        <v>970.9</v>
      </c>
      <c r="L57" s="306">
        <v>-1317.3</v>
      </c>
      <c r="M57" s="264">
        <v>414.2</v>
      </c>
      <c r="N57" s="264">
        <v>246.2</v>
      </c>
      <c r="O57" s="257"/>
      <c r="P57" s="257"/>
      <c r="Q57" s="257"/>
      <c r="R57" s="315">
        <f t="shared" ref="R57:AC57" si="19">R64-R66</f>
        <v>396.71949847428209</v>
      </c>
      <c r="S57" s="315">
        <f t="shared" si="19"/>
        <v>0</v>
      </c>
      <c r="T57" s="315">
        <v>0</v>
      </c>
      <c r="U57" s="315">
        <f t="shared" si="19"/>
        <v>0</v>
      </c>
      <c r="V57" s="315">
        <f t="shared" si="19"/>
        <v>0</v>
      </c>
      <c r="W57" s="315">
        <f t="shared" si="19"/>
        <v>0</v>
      </c>
      <c r="X57" s="315">
        <f t="shared" si="19"/>
        <v>0</v>
      </c>
      <c r="Y57" s="315">
        <f t="shared" si="19"/>
        <v>0</v>
      </c>
      <c r="Z57" s="315">
        <f t="shared" si="19"/>
        <v>0</v>
      </c>
      <c r="AA57" s="315">
        <f t="shared" si="19"/>
        <v>0</v>
      </c>
      <c r="AB57" s="315">
        <f t="shared" si="19"/>
        <v>0</v>
      </c>
      <c r="AC57" s="315">
        <f t="shared" si="19"/>
        <v>0</v>
      </c>
      <c r="AD57" s="315">
        <f>SUM(R57:AC57)</f>
        <v>396.71949847428209</v>
      </c>
      <c r="AE57" s="239"/>
      <c r="AF57" s="233"/>
      <c r="AG57" s="239"/>
      <c r="AH57" s="239"/>
      <c r="AI57" s="237"/>
      <c r="AJ57" s="239"/>
      <c r="AK57" s="237"/>
    </row>
    <row r="58" spans="1:37" ht="15" customHeight="1">
      <c r="B58" s="236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spans="1:37" s="229" customFormat="1" ht="15" customHeight="1">
      <c r="B59" s="258" t="s">
        <v>822</v>
      </c>
      <c r="C59" s="300">
        <v>12508</v>
      </c>
      <c r="D59" s="294">
        <v>528</v>
      </c>
      <c r="E59" s="300">
        <v>-20370</v>
      </c>
      <c r="F59" s="300">
        <v>-3020</v>
      </c>
      <c r="G59" s="300">
        <v>3008</v>
      </c>
      <c r="H59" s="300">
        <v>-6622</v>
      </c>
      <c r="I59" s="300">
        <v>11470</v>
      </c>
      <c r="J59" s="300">
        <v>8084</v>
      </c>
      <c r="K59" s="300">
        <v>-8692</v>
      </c>
      <c r="L59" s="300">
        <v>7853</v>
      </c>
      <c r="M59" s="300">
        <v>9387</v>
      </c>
      <c r="N59" s="300">
        <v>58753</v>
      </c>
      <c r="R59" s="259">
        <f t="shared" ref="R59:AC59" si="20">R32+R34+R42+R44+R46+R48+R50+R55+R57</f>
        <v>-35890.004510428407</v>
      </c>
      <c r="S59" s="259">
        <f t="shared" si="20"/>
        <v>10224.2567805464</v>
      </c>
      <c r="T59" s="259">
        <f t="shared" si="20"/>
        <v>-16568.980000000003</v>
      </c>
      <c r="U59" s="259">
        <f t="shared" si="20"/>
        <v>5817.8158780604108</v>
      </c>
      <c r="V59" s="259">
        <f t="shared" si="20"/>
        <v>6904.8158780604108</v>
      </c>
      <c r="W59" s="259">
        <f t="shared" si="20"/>
        <v>-3266.8386572643158</v>
      </c>
      <c r="X59" s="259">
        <f t="shared" si="20"/>
        <v>28798.703001707985</v>
      </c>
      <c r="Y59" s="259">
        <f t="shared" si="20"/>
        <v>14572.455602127793</v>
      </c>
      <c r="Z59" s="259">
        <f t="shared" si="20"/>
        <v>3113.7676021277948</v>
      </c>
      <c r="AA59" s="259">
        <f t="shared" si="20"/>
        <v>14798.767602127795</v>
      </c>
      <c r="AB59" s="259">
        <f t="shared" si="20"/>
        <v>14798.767602127795</v>
      </c>
      <c r="AC59" s="259">
        <f t="shared" si="20"/>
        <v>57887.455602127797</v>
      </c>
      <c r="AD59" s="259">
        <f>SUM(R59:AC59)</f>
        <v>101190.98238132146</v>
      </c>
      <c r="AF59" s="259"/>
    </row>
    <row r="60" spans="1:37" s="260" customFormat="1">
      <c r="B60" s="261" t="s">
        <v>823</v>
      </c>
      <c r="C60" s="301">
        <v>12508</v>
      </c>
      <c r="D60" s="260">
        <v>528</v>
      </c>
      <c r="E60" s="301">
        <v>-20370</v>
      </c>
      <c r="F60" s="301">
        <v>-3020</v>
      </c>
      <c r="G60" s="301">
        <v>3008</v>
      </c>
      <c r="H60" s="301">
        <v>-6622</v>
      </c>
      <c r="I60" s="301">
        <v>11470</v>
      </c>
      <c r="J60" s="301">
        <v>8084</v>
      </c>
      <c r="K60" s="301">
        <v>-8692</v>
      </c>
      <c r="L60" s="301">
        <v>7853</v>
      </c>
      <c r="M60" s="301">
        <v>9387</v>
      </c>
      <c r="N60" s="301">
        <v>58753</v>
      </c>
      <c r="R60" s="262">
        <f>'[18]CF Statement | ACT'!AN90+'[18]CF Statement | ACT'!AN92-'[18]CF Statement | ACT'!AN99</f>
        <v>-35890</v>
      </c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3">
        <f>SUM(R60:AC60)</f>
        <v>-35890</v>
      </c>
      <c r="AF60" s="262"/>
    </row>
    <row r="61" spans="1:37" ht="15" customHeight="1"/>
    <row r="62" spans="1:37" s="264" customFormat="1" ht="15" customHeight="1" outlineLevel="1">
      <c r="B62" s="264" t="s">
        <v>824</v>
      </c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R62" s="265">
        <f t="shared" ref="R62:AC62" si="21">SUM(R63:R64)</f>
        <v>394.81949847428211</v>
      </c>
      <c r="S62" s="265">
        <f t="shared" si="21"/>
        <v>0</v>
      </c>
      <c r="T62" s="265">
        <f t="shared" si="21"/>
        <v>0</v>
      </c>
      <c r="U62" s="265">
        <f t="shared" si="21"/>
        <v>0</v>
      </c>
      <c r="V62" s="265">
        <f t="shared" si="21"/>
        <v>0</v>
      </c>
      <c r="W62" s="265">
        <f t="shared" si="21"/>
        <v>0</v>
      </c>
      <c r="X62" s="265">
        <f t="shared" si="21"/>
        <v>0</v>
      </c>
      <c r="Y62" s="265">
        <f t="shared" si="21"/>
        <v>0</v>
      </c>
      <c r="Z62" s="265">
        <f t="shared" si="21"/>
        <v>0</v>
      </c>
      <c r="AA62" s="265">
        <f t="shared" si="21"/>
        <v>0</v>
      </c>
      <c r="AB62" s="265">
        <f t="shared" si="21"/>
        <v>0</v>
      </c>
      <c r="AC62" s="265">
        <f t="shared" si="21"/>
        <v>0</v>
      </c>
      <c r="AD62" s="265">
        <f>SUM(AD63:AD64)</f>
        <v>0</v>
      </c>
      <c r="AF62" s="265"/>
    </row>
    <row r="63" spans="1:37" s="264" customFormat="1" ht="15" customHeight="1" outlineLevel="1">
      <c r="B63" s="266" t="s">
        <v>825</v>
      </c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R63" s="267">
        <f>[17]Summary!D266</f>
        <v>0</v>
      </c>
      <c r="S63" s="267">
        <f>[17]Summary!E263</f>
        <v>0</v>
      </c>
      <c r="T63" s="267">
        <f>[17]Summary!F263</f>
        <v>0</v>
      </c>
      <c r="U63" s="267">
        <f>[17]Summary!G263</f>
        <v>0</v>
      </c>
      <c r="V63" s="267">
        <f>[17]Summary!H263</f>
        <v>0</v>
      </c>
      <c r="W63" s="267">
        <f>[17]Summary!I263</f>
        <v>0</v>
      </c>
      <c r="X63" s="267">
        <f>[17]Summary!J263</f>
        <v>0</v>
      </c>
      <c r="Y63" s="267">
        <f>[17]Summary!K263</f>
        <v>0</v>
      </c>
      <c r="Z63" s="267">
        <f>[17]Summary!L263</f>
        <v>0</v>
      </c>
      <c r="AA63" s="267">
        <f>[17]Summary!M263</f>
        <v>0</v>
      </c>
      <c r="AB63" s="267">
        <f>[17]Summary!N263</f>
        <v>0</v>
      </c>
      <c r="AC63" s="267">
        <f>[17]Summary!O263</f>
        <v>0</v>
      </c>
      <c r="AD63" s="267">
        <f>SUM(R63:AC63)</f>
        <v>0</v>
      </c>
      <c r="AF63" s="267"/>
    </row>
    <row r="64" spans="1:37" s="264" customFormat="1" ht="15" customHeight="1" outlineLevel="1">
      <c r="B64" s="266" t="s">
        <v>826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R64" s="267">
        <f>[17]Summary!D264</f>
        <v>394.81949847428211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F64" s="267"/>
    </row>
    <row r="65" spans="2:34" outlineLevel="1"/>
    <row r="66" spans="2:34" s="264" customFormat="1" ht="15" customHeight="1" outlineLevel="1">
      <c r="B66" s="217" t="s">
        <v>827</v>
      </c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R66" s="268">
        <v>-1.9</v>
      </c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  <c r="AD66" s="268">
        <f>SUM(R66:AC66)</f>
        <v>-1.9</v>
      </c>
      <c r="AF66" s="268"/>
    </row>
    <row r="67" spans="2:34" s="264" customFormat="1" ht="15"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R67" s="269" t="s">
        <v>678</v>
      </c>
      <c r="S67" s="264" t="s">
        <v>679</v>
      </c>
      <c r="T67" s="264" t="s">
        <v>680</v>
      </c>
      <c r="U67" s="264" t="s">
        <v>681</v>
      </c>
      <c r="V67" s="264" t="s">
        <v>682</v>
      </c>
      <c r="W67" s="264" t="s">
        <v>683</v>
      </c>
      <c r="X67" s="264" t="s">
        <v>684</v>
      </c>
      <c r="Y67" s="264" t="s">
        <v>685</v>
      </c>
      <c r="Z67" s="264" t="s">
        <v>686</v>
      </c>
      <c r="AA67" s="264" t="s">
        <v>687</v>
      </c>
      <c r="AB67" s="264" t="s">
        <v>688</v>
      </c>
      <c r="AC67" s="264" t="s">
        <v>689</v>
      </c>
    </row>
    <row r="68" spans="2:34" s="264" customFormat="1" ht="15"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R68" s="269"/>
    </row>
    <row r="69" spans="2:34">
      <c r="B69" s="211" t="s">
        <v>728</v>
      </c>
      <c r="R69" s="272">
        <f>'teste v3'!B4-35890000</f>
        <v>103442657.02696273</v>
      </c>
      <c r="S69" s="272">
        <f>R69-1472000</f>
        <v>101970657.02696273</v>
      </c>
      <c r="T69" s="271">
        <f>S69-35000000</f>
        <v>66970657.026962727</v>
      </c>
      <c r="U69" s="271">
        <f>T69-3600000</f>
        <v>63370657.026962727</v>
      </c>
      <c r="V69" s="271">
        <f>U69-1100000</f>
        <v>62270657.026962727</v>
      </c>
      <c r="W69" s="271">
        <f>V69-10140000</f>
        <v>52130657.026962727</v>
      </c>
    </row>
    <row r="70" spans="2:34">
      <c r="B70" s="211" t="s">
        <v>722</v>
      </c>
      <c r="R70" s="270">
        <v>-35890000</v>
      </c>
      <c r="S70" s="270">
        <v>-1472000</v>
      </c>
      <c r="T70" s="270">
        <v>-35304000</v>
      </c>
      <c r="U70" s="270">
        <v>-3687000</v>
      </c>
      <c r="V70" s="270">
        <v>-1187000</v>
      </c>
      <c r="W70" s="270">
        <v>-10140000</v>
      </c>
      <c r="X70" s="270">
        <f t="shared" ref="X70:AC70" si="22">X59</f>
        <v>28798.703001707985</v>
      </c>
      <c r="Y70" s="270">
        <f t="shared" si="22"/>
        <v>14572.455602127793</v>
      </c>
      <c r="Z70" s="270">
        <f t="shared" si="22"/>
        <v>3113.7676021277948</v>
      </c>
      <c r="AA70" s="270">
        <f t="shared" si="22"/>
        <v>14798.767602127795</v>
      </c>
      <c r="AB70" s="270">
        <f t="shared" si="22"/>
        <v>14798.767602127795</v>
      </c>
      <c r="AC70" s="270">
        <f t="shared" si="22"/>
        <v>57887.455602127797</v>
      </c>
    </row>
    <row r="71" spans="2:34">
      <c r="B71" s="211" t="s">
        <v>723</v>
      </c>
      <c r="R71" s="275">
        <f t="shared" ref="R71:W71" si="23">R17/0.001</f>
        <v>62034349.524800926</v>
      </c>
      <c r="S71" s="270">
        <f t="shared" si="23"/>
        <v>57748300</v>
      </c>
      <c r="T71" s="270">
        <f t="shared" si="23"/>
        <v>39729400</v>
      </c>
      <c r="U71" s="270">
        <f t="shared" si="23"/>
        <v>39500000</v>
      </c>
      <c r="V71" s="270">
        <f t="shared" si="23"/>
        <v>41500000</v>
      </c>
      <c r="W71" s="270">
        <f t="shared" si="23"/>
        <v>42500000</v>
      </c>
    </row>
    <row r="72" spans="2:34">
      <c r="B72" s="211" t="s">
        <v>724</v>
      </c>
      <c r="R72" s="271">
        <f>R21+R28+R30+R34+R48+R50+R52+R55</f>
        <v>-98378.785138287174</v>
      </c>
      <c r="S72" s="273">
        <f t="shared" ref="S72:W72" si="24">S21+S28+S30+S34+S48+S50+S52+S55</f>
        <v>-47524.043219453612</v>
      </c>
      <c r="T72" s="273">
        <f t="shared" si="24"/>
        <v>-43613.380000000005</v>
      </c>
      <c r="U72" s="273">
        <f t="shared" si="24"/>
        <v>-33682.184121939594</v>
      </c>
      <c r="V72" s="273">
        <f t="shared" si="24"/>
        <v>-34595.184121939594</v>
      </c>
      <c r="W72" s="273">
        <f t="shared" si="24"/>
        <v>-33081.838657264321</v>
      </c>
    </row>
    <row r="73" spans="2:34">
      <c r="B73" s="211" t="s">
        <v>724</v>
      </c>
      <c r="R73" s="271">
        <f>R72*1000</f>
        <v>-98378785.138287172</v>
      </c>
      <c r="S73" s="271">
        <f t="shared" ref="S73:W73" si="25">S72*1000</f>
        <v>-47524043.21945361</v>
      </c>
      <c r="T73" s="271">
        <f t="shared" si="25"/>
        <v>-43613380.000000007</v>
      </c>
      <c r="U73" s="271">
        <f t="shared" si="25"/>
        <v>-33682184.121939592</v>
      </c>
      <c r="V73" s="271">
        <f t="shared" si="25"/>
        <v>-34595184.121939592</v>
      </c>
      <c r="W73" s="271">
        <f t="shared" si="25"/>
        <v>-33081838.657264322</v>
      </c>
    </row>
    <row r="74" spans="2:34" ht="15">
      <c r="Z74" s="211" t="s">
        <v>828</v>
      </c>
      <c r="AA74" s="211" t="s">
        <v>829</v>
      </c>
      <c r="AB74" s="211" t="s">
        <v>830</v>
      </c>
      <c r="AC74" s="211" t="s">
        <v>831</v>
      </c>
      <c r="AD74" s="211" t="s">
        <v>832</v>
      </c>
      <c r="AF74" s="264" t="s">
        <v>828</v>
      </c>
      <c r="AG74" s="211" t="s">
        <v>264</v>
      </c>
      <c r="AH74" s="211" t="s">
        <v>833</v>
      </c>
    </row>
    <row r="75" spans="2:34">
      <c r="Z75" s="211" t="s">
        <v>678</v>
      </c>
      <c r="AA75" s="274">
        <f>R71</f>
        <v>62034349.524800926</v>
      </c>
      <c r="AB75" s="274">
        <f>-R73</f>
        <v>98378785.138287172</v>
      </c>
      <c r="AC75" s="274">
        <f>R70</f>
        <v>-35890000</v>
      </c>
      <c r="AD75" s="289">
        <f>FINAL!$G$80+'Cashflow 2025'!AA75-'Cashflow 2025'!AB75</f>
        <v>102988221.41347648</v>
      </c>
      <c r="AF75" s="211" t="s">
        <v>678</v>
      </c>
      <c r="AG75" s="290" t="s">
        <v>834</v>
      </c>
      <c r="AH75" s="211" t="s">
        <v>835</v>
      </c>
    </row>
    <row r="76" spans="2:34">
      <c r="Y76" s="270"/>
      <c r="Z76" s="211" t="s">
        <v>679</v>
      </c>
      <c r="AA76" s="274">
        <f>S71</f>
        <v>57748300</v>
      </c>
      <c r="AB76" s="274">
        <f>-S73</f>
        <v>47524043.21945361</v>
      </c>
      <c r="AC76" s="274">
        <f>S70</f>
        <v>-1472000</v>
      </c>
      <c r="AD76" s="289">
        <f>FINAL!$G$81+'Cashflow 2025'!AA76-'Cashflow 2025'!AB76</f>
        <v>113056931.98950863</v>
      </c>
      <c r="AF76" s="211" t="s">
        <v>679</v>
      </c>
      <c r="AG76" s="290" t="s">
        <v>836</v>
      </c>
      <c r="AH76" s="211" t="s">
        <v>837</v>
      </c>
    </row>
    <row r="77" spans="2:34">
      <c r="Y77" s="270"/>
      <c r="Z77" s="211" t="s">
        <v>680</v>
      </c>
      <c r="AA77" s="274">
        <f>T71</f>
        <v>39729400</v>
      </c>
      <c r="AB77" s="274">
        <f>-T73</f>
        <v>43613380.000000007</v>
      </c>
      <c r="AC77" s="274">
        <f>T70</f>
        <v>-35304000</v>
      </c>
      <c r="AD77" s="289">
        <f>FINAL!$G$82+'Cashflow 2025'!AA77-'Cashflow 2025'!AB77</f>
        <v>93078045.517184228</v>
      </c>
      <c r="AF77" s="211" t="s">
        <v>680</v>
      </c>
    </row>
    <row r="78" spans="2:34">
      <c r="Z78" s="211" t="s">
        <v>681</v>
      </c>
      <c r="AA78" s="274">
        <f>U71</f>
        <v>39500000</v>
      </c>
      <c r="AB78" s="274">
        <f>-U73</f>
        <v>33682184.121939592</v>
      </c>
      <c r="AC78" s="274">
        <f>U70</f>
        <v>-3687000</v>
      </c>
      <c r="AD78" s="289">
        <f>FINAL!$G$80+'Cashflow 2025'!AA78-'Cashflow 2025'!AB78</f>
        <v>145150472.90502313</v>
      </c>
      <c r="AF78" s="211" t="s">
        <v>681</v>
      </c>
    </row>
    <row r="79" spans="2:34">
      <c r="Z79" s="211" t="s">
        <v>682</v>
      </c>
      <c r="AA79" s="274">
        <f>V71</f>
        <v>41500000</v>
      </c>
      <c r="AB79" s="274">
        <f>-V73</f>
        <v>34595184.121939592</v>
      </c>
      <c r="AC79" s="274">
        <f>V70</f>
        <v>-1187000</v>
      </c>
      <c r="AD79" s="289">
        <f>FINAL!$G$80+'Cashflow 2025'!AA79-'Cashflow 2025'!AB79</f>
        <v>146237472.90502313</v>
      </c>
      <c r="AF79" s="211" t="s">
        <v>682</v>
      </c>
    </row>
    <row r="80" spans="2:34">
      <c r="Z80" s="211" t="s">
        <v>683</v>
      </c>
      <c r="AA80" s="274">
        <f>W71</f>
        <v>42500000</v>
      </c>
      <c r="AB80" s="274">
        <f>-W73</f>
        <v>33081838.657264322</v>
      </c>
      <c r="AC80" s="274">
        <f>W70</f>
        <v>-10140000</v>
      </c>
      <c r="AD80" s="289">
        <f>FINAL!$G$80+'Cashflow 2025'!AA80-'Cashflow 2025'!AB80</f>
        <v>148750818.36969841</v>
      </c>
      <c r="AF80" s="211" t="s">
        <v>683</v>
      </c>
    </row>
    <row r="81" spans="27:27">
      <c r="AA81" s="275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L2:V56"/>
  <sheetViews>
    <sheetView topLeftCell="B24" zoomScale="115" zoomScaleNormal="115" workbookViewId="0">
      <selection activeCell="T29" sqref="T29:T30"/>
    </sheetView>
  </sheetViews>
  <sheetFormatPr defaultRowHeight="14.25"/>
  <cols>
    <col min="3" max="3" width="10.42578125" bestFit="1" customWidth="1"/>
    <col min="4" max="4" width="12.42578125" bestFit="1" customWidth="1"/>
    <col min="5" max="5" width="13.42578125" bestFit="1" customWidth="1"/>
    <col min="6" max="6" width="12.5703125" bestFit="1" customWidth="1"/>
    <col min="7" max="7" width="8" bestFit="1" customWidth="1"/>
    <col min="12" max="12" width="11.42578125" bestFit="1" customWidth="1"/>
    <col min="13" max="13" width="5.5703125" bestFit="1" customWidth="1"/>
    <col min="17" max="17" width="17.5703125" customWidth="1"/>
    <col min="18" max="18" width="24" customWidth="1"/>
    <col min="19" max="19" width="20.140625" style="139" customWidth="1"/>
    <col min="20" max="20" width="8.7109375" bestFit="1" customWidth="1"/>
    <col min="21" max="22" width="13.28515625" bestFit="1" customWidth="1"/>
  </cols>
  <sheetData>
    <row r="2" spans="12:22" ht="15" thickBot="1"/>
    <row r="3" spans="12:22">
      <c r="Q3" s="185" t="s">
        <v>477</v>
      </c>
      <c r="R3" s="162" t="s">
        <v>707</v>
      </c>
      <c r="S3" s="162" t="s">
        <v>838</v>
      </c>
      <c r="T3" s="162" t="s">
        <v>839</v>
      </c>
    </row>
    <row r="4" spans="12:22">
      <c r="L4" t="s">
        <v>736</v>
      </c>
      <c r="Q4" s="156" t="s">
        <v>840</v>
      </c>
      <c r="R4" s="330">
        <v>1600000</v>
      </c>
      <c r="S4" s="331">
        <v>1338869</v>
      </c>
      <c r="T4" s="157">
        <f>S4/R4</f>
        <v>0.83679312500000003</v>
      </c>
      <c r="U4" s="276">
        <f>R4/1000</f>
        <v>1600</v>
      </c>
      <c r="V4" s="276">
        <f t="shared" ref="V4:V28" si="0">S4/1000</f>
        <v>1338.8689999999999</v>
      </c>
    </row>
    <row r="5" spans="12:22" ht="15">
      <c r="L5" s="151" t="s">
        <v>841</v>
      </c>
      <c r="M5" s="151" t="s">
        <v>842</v>
      </c>
      <c r="Q5" s="158" t="s">
        <v>843</v>
      </c>
      <c r="R5" s="330">
        <v>5200000</v>
      </c>
      <c r="S5" s="331">
        <v>5063195</v>
      </c>
      <c r="T5" s="157">
        <f t="shared" ref="T5:T30" si="1">S5/R5</f>
        <v>0.97369134615384612</v>
      </c>
      <c r="U5" s="276">
        <f t="shared" ref="U5:U28" si="2">R5/1000</f>
        <v>5200</v>
      </c>
      <c r="V5" s="276">
        <f t="shared" si="0"/>
        <v>5063.1949999999997</v>
      </c>
    </row>
    <row r="6" spans="12:22">
      <c r="L6" s="152" t="s">
        <v>844</v>
      </c>
      <c r="M6" s="154">
        <f>'Information to feed dash'!I20</f>
        <v>0.93</v>
      </c>
      <c r="N6" s="143"/>
      <c r="Q6" s="158" t="s">
        <v>845</v>
      </c>
      <c r="R6" s="330">
        <v>1000000</v>
      </c>
      <c r="S6" s="331">
        <v>2144189</v>
      </c>
      <c r="T6" s="157">
        <f t="shared" si="1"/>
        <v>2.1441889999999999</v>
      </c>
      <c r="U6" s="276">
        <f t="shared" si="2"/>
        <v>1000</v>
      </c>
      <c r="V6" s="276">
        <f t="shared" si="0"/>
        <v>2144.1889999999999</v>
      </c>
    </row>
    <row r="7" spans="12:22">
      <c r="L7" s="152" t="s">
        <v>846</v>
      </c>
      <c r="M7" s="154">
        <f>1-M6</f>
        <v>6.9999999999999951E-2</v>
      </c>
      <c r="N7" s="143"/>
      <c r="Q7" s="158" t="s">
        <v>847</v>
      </c>
      <c r="R7" s="330">
        <v>573000</v>
      </c>
      <c r="S7" s="331">
        <v>549731</v>
      </c>
      <c r="T7" s="157">
        <f t="shared" si="1"/>
        <v>0.95939092495637002</v>
      </c>
      <c r="U7" s="276">
        <f t="shared" si="2"/>
        <v>573</v>
      </c>
      <c r="V7" s="276">
        <f t="shared" si="0"/>
        <v>549.73099999999999</v>
      </c>
    </row>
    <row r="8" spans="12:22">
      <c r="L8" s="152" t="s">
        <v>848</v>
      </c>
      <c r="M8" s="154">
        <v>1</v>
      </c>
      <c r="N8" s="143"/>
      <c r="Q8" s="158" t="s">
        <v>849</v>
      </c>
      <c r="R8" s="330">
        <v>1138000</v>
      </c>
      <c r="S8" s="331">
        <v>1424908</v>
      </c>
      <c r="T8" s="157">
        <f t="shared" si="1"/>
        <v>1.2521159929701231</v>
      </c>
      <c r="U8" s="276">
        <f t="shared" si="2"/>
        <v>1138</v>
      </c>
      <c r="V8" s="276">
        <f t="shared" si="0"/>
        <v>1424.9079999999999</v>
      </c>
    </row>
    <row r="9" spans="12:22">
      <c r="L9" s="152"/>
      <c r="M9" s="153">
        <f>SUM(M6:M8)</f>
        <v>2</v>
      </c>
      <c r="Q9" s="158" t="s">
        <v>850</v>
      </c>
      <c r="R9" s="330">
        <v>13000000</v>
      </c>
      <c r="S9" s="331">
        <v>7559525</v>
      </c>
      <c r="T9" s="157">
        <f t="shared" si="1"/>
        <v>0.58150192307692306</v>
      </c>
      <c r="U9" s="276">
        <f t="shared" si="2"/>
        <v>13000</v>
      </c>
      <c r="V9" s="276">
        <f t="shared" si="0"/>
        <v>7559.5249999999996</v>
      </c>
    </row>
    <row r="10" spans="12:22">
      <c r="L10" s="152"/>
      <c r="M10" s="152"/>
      <c r="Q10" s="158" t="s">
        <v>851</v>
      </c>
      <c r="R10" s="330">
        <v>394000</v>
      </c>
      <c r="S10" s="331">
        <v>370739</v>
      </c>
      <c r="T10" s="157">
        <f t="shared" si="1"/>
        <v>0.94096192893401021</v>
      </c>
      <c r="U10" s="276">
        <f t="shared" si="2"/>
        <v>394</v>
      </c>
      <c r="V10" s="276">
        <f t="shared" si="0"/>
        <v>370.73899999999998</v>
      </c>
    </row>
    <row r="11" spans="12:22">
      <c r="Q11" s="158" t="s">
        <v>852</v>
      </c>
      <c r="R11" s="330">
        <v>0</v>
      </c>
      <c r="S11" s="331">
        <v>35661</v>
      </c>
      <c r="T11" s="157" t="e">
        <f t="shared" si="1"/>
        <v>#DIV/0!</v>
      </c>
      <c r="U11" s="276">
        <f t="shared" si="2"/>
        <v>0</v>
      </c>
      <c r="V11" s="276">
        <f t="shared" si="0"/>
        <v>35.661000000000001</v>
      </c>
    </row>
    <row r="12" spans="12:22">
      <c r="Q12" s="158" t="s">
        <v>853</v>
      </c>
      <c r="R12" s="330">
        <v>2000000</v>
      </c>
      <c r="S12" s="331">
        <v>1756574</v>
      </c>
      <c r="T12" s="157">
        <f t="shared" si="1"/>
        <v>0.87828700000000004</v>
      </c>
      <c r="U12" s="276">
        <f t="shared" si="2"/>
        <v>2000</v>
      </c>
      <c r="V12" s="276">
        <f t="shared" si="0"/>
        <v>1756.5740000000001</v>
      </c>
    </row>
    <row r="13" spans="12:22">
      <c r="Q13" s="158" t="s">
        <v>854</v>
      </c>
      <c r="R13" s="330">
        <v>590000</v>
      </c>
      <c r="S13" s="331">
        <v>419223</v>
      </c>
      <c r="T13" s="157">
        <f t="shared" si="1"/>
        <v>0.71054745762711868</v>
      </c>
      <c r="U13" s="276">
        <f t="shared" si="2"/>
        <v>590</v>
      </c>
      <c r="V13" s="276">
        <f t="shared" si="0"/>
        <v>419.22300000000001</v>
      </c>
    </row>
    <row r="14" spans="12:22">
      <c r="Q14" s="158" t="s">
        <v>855</v>
      </c>
      <c r="R14" s="330">
        <v>415000</v>
      </c>
      <c r="S14" s="331">
        <v>542672</v>
      </c>
      <c r="T14" s="157">
        <f t="shared" si="1"/>
        <v>1.3076433734939759</v>
      </c>
      <c r="U14" s="276">
        <f t="shared" si="2"/>
        <v>415</v>
      </c>
      <c r="V14" s="276">
        <f t="shared" si="0"/>
        <v>542.67200000000003</v>
      </c>
    </row>
    <row r="15" spans="12:22">
      <c r="Q15" s="158" t="s">
        <v>856</v>
      </c>
      <c r="R15" s="330">
        <v>1400000</v>
      </c>
      <c r="S15" s="331">
        <v>1257746</v>
      </c>
      <c r="T15" s="157">
        <f t="shared" si="1"/>
        <v>0.89839000000000002</v>
      </c>
      <c r="U15" s="276">
        <f t="shared" si="2"/>
        <v>1400</v>
      </c>
      <c r="V15" s="276">
        <f t="shared" si="0"/>
        <v>1257.7460000000001</v>
      </c>
    </row>
    <row r="16" spans="12:22">
      <c r="Q16" s="158" t="s">
        <v>857</v>
      </c>
      <c r="R16" s="330">
        <v>210000</v>
      </c>
      <c r="S16" s="331">
        <v>209576</v>
      </c>
      <c r="T16" s="157"/>
      <c r="U16" s="276">
        <f t="shared" si="2"/>
        <v>210</v>
      </c>
      <c r="V16" s="276">
        <f t="shared" si="0"/>
        <v>209.57599999999999</v>
      </c>
    </row>
    <row r="17" spans="12:22">
      <c r="Q17" s="158" t="s">
        <v>858</v>
      </c>
      <c r="R17" s="330">
        <v>344000</v>
      </c>
      <c r="S17" s="331">
        <v>281935</v>
      </c>
      <c r="T17" s="157">
        <f t="shared" si="1"/>
        <v>0.81957848837209302</v>
      </c>
      <c r="U17" s="276">
        <f t="shared" si="2"/>
        <v>344</v>
      </c>
      <c r="V17" s="276">
        <f t="shared" si="0"/>
        <v>281.935</v>
      </c>
    </row>
    <row r="18" spans="12:22">
      <c r="Q18" s="158" t="s">
        <v>859</v>
      </c>
      <c r="R18" s="330">
        <v>800000</v>
      </c>
      <c r="S18" s="331">
        <v>942734</v>
      </c>
      <c r="T18" s="157">
        <f t="shared" si="1"/>
        <v>1.1784174999999999</v>
      </c>
      <c r="U18" s="276">
        <f t="shared" si="2"/>
        <v>800</v>
      </c>
      <c r="V18" s="276">
        <f t="shared" si="0"/>
        <v>942.73400000000004</v>
      </c>
    </row>
    <row r="19" spans="12:22">
      <c r="Q19" s="158" t="s">
        <v>860</v>
      </c>
      <c r="R19" s="330">
        <v>54000</v>
      </c>
      <c r="S19" s="331">
        <v>97793</v>
      </c>
      <c r="T19" s="157">
        <f t="shared" si="1"/>
        <v>1.8109814814814815</v>
      </c>
      <c r="U19" s="276">
        <f t="shared" si="2"/>
        <v>54</v>
      </c>
      <c r="V19" s="276">
        <f t="shared" si="0"/>
        <v>97.793000000000006</v>
      </c>
    </row>
    <row r="20" spans="12:22">
      <c r="Q20" s="158" t="s">
        <v>861</v>
      </c>
      <c r="R20" s="330">
        <v>0</v>
      </c>
      <c r="S20" s="331">
        <v>0</v>
      </c>
      <c r="T20" s="157"/>
      <c r="U20" s="276">
        <f t="shared" si="2"/>
        <v>0</v>
      </c>
      <c r="V20" s="276">
        <f t="shared" si="0"/>
        <v>0</v>
      </c>
    </row>
    <row r="21" spans="12:22">
      <c r="L21" t="s">
        <v>862</v>
      </c>
      <c r="Q21" s="158" t="s">
        <v>863</v>
      </c>
      <c r="R21" s="330">
        <v>210000</v>
      </c>
      <c r="S21" s="331">
        <v>72076</v>
      </c>
      <c r="T21" s="157">
        <f t="shared" si="1"/>
        <v>0.34321904761904765</v>
      </c>
      <c r="U21" s="276">
        <f t="shared" si="2"/>
        <v>210</v>
      </c>
      <c r="V21" s="276">
        <f t="shared" si="0"/>
        <v>72.075999999999993</v>
      </c>
    </row>
    <row r="22" spans="12:22" ht="15">
      <c r="L22" s="151" t="s">
        <v>841</v>
      </c>
      <c r="M22" s="151" t="s">
        <v>842</v>
      </c>
      <c r="Q22" s="158" t="s">
        <v>864</v>
      </c>
      <c r="R22" s="330">
        <v>172000</v>
      </c>
      <c r="S22" s="331">
        <v>37802</v>
      </c>
      <c r="T22" s="157"/>
      <c r="U22" s="276">
        <f t="shared" si="2"/>
        <v>172</v>
      </c>
      <c r="V22" s="276">
        <f t="shared" si="0"/>
        <v>37.802</v>
      </c>
    </row>
    <row r="23" spans="12:22">
      <c r="L23" s="152" t="s">
        <v>844</v>
      </c>
      <c r="M23" s="154">
        <f>'Information to feed dash'!I21</f>
        <v>1.23</v>
      </c>
      <c r="Q23" s="158" t="s">
        <v>865</v>
      </c>
      <c r="R23" s="330">
        <v>250000</v>
      </c>
      <c r="S23" s="331">
        <v>207955</v>
      </c>
      <c r="T23" s="157">
        <f t="shared" si="1"/>
        <v>0.83182</v>
      </c>
      <c r="U23" s="276">
        <f t="shared" si="2"/>
        <v>250</v>
      </c>
      <c r="V23" s="276">
        <f t="shared" si="0"/>
        <v>207.95500000000001</v>
      </c>
    </row>
    <row r="24" spans="12:22">
      <c r="L24" s="152" t="s">
        <v>846</v>
      </c>
      <c r="M24" s="154">
        <f>1-M23</f>
        <v>-0.22999999999999998</v>
      </c>
      <c r="Q24" s="158" t="s">
        <v>866</v>
      </c>
      <c r="R24" s="330">
        <v>218000</v>
      </c>
      <c r="S24" s="331">
        <v>206760</v>
      </c>
      <c r="T24" s="157">
        <f t="shared" si="1"/>
        <v>0.94844036697247702</v>
      </c>
      <c r="U24" s="276">
        <f t="shared" si="2"/>
        <v>218</v>
      </c>
      <c r="V24" s="276">
        <f t="shared" si="0"/>
        <v>206.76</v>
      </c>
    </row>
    <row r="25" spans="12:22">
      <c r="L25" s="152" t="s">
        <v>848</v>
      </c>
      <c r="M25" s="154">
        <v>1</v>
      </c>
      <c r="Q25" s="158" t="s">
        <v>867</v>
      </c>
      <c r="R25" s="330">
        <v>0</v>
      </c>
      <c r="S25" s="331">
        <v>0</v>
      </c>
      <c r="T25" s="157"/>
      <c r="U25" s="276">
        <f t="shared" si="2"/>
        <v>0</v>
      </c>
      <c r="V25" s="276">
        <f t="shared" si="0"/>
        <v>0</v>
      </c>
    </row>
    <row r="26" spans="12:22">
      <c r="L26" s="152"/>
      <c r="M26" s="153">
        <f>SUM(M23:M25)</f>
        <v>2</v>
      </c>
      <c r="Q26" s="158" t="s">
        <v>868</v>
      </c>
      <c r="R26" s="330">
        <v>300000</v>
      </c>
      <c r="S26" s="331">
        <v>132369</v>
      </c>
      <c r="T26" s="157">
        <f t="shared" si="1"/>
        <v>0.44123000000000001</v>
      </c>
      <c r="U26" s="276">
        <f t="shared" si="2"/>
        <v>300</v>
      </c>
      <c r="V26" s="276">
        <f t="shared" si="0"/>
        <v>132.369</v>
      </c>
    </row>
    <row r="27" spans="12:22">
      <c r="L27" s="152" t="s">
        <v>869</v>
      </c>
      <c r="Q27" s="158" t="s">
        <v>870</v>
      </c>
      <c r="R27" s="330">
        <v>1400000</v>
      </c>
      <c r="S27" s="331">
        <v>622993</v>
      </c>
      <c r="T27" s="157">
        <f t="shared" si="1"/>
        <v>0.44499499999999997</v>
      </c>
      <c r="U27" s="276">
        <f t="shared" si="2"/>
        <v>1400</v>
      </c>
      <c r="V27" s="276">
        <f t="shared" si="0"/>
        <v>622.99300000000005</v>
      </c>
    </row>
    <row r="28" spans="12:22" ht="15">
      <c r="L28" s="151" t="s">
        <v>841</v>
      </c>
      <c r="M28" s="151" t="s">
        <v>842</v>
      </c>
      <c r="Q28" s="158" t="s">
        <v>871</v>
      </c>
      <c r="R28" s="330">
        <v>21000</v>
      </c>
      <c r="S28" s="331">
        <v>25315</v>
      </c>
      <c r="T28" s="157">
        <f t="shared" si="1"/>
        <v>1.2054761904761904</v>
      </c>
      <c r="U28" s="276">
        <f t="shared" si="2"/>
        <v>21</v>
      </c>
      <c r="V28" s="276">
        <f t="shared" si="0"/>
        <v>25.315000000000001</v>
      </c>
    </row>
    <row r="29" spans="12:22">
      <c r="L29" s="152" t="s">
        <v>844</v>
      </c>
      <c r="M29" s="154">
        <f>'Information to feed dash'!I22</f>
        <v>0.94</v>
      </c>
      <c r="Q29" s="158" t="s">
        <v>872</v>
      </c>
      <c r="R29" s="330">
        <v>1250000</v>
      </c>
      <c r="S29" s="331">
        <v>1110981</v>
      </c>
      <c r="T29" s="157">
        <f t="shared" si="1"/>
        <v>0.88878480000000004</v>
      </c>
      <c r="U29" s="276">
        <f>R29/1000</f>
        <v>1250</v>
      </c>
      <c r="V29" s="276">
        <f>S29/1000</f>
        <v>1110.981</v>
      </c>
    </row>
    <row r="30" spans="12:22" ht="15">
      <c r="L30" s="152" t="s">
        <v>846</v>
      </c>
      <c r="M30" s="154">
        <f>1-M29</f>
        <v>6.0000000000000053E-2</v>
      </c>
      <c r="Q30" s="159" t="s">
        <v>281</v>
      </c>
      <c r="R30" s="330">
        <v>32539000</v>
      </c>
      <c r="S30" s="330">
        <v>26411322</v>
      </c>
      <c r="T30" s="157">
        <f t="shared" si="1"/>
        <v>0.8116820430867574</v>
      </c>
    </row>
    <row r="31" spans="12:22">
      <c r="L31" s="152" t="s">
        <v>848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873</v>
      </c>
    </row>
    <row r="34" spans="12:13" ht="15">
      <c r="L34" s="151" t="s">
        <v>841</v>
      </c>
      <c r="M34" s="151" t="s">
        <v>842</v>
      </c>
    </row>
    <row r="35" spans="12:13">
      <c r="L35" s="152" t="s">
        <v>844</v>
      </c>
      <c r="M35" s="154">
        <f>'Information to feed dash'!I23</f>
        <v>0.86</v>
      </c>
    </row>
    <row r="36" spans="12:13">
      <c r="L36" s="152" t="s">
        <v>846</v>
      </c>
      <c r="M36" s="154">
        <f>1-M35</f>
        <v>0.14000000000000001</v>
      </c>
    </row>
    <row r="37" spans="12:13">
      <c r="L37" s="152" t="s">
        <v>848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752</v>
      </c>
    </row>
    <row r="40" spans="12:13" ht="15">
      <c r="L40" s="151" t="s">
        <v>841</v>
      </c>
      <c r="M40" s="151" t="s">
        <v>842</v>
      </c>
    </row>
    <row r="41" spans="12:13">
      <c r="L41" s="152" t="s">
        <v>844</v>
      </c>
      <c r="M41" s="154">
        <f>'Information to feed dash'!I24</f>
        <v>1.03</v>
      </c>
    </row>
    <row r="42" spans="12:13">
      <c r="L42" s="152" t="s">
        <v>846</v>
      </c>
      <c r="M42" s="154">
        <f>1-M41</f>
        <v>-3.0000000000000027E-2</v>
      </c>
    </row>
    <row r="43" spans="12:13">
      <c r="L43" s="152" t="s">
        <v>848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756</v>
      </c>
    </row>
    <row r="46" spans="12:13" ht="15">
      <c r="L46" s="151" t="s">
        <v>841</v>
      </c>
      <c r="M46" s="151" t="s">
        <v>842</v>
      </c>
    </row>
    <row r="47" spans="12:13">
      <c r="L47" s="152" t="s">
        <v>844</v>
      </c>
      <c r="M47" s="154">
        <f>'Information to feed dash'!I25</f>
        <v>1.01</v>
      </c>
    </row>
    <row r="48" spans="12:13">
      <c r="L48" s="152" t="s">
        <v>846</v>
      </c>
      <c r="M48" s="154">
        <f>1-M47</f>
        <v>-1.0000000000000009E-2</v>
      </c>
    </row>
    <row r="49" spans="12:13">
      <c r="L49" s="152" t="s">
        <v>848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760</v>
      </c>
    </row>
    <row r="52" spans="12:13" ht="15">
      <c r="L52" s="151" t="s">
        <v>841</v>
      </c>
      <c r="M52" s="151" t="s">
        <v>842</v>
      </c>
    </row>
    <row r="53" spans="12:13">
      <c r="L53" s="152" t="s">
        <v>844</v>
      </c>
      <c r="M53" s="154">
        <f>'Information to feed dash'!I26</f>
        <v>0.57999999999999996</v>
      </c>
    </row>
    <row r="54" spans="12:13">
      <c r="L54" s="152" t="s">
        <v>846</v>
      </c>
      <c r="M54" s="154">
        <f>1-M53</f>
        <v>0.42000000000000004</v>
      </c>
    </row>
    <row r="55" spans="12:13">
      <c r="L55" s="152" t="s">
        <v>848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L119"/>
  <sheetViews>
    <sheetView showGridLines="0" workbookViewId="0">
      <selection activeCell="K35" sqref="K35"/>
    </sheetView>
  </sheetViews>
  <sheetFormatPr defaultRowHeight="14.25"/>
  <cols>
    <col min="2" max="2" width="7.7109375" customWidth="1"/>
    <col min="3" max="3" width="8.140625" customWidth="1"/>
    <col min="4" max="4" width="21" bestFit="1" customWidth="1"/>
    <col min="5" max="5" width="5" customWidth="1"/>
    <col min="6" max="6" width="22.140625" customWidth="1"/>
    <col min="7" max="7" width="12.5703125" customWidth="1"/>
    <col min="8" max="8" width="5.42578125" customWidth="1"/>
    <col min="9" max="9" width="9.42578125" customWidth="1"/>
    <col min="10" max="10" width="15.85546875" customWidth="1"/>
    <col min="11" max="11" width="15.42578125" customWidth="1"/>
    <col min="12" max="12" width="9.85546875" bestFit="1" customWidth="1"/>
    <col min="13" max="13" width="8" customWidth="1"/>
    <col min="14" max="14" width="14" customWidth="1"/>
    <col min="16" max="16" width="15.7109375" customWidth="1"/>
    <col min="17" max="17" width="12.42578125" style="12" customWidth="1"/>
    <col min="18" max="18" width="15.7109375" customWidth="1"/>
    <col min="19" max="19" width="9.7109375" style="12" customWidth="1"/>
    <col min="20" max="20" width="16.85546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6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72" t="s">
        <v>874</v>
      </c>
      <c r="C2" s="773"/>
      <c r="D2" s="773"/>
      <c r="E2" s="773"/>
      <c r="F2" s="773"/>
      <c r="G2" s="773"/>
      <c r="H2" s="773"/>
      <c r="I2" s="773"/>
      <c r="J2" s="773"/>
      <c r="K2" s="773"/>
      <c r="L2" s="773"/>
      <c r="M2" s="773"/>
      <c r="N2" s="774"/>
      <c r="O2" s="340"/>
      <c r="P2" s="199"/>
      <c r="Q2" s="199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77" t="s">
        <v>875</v>
      </c>
      <c r="C3" s="778"/>
      <c r="D3" s="778"/>
      <c r="E3" s="779"/>
      <c r="F3" s="336"/>
      <c r="G3" s="10"/>
      <c r="H3" s="10"/>
      <c r="M3" s="186"/>
      <c r="N3" s="337" t="s">
        <v>876</v>
      </c>
      <c r="O3" s="362"/>
      <c r="P3" s="20"/>
      <c r="Q3" s="20"/>
      <c r="R3" s="20"/>
      <c r="S3" s="820"/>
      <c r="T3" s="821"/>
      <c r="U3" s="26"/>
      <c r="V3" s="27" t="s">
        <v>877</v>
      </c>
      <c r="W3" s="79" t="s">
        <v>878</v>
      </c>
      <c r="X3" s="27" t="s">
        <v>877</v>
      </c>
      <c r="Y3" s="79" t="s">
        <v>878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75" t="s">
        <v>879</v>
      </c>
      <c r="C4" s="776"/>
      <c r="D4" s="338">
        <f>'Lista contas'!BA99</f>
        <v>96932994.088402405</v>
      </c>
      <c r="E4" s="339"/>
      <c r="F4" s="340"/>
      <c r="G4" s="10"/>
      <c r="H4" s="10"/>
      <c r="M4" s="186"/>
      <c r="N4" s="341"/>
      <c r="O4" s="186"/>
      <c r="P4" s="20"/>
      <c r="Q4" s="20"/>
      <c r="R4" s="20"/>
      <c r="S4" s="820"/>
      <c r="T4" s="821"/>
      <c r="U4" s="26" t="s">
        <v>678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2"/>
      <c r="D5" s="10"/>
      <c r="E5" s="343"/>
      <c r="F5" s="10"/>
      <c r="G5" s="10"/>
      <c r="H5" s="10"/>
      <c r="M5" s="186"/>
      <c r="N5" s="341"/>
      <c r="O5" s="186"/>
      <c r="P5" s="20"/>
      <c r="Q5" s="20"/>
      <c r="R5" s="20"/>
      <c r="S5" s="820"/>
      <c r="T5" s="821"/>
      <c r="U5" s="26" t="s">
        <v>690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2"/>
      <c r="D6" s="10"/>
      <c r="E6" s="343"/>
      <c r="F6" s="10"/>
      <c r="G6" s="10"/>
      <c r="H6" s="10"/>
      <c r="M6" s="186"/>
      <c r="N6" s="341"/>
      <c r="O6" s="186"/>
      <c r="P6" s="20"/>
      <c r="Q6" s="20"/>
      <c r="R6" s="20"/>
      <c r="S6" s="20"/>
      <c r="T6" s="74"/>
      <c r="U6" s="26" t="s">
        <v>680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2"/>
      <c r="D7" s="10"/>
      <c r="E7" s="343"/>
      <c r="F7" s="10"/>
      <c r="G7" s="10"/>
      <c r="H7" s="10"/>
      <c r="M7" s="186"/>
      <c r="N7" s="341"/>
      <c r="O7" s="186"/>
      <c r="P7" s="20"/>
      <c r="Q7" s="20"/>
      <c r="R7" s="20"/>
      <c r="S7" s="820"/>
      <c r="T7" s="821"/>
      <c r="U7" s="26" t="s">
        <v>681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2"/>
      <c r="D8" s="10"/>
      <c r="E8" s="343"/>
      <c r="F8" s="10"/>
      <c r="G8" s="10"/>
      <c r="H8" s="10"/>
      <c r="M8" s="186"/>
      <c r="N8" s="341"/>
      <c r="O8" s="186"/>
      <c r="P8" s="20"/>
      <c r="Q8" s="20"/>
      <c r="R8" s="20"/>
      <c r="S8" s="820"/>
      <c r="T8" s="821"/>
      <c r="U8" s="26" t="s">
        <v>682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2"/>
      <c r="D9" s="10"/>
      <c r="E9" s="343"/>
      <c r="F9" s="10"/>
      <c r="G9" s="10"/>
      <c r="H9" s="10"/>
      <c r="M9" s="186"/>
      <c r="N9" s="341"/>
      <c r="O9" s="186"/>
      <c r="P9" s="20"/>
      <c r="Q9" s="20"/>
      <c r="R9" s="20"/>
      <c r="S9" s="820"/>
      <c r="T9" s="821"/>
      <c r="U9" s="26" t="s">
        <v>683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2"/>
      <c r="D10" s="10"/>
      <c r="E10" s="343"/>
      <c r="F10" s="10"/>
      <c r="G10" s="10"/>
      <c r="H10" s="10"/>
      <c r="M10" s="186"/>
      <c r="N10" s="341"/>
      <c r="O10" s="186"/>
      <c r="P10" s="20"/>
      <c r="Q10" s="20"/>
      <c r="R10" s="20"/>
      <c r="S10" s="20"/>
      <c r="T10" s="74"/>
      <c r="U10" s="26" t="s">
        <v>684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2"/>
      <c r="D11" s="10"/>
      <c r="E11" s="343"/>
      <c r="F11" s="10"/>
      <c r="G11" s="10"/>
      <c r="H11" s="10"/>
      <c r="M11" s="186"/>
      <c r="N11" s="341"/>
      <c r="O11" s="186"/>
      <c r="P11" s="20"/>
      <c r="Q11" s="20"/>
      <c r="R11" s="20"/>
      <c r="S11" s="820"/>
      <c r="T11" s="821"/>
      <c r="U11" s="26" t="s">
        <v>880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2"/>
      <c r="D12" s="10"/>
      <c r="E12" s="343"/>
      <c r="F12" s="10"/>
      <c r="G12" s="10"/>
      <c r="H12" s="10"/>
      <c r="M12" s="186"/>
      <c r="N12" s="341"/>
      <c r="O12" s="186"/>
      <c r="P12" s="20"/>
      <c r="Q12" s="20"/>
      <c r="R12" s="20"/>
      <c r="S12" s="820"/>
      <c r="T12" s="821"/>
      <c r="U12" s="26" t="s">
        <v>686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4"/>
      <c r="C13" s="345"/>
      <c r="D13" s="346"/>
      <c r="E13" s="347"/>
      <c r="F13" s="10"/>
      <c r="G13" s="10"/>
      <c r="H13" s="10"/>
      <c r="M13" s="186"/>
      <c r="N13" s="341"/>
      <c r="O13" s="186"/>
      <c r="P13" s="20"/>
      <c r="Q13" s="20"/>
      <c r="R13" s="20"/>
      <c r="S13" s="820"/>
      <c r="T13" s="821"/>
      <c r="U13" s="26" t="s">
        <v>687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2"/>
      <c r="D14" s="10"/>
      <c r="E14" s="10"/>
      <c r="F14" s="10"/>
      <c r="G14" s="10"/>
      <c r="H14" s="10"/>
      <c r="L14" s="36"/>
      <c r="M14" s="186"/>
      <c r="N14" s="341"/>
      <c r="O14" s="186"/>
      <c r="P14" s="20"/>
      <c r="Q14" s="20"/>
      <c r="R14" s="20"/>
      <c r="S14" s="820"/>
      <c r="T14" s="821"/>
      <c r="U14" s="26" t="s">
        <v>688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2"/>
      <c r="D15" s="10"/>
      <c r="E15" s="10"/>
      <c r="F15" s="10"/>
      <c r="G15" s="10"/>
      <c r="H15" s="10"/>
      <c r="L15" s="36"/>
      <c r="M15" s="186"/>
      <c r="N15" s="341"/>
      <c r="O15" s="186"/>
      <c r="P15" s="20"/>
      <c r="Q15" s="20"/>
      <c r="R15" s="20"/>
      <c r="S15" s="820"/>
      <c r="T15" s="820"/>
      <c r="U15" s="26" t="s">
        <v>689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48"/>
      <c r="C16" s="349"/>
      <c r="D16" s="10"/>
      <c r="E16" s="10"/>
      <c r="F16" s="10"/>
      <c r="G16" s="10"/>
      <c r="H16" s="10"/>
      <c r="L16" s="36"/>
      <c r="M16" s="186"/>
      <c r="N16" s="341"/>
      <c r="O16" s="186"/>
      <c r="P16" s="20"/>
      <c r="Q16" s="20"/>
      <c r="R16" s="20"/>
      <c r="S16" s="20"/>
      <c r="T16" s="20"/>
      <c r="U16" s="202"/>
      <c r="V16" s="202"/>
      <c r="W16" s="23"/>
      <c r="X16" s="202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48"/>
      <c r="C17" s="349"/>
      <c r="D17" s="10"/>
      <c r="E17" s="10"/>
      <c r="F17" s="10"/>
      <c r="G17" s="10"/>
      <c r="H17" s="10"/>
      <c r="L17" s="36"/>
      <c r="M17" s="186"/>
      <c r="N17" s="341"/>
      <c r="O17" s="186"/>
      <c r="P17" s="20"/>
      <c r="Q17" s="20"/>
      <c r="R17" s="20"/>
      <c r="S17" s="20"/>
      <c r="T17" s="20"/>
      <c r="U17" s="202"/>
      <c r="V17" s="202"/>
      <c r="W17" s="23"/>
      <c r="X17" s="202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48"/>
      <c r="C18" s="349"/>
      <c r="D18" s="10"/>
      <c r="E18" s="10"/>
      <c r="F18" s="10"/>
      <c r="G18" s="10"/>
      <c r="H18" s="10"/>
      <c r="L18" s="36"/>
      <c r="M18" s="186"/>
      <c r="N18" s="341"/>
      <c r="O18" s="186"/>
      <c r="P18" s="20"/>
      <c r="Q18" s="20"/>
      <c r="R18" s="20"/>
      <c r="S18" s="20"/>
      <c r="T18" s="20"/>
      <c r="U18" s="202"/>
      <c r="V18" s="202"/>
      <c r="W18" s="23"/>
      <c r="X18" s="202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48"/>
      <c r="C19" s="349"/>
      <c r="D19" s="10"/>
      <c r="E19" s="10"/>
      <c r="F19" s="10"/>
      <c r="G19" s="10"/>
      <c r="H19" s="10"/>
      <c r="L19" s="36"/>
      <c r="M19" s="186"/>
      <c r="N19" s="341"/>
      <c r="O19" s="186"/>
      <c r="P19" s="20"/>
      <c r="Q19" s="20"/>
      <c r="R19" s="20"/>
      <c r="S19" s="20"/>
      <c r="T19" s="20"/>
      <c r="U19" s="202"/>
      <c r="V19" s="202"/>
      <c r="W19" s="23"/>
      <c r="X19" s="202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48"/>
      <c r="C20" s="349"/>
      <c r="D20" s="10"/>
      <c r="E20" s="10"/>
      <c r="F20" s="10"/>
      <c r="G20" s="10"/>
      <c r="H20" s="10"/>
      <c r="L20" s="36"/>
      <c r="M20" s="186"/>
      <c r="N20" s="341"/>
      <c r="O20" s="186"/>
      <c r="P20" s="20"/>
      <c r="Q20" s="20"/>
      <c r="R20" s="20"/>
      <c r="S20" s="20"/>
      <c r="T20" s="20"/>
      <c r="U20" s="202"/>
      <c r="V20" s="202"/>
      <c r="W20" s="23"/>
      <c r="X20" s="202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335"/>
      <c r="O21" s="187"/>
      <c r="P21" s="36"/>
      <c r="Q21" s="36"/>
      <c r="R21" s="36"/>
      <c r="S21" s="36"/>
      <c r="T21" s="36"/>
      <c r="U21" s="36"/>
      <c r="V21" s="36"/>
      <c r="W21" s="206"/>
      <c r="X21" s="206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1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2"/>
      <c r="P22" s="36"/>
      <c r="Q22" s="36"/>
      <c r="R22" s="36"/>
      <c r="S22" s="36"/>
      <c r="T22" s="36"/>
      <c r="U22" s="767" t="s">
        <v>766</v>
      </c>
      <c r="V22" s="768"/>
      <c r="W22" s="130"/>
      <c r="X22" s="103" t="s">
        <v>881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1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2"/>
      <c r="O23" s="36"/>
      <c r="P23" s="36"/>
      <c r="Q23" s="36"/>
      <c r="R23" s="36"/>
      <c r="S23" s="36"/>
      <c r="T23" s="36"/>
      <c r="U23" s="22" t="s">
        <v>7</v>
      </c>
      <c r="V23" s="279">
        <f>SUMIF('Fx Deals'!C:C,FINAL!U23,'Fx Deals'!B:B)</f>
        <v>3224000</v>
      </c>
      <c r="W23" s="280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1"/>
      <c r="C24" s="122"/>
      <c r="D24" s="122"/>
      <c r="E24" s="122"/>
      <c r="F24" s="122"/>
      <c r="G24" s="122"/>
      <c r="H24" s="122"/>
      <c r="I24" s="34"/>
      <c r="M24" s="36"/>
      <c r="N24" s="352"/>
      <c r="O24" s="36"/>
      <c r="P24" s="36"/>
      <c r="Q24" s="36"/>
      <c r="R24" s="36"/>
      <c r="S24" s="36"/>
      <c r="T24" s="36"/>
      <c r="U24" s="22" t="s">
        <v>14</v>
      </c>
      <c r="V24" s="279">
        <f>SUMIF('Fx Deals'!C:C,FINAL!U24,'Fx Deals'!B:B)</f>
        <v>2850000</v>
      </c>
      <c r="W24" s="279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1"/>
      <c r="C25" s="122"/>
      <c r="D25" s="122"/>
      <c r="E25" s="122"/>
      <c r="F25" s="122"/>
      <c r="G25" s="122"/>
      <c r="H25" s="122"/>
      <c r="I25" s="34"/>
      <c r="M25" s="36"/>
      <c r="N25" s="352"/>
      <c r="O25" s="36"/>
      <c r="P25" s="36"/>
      <c r="Q25" s="36"/>
      <c r="R25" s="36"/>
      <c r="S25" s="36"/>
      <c r="T25" s="36"/>
      <c r="U25" s="22" t="s">
        <v>9</v>
      </c>
      <c r="V25" s="279">
        <f>SUMIF('Fx Deals'!C:C,FINAL!U25,'Fx Deals'!B:B)</f>
        <v>300000</v>
      </c>
      <c r="W25" s="279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1"/>
      <c r="C26" s="122"/>
      <c r="D26" s="122"/>
      <c r="E26" s="122"/>
      <c r="F26" s="122"/>
      <c r="G26" s="122"/>
      <c r="H26" s="122"/>
      <c r="I26" s="34"/>
      <c r="M26" s="36"/>
      <c r="N26" s="352"/>
      <c r="O26" s="36"/>
      <c r="P26" s="36"/>
      <c r="Q26" s="36"/>
      <c r="R26" s="36"/>
      <c r="S26" s="36"/>
      <c r="T26" s="36"/>
      <c r="U26" s="22" t="s">
        <v>3</v>
      </c>
      <c r="V26" s="279">
        <f>SUMIF('Fx Deals'!C:C,FINAL!U26,'Fx Deals'!B:B)</f>
        <v>3000000</v>
      </c>
      <c r="W26" s="279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1"/>
      <c r="C27" s="122"/>
      <c r="D27" s="122"/>
      <c r="E27" s="122"/>
      <c r="F27" s="122"/>
      <c r="G27" s="122"/>
      <c r="H27" s="122"/>
      <c r="I27" s="34"/>
      <c r="M27" s="36"/>
      <c r="N27" s="352"/>
      <c r="O27" s="36"/>
      <c r="P27" s="36"/>
      <c r="Q27" s="36"/>
      <c r="R27" s="36"/>
      <c r="S27" s="36"/>
      <c r="T27" s="36"/>
      <c r="U27" s="22" t="s">
        <v>4</v>
      </c>
      <c r="V27" s="279">
        <f>SUMIF('Fx Deals'!C:C,FINAL!U27,'Fx Deals'!B:B)</f>
        <v>11401000</v>
      </c>
      <c r="W27" s="279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1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2"/>
      <c r="O28" s="36"/>
      <c r="P28" s="36"/>
      <c r="Q28" s="36"/>
      <c r="R28" s="36"/>
      <c r="S28" s="36"/>
      <c r="T28" s="36"/>
      <c r="U28" s="22" t="s">
        <v>19</v>
      </c>
      <c r="V28" s="279">
        <f>SUMIF('Fx Deals'!C:C,FINAL!U28,'Fx Deals'!B:B)</f>
        <v>114000000</v>
      </c>
      <c r="W28" s="279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1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2"/>
      <c r="O29" s="36"/>
      <c r="P29" s="36"/>
      <c r="Q29" s="36"/>
      <c r="R29" s="36"/>
      <c r="S29" s="36"/>
      <c r="T29" s="36"/>
      <c r="U29" s="22" t="s">
        <v>6</v>
      </c>
      <c r="V29" s="279">
        <f>SUMIF('Fx Deals'!C:C,FINAL!U29,'Fx Deals'!B:B)-10000000</f>
        <v>98000000</v>
      </c>
      <c r="W29" s="279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1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2"/>
      <c r="O30" s="36"/>
      <c r="P30" s="36"/>
      <c r="Q30" s="36"/>
      <c r="R30" s="36"/>
      <c r="S30" s="36"/>
      <c r="T30" s="36"/>
      <c r="U30" s="22" t="s">
        <v>16</v>
      </c>
      <c r="V30" s="279">
        <f>SUMIF('Fx Deals'!C:C,FINAL!U30,'Fx Deals'!B:B)</f>
        <v>4099760</v>
      </c>
      <c r="W30" s="279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1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2"/>
      <c r="O31" s="36"/>
      <c r="P31" s="36"/>
      <c r="Q31" s="36"/>
      <c r="R31" s="36"/>
      <c r="S31" s="36"/>
      <c r="T31" s="36"/>
      <c r="U31" s="30" t="s">
        <v>5</v>
      </c>
      <c r="V31" s="279">
        <f>SUMIF('Fx Deals'!C:C,FINAL!U31,'Fx Deals'!B:B)</f>
        <v>5644513.6600000001</v>
      </c>
      <c r="W31" s="279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3"/>
      <c r="C32" s="354"/>
      <c r="D32" s="354"/>
      <c r="E32" s="354"/>
      <c r="F32" s="354"/>
      <c r="G32" s="354"/>
      <c r="H32" s="354"/>
      <c r="I32" s="355"/>
      <c r="J32" s="355"/>
      <c r="K32" s="356"/>
      <c r="L32" s="357"/>
      <c r="M32" s="357"/>
      <c r="N32" s="358"/>
      <c r="O32" s="36"/>
      <c r="P32" s="36"/>
      <c r="Q32" s="36"/>
      <c r="R32" s="36"/>
      <c r="S32" s="36"/>
      <c r="T32" s="36"/>
      <c r="U32" s="767" t="s">
        <v>465</v>
      </c>
      <c r="V32" s="780"/>
      <c r="W32" s="281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781"/>
      <c r="Q36" s="782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1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882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883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3">
        <v>45658</v>
      </c>
      <c r="G80" s="284">
        <f>SUM('Lista contas'!$N$3:$N$95)+11000</f>
        <v>139332657.02696273</v>
      </c>
      <c r="H80" s="287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5" t="s">
        <v>678</v>
      </c>
      <c r="G81" s="284">
        <f>SUM('Lista contas'!$AC$3:$AC$95)+X4+Y4+V5</f>
        <v>102832675.20896223</v>
      </c>
      <c r="H81" s="287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5" t="s">
        <v>679</v>
      </c>
      <c r="G82" s="284">
        <f>SUM('Lista contas'!$AO$3:$AO$95)+Z5+V6</f>
        <v>96962025.517184228</v>
      </c>
      <c r="H82" s="287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5" t="s">
        <v>680</v>
      </c>
      <c r="G83" s="286"/>
      <c r="H83" s="287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5" t="s">
        <v>681</v>
      </c>
      <c r="G84" s="286"/>
      <c r="H84" s="287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5" t="s">
        <v>682</v>
      </c>
      <c r="G85" s="286"/>
      <c r="H85" s="287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5" t="s">
        <v>683</v>
      </c>
      <c r="G86" s="286"/>
      <c r="H86" s="287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5" t="s">
        <v>684</v>
      </c>
      <c r="G87" s="286"/>
      <c r="H87" s="287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5" t="s">
        <v>880</v>
      </c>
      <c r="G88" s="286"/>
      <c r="H88" s="287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5" t="s">
        <v>686</v>
      </c>
      <c r="G89" s="286"/>
      <c r="H89" s="287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5" t="s">
        <v>687</v>
      </c>
      <c r="G90" s="286"/>
      <c r="H90" s="287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5" t="s">
        <v>688</v>
      </c>
      <c r="G91" s="286"/>
      <c r="H91" s="287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5" t="s">
        <v>689</v>
      </c>
      <c r="G92" s="286"/>
      <c r="H92" s="287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626</v>
      </c>
      <c r="V98" s="10" t="s">
        <v>306</v>
      </c>
      <c r="W98" s="10" t="s">
        <v>301</v>
      </c>
      <c r="X98" s="10" t="s">
        <v>884</v>
      </c>
      <c r="Y98" s="10" t="s">
        <v>885</v>
      </c>
      <c r="Z98" s="10" t="s">
        <v>316</v>
      </c>
      <c r="AA98" s="10" t="s">
        <v>886</v>
      </c>
      <c r="AB98" s="10" t="s">
        <v>319</v>
      </c>
      <c r="AC98" s="10" t="s">
        <v>288</v>
      </c>
      <c r="AD98" s="10" t="s">
        <v>887</v>
      </c>
      <c r="AE98" s="10" t="s">
        <v>304</v>
      </c>
      <c r="AF98" s="10" t="s">
        <v>332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357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298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259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289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U22:V22"/>
    <mergeCell ref="U32:V32"/>
    <mergeCell ref="P36:Q36"/>
    <mergeCell ref="S14:T14"/>
    <mergeCell ref="S15:T15"/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109375" customWidth="1"/>
    <col min="3" max="3" width="16.140625" customWidth="1"/>
    <col min="4" max="4" width="20.42578125" bestFit="1" customWidth="1"/>
    <col min="5" max="5" width="15" customWidth="1"/>
    <col min="6" max="6" width="20.42578125" bestFit="1" customWidth="1"/>
    <col min="8" max="8" width="8.85546875" customWidth="1"/>
    <col min="9" max="9" width="4.85546875" bestFit="1" customWidth="1"/>
    <col min="10" max="10" width="15.85546875" customWidth="1"/>
    <col min="11" max="11" width="15.42578125" customWidth="1"/>
    <col min="12" max="12" width="9.85546875" bestFit="1" customWidth="1"/>
    <col min="20" max="20" width="15.7109375" customWidth="1"/>
    <col min="21" max="21" width="12.42578125" style="12" customWidth="1"/>
    <col min="22" max="22" width="15.7109375" customWidth="1"/>
    <col min="23" max="23" width="9.7109375" style="12" customWidth="1"/>
    <col min="24" max="24" width="16.85546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22"/>
      <c r="R1" s="822"/>
      <c r="S1" s="822"/>
      <c r="T1" s="822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784" t="s">
        <v>888</v>
      </c>
      <c r="C2" s="785"/>
      <c r="D2" s="785"/>
      <c r="E2" s="785"/>
      <c r="F2" s="785"/>
      <c r="G2" s="785"/>
      <c r="H2" s="785"/>
      <c r="I2" s="785"/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889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68" t="s">
        <v>890</v>
      </c>
      <c r="U3" s="768"/>
      <c r="V3" s="768" t="s">
        <v>475</v>
      </c>
      <c r="W3" s="768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820"/>
      <c r="R4" s="821"/>
      <c r="S4" s="26"/>
      <c r="T4" s="27" t="s">
        <v>877</v>
      </c>
      <c r="U4" s="79" t="s">
        <v>878</v>
      </c>
      <c r="V4" s="27" t="s">
        <v>877</v>
      </c>
      <c r="W4" s="79" t="s">
        <v>878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678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820"/>
      <c r="R5" s="821"/>
      <c r="S5" s="26" t="s">
        <v>678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679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820"/>
      <c r="R6" s="821"/>
      <c r="S6" s="26" t="s">
        <v>690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680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680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681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820"/>
      <c r="R8" s="821"/>
      <c r="S8" s="26" t="s">
        <v>681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682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820"/>
      <c r="R9" s="821"/>
      <c r="S9" s="26" t="s">
        <v>682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683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820"/>
      <c r="R10" s="821"/>
      <c r="S10" s="26" t="s">
        <v>683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684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684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880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820"/>
      <c r="R12" s="821"/>
      <c r="S12" s="26" t="s">
        <v>880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686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820"/>
      <c r="R13" s="821"/>
      <c r="S13" s="26" t="s">
        <v>686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687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820"/>
      <c r="R14" s="821"/>
      <c r="S14" s="26" t="s">
        <v>687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688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820"/>
      <c r="R15" s="821"/>
      <c r="S15" s="26" t="s">
        <v>688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689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820"/>
      <c r="R16" s="820"/>
      <c r="S16" s="26" t="s">
        <v>689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784" t="s">
        <v>891</v>
      </c>
      <c r="C17" s="785"/>
      <c r="D17" s="785"/>
      <c r="E17" s="785"/>
      <c r="F17" s="785"/>
      <c r="G17" s="785"/>
      <c r="H17" s="786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787"/>
      <c r="V17" s="787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783" t="s">
        <v>892</v>
      </c>
      <c r="T32" s="781"/>
      <c r="U32" s="782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298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67" t="s">
        <v>465</v>
      </c>
      <c r="T35" s="780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882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23"/>
      <c r="R57" s="823"/>
      <c r="S57" s="823"/>
      <c r="T57" s="823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23"/>
      <c r="R58" s="823"/>
      <c r="S58" s="823"/>
      <c r="T58" s="823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23"/>
      <c r="R59" s="823"/>
      <c r="S59" s="823"/>
      <c r="T59" s="823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23"/>
      <c r="R60" s="823"/>
      <c r="S60" s="823"/>
      <c r="T60" s="823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23"/>
      <c r="R61" s="823"/>
      <c r="S61" s="823"/>
      <c r="T61" s="823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23"/>
      <c r="R62" s="823"/>
      <c r="S62" s="823"/>
      <c r="T62" s="823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883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23"/>
      <c r="R63" s="823"/>
      <c r="S63" s="823"/>
      <c r="T63" s="823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23"/>
      <c r="R64" s="823"/>
      <c r="S64" s="823"/>
      <c r="T64" s="823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23"/>
      <c r="R65" s="823"/>
      <c r="S65" s="823"/>
      <c r="T65" s="823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23"/>
      <c r="R66" s="823"/>
      <c r="S66" s="823"/>
      <c r="T66" s="823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23"/>
      <c r="R67" s="823"/>
      <c r="S67" s="823"/>
      <c r="T67" s="823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23"/>
      <c r="R73" s="823"/>
      <c r="S73" s="823"/>
      <c r="T73" s="823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23"/>
      <c r="R74" s="823"/>
      <c r="S74" s="823"/>
      <c r="T74" s="823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725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23"/>
      <c r="R75" s="823"/>
      <c r="S75" s="823"/>
      <c r="T75" s="823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727</v>
      </c>
      <c r="D76" s="38" t="s">
        <v>474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23"/>
      <c r="Q76" s="823"/>
      <c r="R76" s="823"/>
      <c r="S76" s="823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Tabelas!C57</f>
        <v>481767.21153193805</v>
      </c>
      <c r="D77" s="45">
        <f>SUM(Tabelas!W65:W66)</f>
        <v>1789.1795846255031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820"/>
      <c r="Q77" s="820"/>
      <c r="R77" s="820"/>
      <c r="S77" s="820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+Tabelas!AA57</f>
        <v>641646.158962421</v>
      </c>
      <c r="D78" s="45">
        <f>SUM(Tabelas!O65:O66)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820"/>
      <c r="Q78" s="820"/>
      <c r="R78" s="820"/>
      <c r="S78" s="820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+Tabelas!O57</f>
        <v>498353.71504660451</v>
      </c>
      <c r="D79" s="45">
        <f>SUM(Tabelas!M65:M66)</f>
        <v>37643.67509986685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820"/>
      <c r="Q79" s="820"/>
      <c r="R79" s="820"/>
      <c r="S79" s="820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+Tabelas!G57</f>
        <v>491426.44208212127</v>
      </c>
      <c r="D80" s="45">
        <f>SUM(Tabelas!U65:U66)</f>
        <v>67787.846696247841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820"/>
      <c r="Q80" s="820"/>
      <c r="R80" s="820"/>
      <c r="S80" s="820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+Tabelas!M57</f>
        <v>21960468.170000002</v>
      </c>
      <c r="D81" s="45">
        <f>SUM(Tabelas!K65:K66)</f>
        <v>18772420.57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820"/>
      <c r="Q81" s="820"/>
      <c r="R81" s="820"/>
      <c r="S81" s="820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Tabelas!K57</f>
        <v>5262765.0328330211</v>
      </c>
      <c r="D82" s="45">
        <f>SUM(Tabelas!Q65:Q66)</f>
        <v>5026927.7673545964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820"/>
      <c r="Q82" s="820"/>
      <c r="R82" s="820"/>
      <c r="S82" s="820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298</v>
      </c>
      <c r="C83" s="45">
        <f>+Tabelas!Y57</f>
        <v>216595.30903047445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820"/>
      <c r="Q83" s="820"/>
      <c r="R83" s="820"/>
      <c r="S83" s="820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259</v>
      </c>
      <c r="C84" s="45">
        <f>+Tabelas!U57</f>
        <v>433913.67394792056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820"/>
      <c r="Q84" s="820"/>
      <c r="R84" s="820"/>
      <c r="S84" s="820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Tabelas!E57</f>
        <v>2116139.412138293</v>
      </c>
      <c r="D85" s="45">
        <f>SUM(Tabelas!I65:I66)</f>
        <v>10576.943687185627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820"/>
      <c r="Q85" s="820"/>
      <c r="R85" s="820"/>
      <c r="S85" s="820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+Tabelas!AC57</f>
        <v>1303142.0684794737</v>
      </c>
      <c r="D86" s="45">
        <f>SUM(Tabelas!S65:S66)</f>
        <v>39863.041052446111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820"/>
      <c r="Q86" s="820"/>
      <c r="R86" s="820"/>
      <c r="S86" s="820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+Tabelas!S57</f>
        <v>4622544.2875342155</v>
      </c>
      <c r="D87" s="45">
        <f>SUM(Tabelas!G65:G66)</f>
        <v>908152.87954045576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820"/>
      <c r="Q87" s="820"/>
      <c r="R87" s="820"/>
      <c r="S87" s="820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+Tabelas!W57</f>
        <v>1232427.5820292782</v>
      </c>
      <c r="D88" s="45">
        <f>SUM(Tabelas!E65:E66)</f>
        <v>369255.93134780414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+Tabelas!I57</f>
        <v>1935843.4269469329</v>
      </c>
      <c r="D89" s="45">
        <f>SUM(Tabelas!C65:C66)</f>
        <v>519176.43004824256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289</v>
      </c>
      <c r="C90" s="45">
        <f>+Tabelas!Q57</f>
        <v>303385.71570699464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41500418.206269689</v>
      </c>
      <c r="D91" s="86">
        <f>SUM(D77:D90)</f>
        <v>25786789.475585394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626</v>
      </c>
      <c r="Z94" s="10" t="s">
        <v>306</v>
      </c>
      <c r="AA94" s="10" t="s">
        <v>301</v>
      </c>
      <c r="AB94" s="10" t="s">
        <v>884</v>
      </c>
      <c r="AC94" s="10" t="s">
        <v>885</v>
      </c>
      <c r="AD94" s="10" t="s">
        <v>316</v>
      </c>
      <c r="AE94" s="10" t="s">
        <v>886</v>
      </c>
      <c r="AF94" s="10" t="s">
        <v>319</v>
      </c>
      <c r="AG94" s="10" t="s">
        <v>288</v>
      </c>
      <c r="AH94" s="10" t="s">
        <v>887</v>
      </c>
      <c r="AI94" s="10" t="s">
        <v>304</v>
      </c>
      <c r="AJ94" s="10" t="s">
        <v>332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357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298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259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289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  <mergeCell ref="B17:H17"/>
    <mergeCell ref="U17:V17"/>
    <mergeCell ref="Q12:R12"/>
    <mergeCell ref="Q13:R13"/>
    <mergeCell ref="Q14:R14"/>
    <mergeCell ref="Q15:R15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66:R66"/>
    <mergeCell ref="S66:T66"/>
    <mergeCell ref="Q67:R67"/>
    <mergeCell ref="S67:T67"/>
    <mergeCell ref="Q73:R73"/>
    <mergeCell ref="S73:T73"/>
    <mergeCell ref="Q74:R74"/>
    <mergeCell ref="S74:T74"/>
    <mergeCell ref="Q75:R75"/>
    <mergeCell ref="S75:T75"/>
    <mergeCell ref="P76:Q76"/>
    <mergeCell ref="R76:S76"/>
    <mergeCell ref="P77:Q77"/>
    <mergeCell ref="R77:S77"/>
    <mergeCell ref="P78:Q78"/>
    <mergeCell ref="R78:S78"/>
    <mergeCell ref="P79:Q79"/>
    <mergeCell ref="R79:S79"/>
    <mergeCell ref="P80:Q80"/>
    <mergeCell ref="R80:S80"/>
    <mergeCell ref="P81:Q81"/>
    <mergeCell ref="R81:S81"/>
    <mergeCell ref="P82:Q82"/>
    <mergeCell ref="R82:S82"/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109375" customWidth="1"/>
    <col min="2" max="2" width="16.140625" customWidth="1"/>
    <col min="3" max="3" width="20.42578125" bestFit="1" customWidth="1"/>
    <col min="4" max="4" width="15" customWidth="1"/>
    <col min="5" max="5" width="20.42578125" bestFit="1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3" max="13" width="18" customWidth="1"/>
    <col min="14" max="14" width="6.28515625" customWidth="1"/>
    <col min="15" max="15" width="13" customWidth="1"/>
    <col min="16" max="16" width="12.42578125" customWidth="1"/>
    <col min="17" max="17" width="13.42578125" customWidth="1"/>
    <col min="21" max="21" width="15.7109375" customWidth="1"/>
    <col min="22" max="22" width="12.42578125" style="12" customWidth="1"/>
    <col min="23" max="23" width="15.7109375" customWidth="1"/>
    <col min="24" max="24" width="9.7109375" style="12" customWidth="1"/>
    <col min="25" max="25" width="16.85546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22"/>
      <c r="S1" s="822"/>
      <c r="T1" s="822"/>
      <c r="U1" s="822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788" t="s">
        <v>888</v>
      </c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889</v>
      </c>
      <c r="C3" s="20"/>
      <c r="D3" s="20"/>
      <c r="E3" s="20"/>
      <c r="F3" s="20"/>
      <c r="G3" s="20"/>
      <c r="L3" s="21"/>
      <c r="M3" s="788" t="s">
        <v>893</v>
      </c>
      <c r="N3" s="789"/>
      <c r="O3" s="789"/>
      <c r="P3" s="789"/>
      <c r="Q3" s="789"/>
      <c r="R3" s="790"/>
      <c r="S3" s="21"/>
      <c r="T3" s="21"/>
      <c r="U3" s="21"/>
      <c r="V3" s="21"/>
      <c r="W3" s="21"/>
      <c r="X3" s="21"/>
      <c r="Y3" s="21"/>
      <c r="Z3" s="21"/>
      <c r="AA3" s="77"/>
      <c r="AB3" s="768" t="s">
        <v>890</v>
      </c>
      <c r="AC3" s="768"/>
      <c r="AD3" s="768" t="s">
        <v>475</v>
      </c>
      <c r="AE3" s="768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0"/>
      <c r="N4" s="161"/>
      <c r="O4" s="162" t="s">
        <v>707</v>
      </c>
      <c r="P4" s="162" t="s">
        <v>838</v>
      </c>
      <c r="Q4" s="162" t="s">
        <v>894</v>
      </c>
      <c r="R4" s="162" t="s">
        <v>839</v>
      </c>
      <c r="S4" s="20"/>
      <c r="T4" s="20"/>
      <c r="U4" s="20"/>
      <c r="V4" s="20"/>
      <c r="W4" s="20"/>
      <c r="X4" s="820"/>
      <c r="Y4" s="821"/>
      <c r="Z4" s="26"/>
      <c r="AA4" s="27" t="s">
        <v>877</v>
      </c>
      <c r="AB4" s="79" t="s">
        <v>878</v>
      </c>
      <c r="AC4" s="27" t="s">
        <v>877</v>
      </c>
      <c r="AD4" s="79" t="s">
        <v>878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678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3" t="s">
        <v>840</v>
      </c>
      <c r="N5" s="164">
        <v>29</v>
      </c>
      <c r="O5" s="165" t="s">
        <v>895</v>
      </c>
      <c r="P5" s="166" t="s">
        <v>896</v>
      </c>
      <c r="Q5" s="167" t="s">
        <v>897</v>
      </c>
      <c r="R5" s="168">
        <v>0.85129999999999995</v>
      </c>
      <c r="S5" s="20"/>
      <c r="T5" s="20"/>
      <c r="U5" s="20"/>
      <c r="V5" s="20"/>
      <c r="W5" s="20"/>
      <c r="X5" s="820"/>
      <c r="Y5" s="821"/>
      <c r="Z5" s="26" t="s">
        <v>678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679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69" t="s">
        <v>843</v>
      </c>
      <c r="N6" s="170">
        <v>30</v>
      </c>
      <c r="O6" s="171" t="s">
        <v>898</v>
      </c>
      <c r="P6" s="172" t="s">
        <v>899</v>
      </c>
      <c r="Q6" s="173" t="s">
        <v>900</v>
      </c>
      <c r="R6" s="168">
        <v>1.5786</v>
      </c>
      <c r="S6" s="20"/>
      <c r="T6" s="20"/>
      <c r="U6" s="20"/>
      <c r="V6" s="20"/>
      <c r="W6" s="20"/>
      <c r="X6" s="820"/>
      <c r="Y6" s="821"/>
      <c r="Z6" s="26" t="s">
        <v>690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680</v>
      </c>
      <c r="B7" s="128"/>
      <c r="C7" s="20"/>
      <c r="D7" s="20"/>
      <c r="E7" s="20"/>
      <c r="F7" s="20"/>
      <c r="G7" s="20"/>
      <c r="L7" s="25"/>
      <c r="M7" s="169" t="s">
        <v>845</v>
      </c>
      <c r="N7" s="170" t="s">
        <v>619</v>
      </c>
      <c r="O7" s="171" t="s">
        <v>901</v>
      </c>
      <c r="P7" s="172" t="s">
        <v>902</v>
      </c>
      <c r="Q7" s="174" t="s">
        <v>903</v>
      </c>
      <c r="R7" s="175">
        <v>1.399</v>
      </c>
      <c r="S7" s="20"/>
      <c r="T7" s="20"/>
      <c r="U7" s="20"/>
      <c r="V7" s="20"/>
      <c r="W7" s="20"/>
      <c r="X7" s="20"/>
      <c r="Y7" s="74"/>
      <c r="Z7" s="26" t="s">
        <v>680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681</v>
      </c>
      <c r="B8" s="128"/>
      <c r="C8" s="20"/>
      <c r="D8" s="20"/>
      <c r="E8" s="20"/>
      <c r="F8" s="20"/>
      <c r="G8" s="20"/>
      <c r="L8" s="25"/>
      <c r="M8" s="169" t="s">
        <v>847</v>
      </c>
      <c r="N8" s="170">
        <v>61</v>
      </c>
      <c r="O8" s="171" t="s">
        <v>904</v>
      </c>
      <c r="P8" s="172" t="s">
        <v>905</v>
      </c>
      <c r="Q8" s="173" t="s">
        <v>906</v>
      </c>
      <c r="R8" s="176">
        <v>1.4649000000000001</v>
      </c>
      <c r="S8" s="20"/>
      <c r="T8" s="20"/>
      <c r="U8" s="20"/>
      <c r="V8" s="20"/>
      <c r="W8" s="20"/>
      <c r="X8" s="820"/>
      <c r="Y8" s="821"/>
      <c r="Z8" s="26" t="s">
        <v>681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682</v>
      </c>
      <c r="B9" s="128"/>
      <c r="C9" s="20"/>
      <c r="D9" s="20"/>
      <c r="E9" s="20"/>
      <c r="F9" s="20"/>
      <c r="G9" s="20"/>
      <c r="L9" s="25"/>
      <c r="M9" s="169" t="s">
        <v>849</v>
      </c>
      <c r="N9" s="170">
        <v>51</v>
      </c>
      <c r="O9" s="171" t="s">
        <v>907</v>
      </c>
      <c r="P9" s="172" t="s">
        <v>908</v>
      </c>
      <c r="Q9" s="177" t="s">
        <v>909</v>
      </c>
      <c r="R9" s="168">
        <v>1.2385999999999999</v>
      </c>
      <c r="S9" s="20"/>
      <c r="T9" s="20"/>
      <c r="U9" s="20"/>
      <c r="V9" s="20"/>
      <c r="W9" s="20"/>
      <c r="X9" s="820"/>
      <c r="Y9" s="821"/>
      <c r="Z9" s="26" t="s">
        <v>682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683</v>
      </c>
      <c r="B10" s="128"/>
      <c r="C10" s="20"/>
      <c r="D10" s="20"/>
      <c r="E10" s="20"/>
      <c r="F10" s="20"/>
      <c r="G10" s="20"/>
      <c r="L10" s="25"/>
      <c r="M10" s="169" t="s">
        <v>850</v>
      </c>
      <c r="N10" s="170" t="s">
        <v>599</v>
      </c>
      <c r="O10" s="171" t="s">
        <v>910</v>
      </c>
      <c r="P10" s="172" t="s">
        <v>911</v>
      </c>
      <c r="Q10" s="174" t="s">
        <v>912</v>
      </c>
      <c r="R10" s="175">
        <v>1.0535000000000001</v>
      </c>
      <c r="S10" s="20"/>
      <c r="T10" s="20"/>
      <c r="U10" s="20"/>
      <c r="V10" s="20"/>
      <c r="W10" s="20"/>
      <c r="X10" s="820"/>
      <c r="Y10" s="821"/>
      <c r="Z10" s="26" t="s">
        <v>683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684</v>
      </c>
      <c r="B11" s="128"/>
      <c r="C11" s="20"/>
      <c r="D11" s="20"/>
      <c r="E11" s="20"/>
      <c r="F11" s="20"/>
      <c r="G11" s="20"/>
      <c r="L11" s="25"/>
      <c r="M11" s="169" t="s">
        <v>851</v>
      </c>
      <c r="N11" s="170" t="s">
        <v>613</v>
      </c>
      <c r="O11" s="171" t="s">
        <v>913</v>
      </c>
      <c r="P11" s="172" t="s">
        <v>914</v>
      </c>
      <c r="Q11" s="173" t="s">
        <v>915</v>
      </c>
      <c r="R11" s="176">
        <v>3.5914000000000001</v>
      </c>
      <c r="S11" s="20"/>
      <c r="T11" s="20"/>
      <c r="U11" s="20"/>
      <c r="V11" s="20"/>
      <c r="W11" s="20"/>
      <c r="X11" s="20"/>
      <c r="Y11" s="74"/>
      <c r="Z11" s="26" t="s">
        <v>684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880</v>
      </c>
      <c r="B12" s="128"/>
      <c r="C12" s="20"/>
      <c r="D12" s="20"/>
      <c r="E12" s="20"/>
      <c r="F12" s="20"/>
      <c r="G12" s="20"/>
      <c r="L12" s="25"/>
      <c r="M12" s="169" t="s">
        <v>852</v>
      </c>
      <c r="N12" s="170" t="s">
        <v>516</v>
      </c>
      <c r="O12" s="171" t="s">
        <v>494</v>
      </c>
      <c r="P12" s="172" t="s">
        <v>916</v>
      </c>
      <c r="Q12" s="177" t="s">
        <v>916</v>
      </c>
      <c r="R12" s="168">
        <v>0</v>
      </c>
      <c r="S12" s="20"/>
      <c r="T12" s="20"/>
      <c r="U12" s="20"/>
      <c r="V12" s="20"/>
      <c r="W12" s="20"/>
      <c r="X12" s="820"/>
      <c r="Y12" s="821"/>
      <c r="Z12" s="26" t="s">
        <v>880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686</v>
      </c>
      <c r="B13" s="128"/>
      <c r="C13" s="20"/>
      <c r="D13" s="20"/>
      <c r="E13" s="20"/>
      <c r="F13" s="20"/>
      <c r="G13" s="20"/>
      <c r="L13" s="25"/>
      <c r="M13" s="169" t="s">
        <v>853</v>
      </c>
      <c r="N13" s="170">
        <v>56</v>
      </c>
      <c r="O13" s="171" t="s">
        <v>917</v>
      </c>
      <c r="P13" s="172" t="s">
        <v>918</v>
      </c>
      <c r="Q13" s="177" t="s">
        <v>919</v>
      </c>
      <c r="R13" s="168">
        <v>1.0671999999999999</v>
      </c>
      <c r="S13" s="20"/>
      <c r="T13" s="20"/>
      <c r="U13" s="20"/>
      <c r="V13" s="20"/>
      <c r="W13" s="20"/>
      <c r="X13" s="820"/>
      <c r="Y13" s="821"/>
      <c r="Z13" s="26" t="s">
        <v>686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687</v>
      </c>
      <c r="B14" s="129"/>
      <c r="C14" s="20"/>
      <c r="D14" s="20"/>
      <c r="E14" s="20"/>
      <c r="F14" s="20"/>
      <c r="G14" s="20"/>
      <c r="L14" s="25"/>
      <c r="M14" s="169" t="s">
        <v>854</v>
      </c>
      <c r="N14" s="170" t="s">
        <v>633</v>
      </c>
      <c r="O14" s="171" t="s">
        <v>920</v>
      </c>
      <c r="P14" s="172" t="s">
        <v>921</v>
      </c>
      <c r="Q14" s="177" t="s">
        <v>922</v>
      </c>
      <c r="R14" s="168">
        <v>1.2076</v>
      </c>
      <c r="S14" s="20"/>
      <c r="T14" s="20"/>
      <c r="U14" s="20"/>
      <c r="V14" s="20"/>
      <c r="W14" s="20"/>
      <c r="X14" s="820"/>
      <c r="Y14" s="821"/>
      <c r="Z14" s="26" t="s">
        <v>687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688</v>
      </c>
      <c r="B15" s="129"/>
      <c r="C15" s="20"/>
      <c r="D15" s="20"/>
      <c r="E15" s="20"/>
      <c r="F15" s="20"/>
      <c r="G15" s="20"/>
      <c r="K15" s="21"/>
      <c r="L15" s="25"/>
      <c r="M15" s="169" t="s">
        <v>855</v>
      </c>
      <c r="N15" s="170" t="s">
        <v>589</v>
      </c>
      <c r="O15" s="171" t="s">
        <v>923</v>
      </c>
      <c r="P15" s="172" t="s">
        <v>924</v>
      </c>
      <c r="Q15" s="177" t="s">
        <v>925</v>
      </c>
      <c r="R15" s="168">
        <v>1.1588000000000001</v>
      </c>
      <c r="S15" s="20"/>
      <c r="T15" s="20"/>
      <c r="U15" s="20"/>
      <c r="V15" s="20"/>
      <c r="W15" s="20"/>
      <c r="X15" s="820"/>
      <c r="Y15" s="821"/>
      <c r="Z15" s="26" t="s">
        <v>688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689</v>
      </c>
      <c r="B16" s="129"/>
      <c r="C16" s="20"/>
      <c r="D16" s="20"/>
      <c r="E16" s="20"/>
      <c r="F16" s="20"/>
      <c r="G16" s="20"/>
      <c r="K16" s="21"/>
      <c r="L16" s="25"/>
      <c r="M16" s="169" t="s">
        <v>856</v>
      </c>
      <c r="N16" s="170" t="s">
        <v>587</v>
      </c>
      <c r="O16" s="171" t="s">
        <v>926</v>
      </c>
      <c r="P16" s="172" t="s">
        <v>927</v>
      </c>
      <c r="Q16" s="177" t="s">
        <v>928</v>
      </c>
      <c r="R16" s="168">
        <v>1.2309000000000001</v>
      </c>
      <c r="S16" s="20"/>
      <c r="T16" s="20"/>
      <c r="U16" s="20"/>
      <c r="V16" s="20"/>
      <c r="W16" s="20"/>
      <c r="X16" s="820"/>
      <c r="Y16" s="820"/>
      <c r="Z16" s="26" t="s">
        <v>689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788" t="s">
        <v>891</v>
      </c>
      <c r="B17" s="789"/>
      <c r="C17" s="789"/>
      <c r="D17" s="789"/>
      <c r="E17" s="789"/>
      <c r="F17" s="789"/>
      <c r="G17" s="790"/>
      <c r="H17" s="788" t="s">
        <v>929</v>
      </c>
      <c r="I17" s="789"/>
      <c r="J17" s="789"/>
      <c r="K17" s="789"/>
      <c r="L17" s="790"/>
      <c r="M17" s="169" t="s">
        <v>857</v>
      </c>
      <c r="N17" s="170" t="s">
        <v>506</v>
      </c>
      <c r="O17" s="171" t="s">
        <v>930</v>
      </c>
      <c r="P17" s="172" t="s">
        <v>931</v>
      </c>
      <c r="Q17" s="178" t="s">
        <v>932</v>
      </c>
      <c r="R17" s="168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787"/>
      <c r="AC17" s="787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69" t="s">
        <v>933</v>
      </c>
      <c r="N18" s="170" t="s">
        <v>544</v>
      </c>
      <c r="O18" s="171" t="s">
        <v>934</v>
      </c>
      <c r="P18" s="172" t="s">
        <v>935</v>
      </c>
      <c r="Q18" s="177" t="s">
        <v>936</v>
      </c>
      <c r="R18" s="168">
        <v>2.8601000000000001</v>
      </c>
      <c r="S18" s="36"/>
      <c r="T18" s="36"/>
      <c r="U18" s="36"/>
      <c r="V18" s="36"/>
      <c r="W18" s="36"/>
      <c r="X18" s="36"/>
      <c r="Y18" s="36"/>
      <c r="Z18" s="767" t="s">
        <v>766</v>
      </c>
      <c r="AA18" s="768"/>
      <c r="AB18" s="130"/>
      <c r="AC18" s="103" t="s">
        <v>881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69" t="s">
        <v>859</v>
      </c>
      <c r="N19" s="170" t="s">
        <v>621</v>
      </c>
      <c r="O19" s="171" t="s">
        <v>937</v>
      </c>
      <c r="P19" s="172" t="s">
        <v>938</v>
      </c>
      <c r="Q19" s="177" t="s">
        <v>939</v>
      </c>
      <c r="R19" s="168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69" t="s">
        <v>860</v>
      </c>
      <c r="N20" s="170" t="s">
        <v>509</v>
      </c>
      <c r="O20" s="171" t="s">
        <v>940</v>
      </c>
      <c r="P20" s="172" t="s">
        <v>941</v>
      </c>
      <c r="Q20" s="178" t="s">
        <v>942</v>
      </c>
      <c r="R20" s="168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69" t="s">
        <v>861</v>
      </c>
      <c r="N21" s="170" t="s">
        <v>577</v>
      </c>
      <c r="O21" s="171" t="s">
        <v>494</v>
      </c>
      <c r="P21" s="172" t="s">
        <v>494</v>
      </c>
      <c r="Q21" s="179" t="s">
        <v>494</v>
      </c>
      <c r="R21" s="168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69" t="s">
        <v>863</v>
      </c>
      <c r="N22" s="170" t="s">
        <v>623</v>
      </c>
      <c r="O22" s="171" t="s">
        <v>943</v>
      </c>
      <c r="P22" s="172" t="s">
        <v>944</v>
      </c>
      <c r="Q22" s="177" t="s">
        <v>945</v>
      </c>
      <c r="R22" s="168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69" t="s">
        <v>864</v>
      </c>
      <c r="N23" s="170" t="s">
        <v>647</v>
      </c>
      <c r="O23" s="171" t="s">
        <v>494</v>
      </c>
      <c r="P23" s="172" t="s">
        <v>494</v>
      </c>
      <c r="Q23" s="180" t="s">
        <v>494</v>
      </c>
      <c r="R23" s="168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69" t="s">
        <v>865</v>
      </c>
      <c r="N24" s="170" t="s">
        <v>644</v>
      </c>
      <c r="O24" s="171" t="s">
        <v>946</v>
      </c>
      <c r="P24" s="172" t="s">
        <v>947</v>
      </c>
      <c r="Q24" s="178" t="s">
        <v>948</v>
      </c>
      <c r="R24" s="168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69" t="s">
        <v>866</v>
      </c>
      <c r="N25" s="170" t="s">
        <v>628</v>
      </c>
      <c r="O25" s="171" t="s">
        <v>949</v>
      </c>
      <c r="P25" s="172" t="s">
        <v>950</v>
      </c>
      <c r="Q25" s="178" t="s">
        <v>951</v>
      </c>
      <c r="R25" s="168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69" t="s">
        <v>867</v>
      </c>
      <c r="N26" s="170" t="s">
        <v>592</v>
      </c>
      <c r="O26" s="171" t="s">
        <v>494</v>
      </c>
      <c r="P26" s="172" t="s">
        <v>494</v>
      </c>
      <c r="Q26" s="180" t="s">
        <v>494</v>
      </c>
      <c r="R26" s="168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69" t="s">
        <v>868</v>
      </c>
      <c r="N27" s="170" t="s">
        <v>552</v>
      </c>
      <c r="O27" s="171" t="s">
        <v>952</v>
      </c>
      <c r="P27" s="172" t="s">
        <v>953</v>
      </c>
      <c r="Q27" s="177" t="s">
        <v>954</v>
      </c>
      <c r="R27" s="168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69" t="s">
        <v>870</v>
      </c>
      <c r="N28" s="170" t="s">
        <v>558</v>
      </c>
      <c r="O28" s="171" t="s">
        <v>955</v>
      </c>
      <c r="P28" s="172" t="s">
        <v>956</v>
      </c>
      <c r="Q28" s="177" t="s">
        <v>957</v>
      </c>
      <c r="R28" s="168">
        <v>1.3128</v>
      </c>
      <c r="S28" s="36"/>
      <c r="T28" s="36"/>
      <c r="U28" s="36"/>
      <c r="V28" s="36"/>
      <c r="W28" s="36"/>
      <c r="X28" s="36"/>
      <c r="Y28" s="36"/>
      <c r="Z28" s="767" t="s">
        <v>465</v>
      </c>
      <c r="AA28" s="780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69" t="s">
        <v>871</v>
      </c>
      <c r="N29" s="170" t="s">
        <v>547</v>
      </c>
      <c r="O29" s="171" t="s">
        <v>958</v>
      </c>
      <c r="P29" s="172" t="s">
        <v>959</v>
      </c>
      <c r="Q29" s="177" t="s">
        <v>960</v>
      </c>
      <c r="R29" s="168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69" t="s">
        <v>872</v>
      </c>
      <c r="N30" s="170" t="s">
        <v>485</v>
      </c>
      <c r="O30" s="171" t="s">
        <v>961</v>
      </c>
      <c r="P30" s="172" t="s">
        <v>962</v>
      </c>
      <c r="Q30" s="178" t="s">
        <v>963</v>
      </c>
      <c r="R30" s="168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1" t="s">
        <v>964</v>
      </c>
      <c r="P31" s="182" t="s">
        <v>965</v>
      </c>
      <c r="Q31" s="183" t="s">
        <v>966</v>
      </c>
      <c r="R31" s="184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783" t="s">
        <v>892</v>
      </c>
      <c r="U32" s="781"/>
      <c r="V32" s="782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298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67" t="s">
        <v>465</v>
      </c>
      <c r="U35" s="780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882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23"/>
      <c r="U57" s="823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23"/>
      <c r="U58" s="823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23"/>
      <c r="U59" s="823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23"/>
      <c r="U60" s="823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23"/>
      <c r="U61" s="823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23"/>
      <c r="U62" s="823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883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23"/>
      <c r="U63" s="823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23"/>
      <c r="U64" s="823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23"/>
      <c r="U65" s="823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23"/>
      <c r="U66" s="823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23"/>
      <c r="U67" s="823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23"/>
      <c r="U73" s="823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23"/>
      <c r="U74" s="823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725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23"/>
      <c r="U75" s="823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727</v>
      </c>
      <c r="C76" s="38" t="s">
        <v>474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23"/>
      <c r="T76" s="823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Tabelas!C57</f>
        <v>481767.21153193805</v>
      </c>
      <c r="C77" s="45">
        <f>SUM(Tabelas!W65:W66)</f>
        <v>1789.1795846255031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820"/>
      <c r="T77" s="820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+Tabelas!AA57</f>
        <v>641646.158962421</v>
      </c>
      <c r="C78" s="45">
        <f>SUM(Tabelas!O65:O66)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23"/>
      <c r="R78" s="823"/>
      <c r="S78" s="820"/>
      <c r="T78" s="820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+Tabelas!O57</f>
        <v>498353.71504660451</v>
      </c>
      <c r="C79" s="45">
        <f>SUM(Tabelas!M65:M66)</f>
        <v>37643.67509986685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820"/>
      <c r="R79" s="820"/>
      <c r="S79" s="820"/>
      <c r="T79" s="820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+Tabelas!G57</f>
        <v>491426.44208212127</v>
      </c>
      <c r="C80" s="45">
        <f>SUM(Tabelas!U65:U66)</f>
        <v>67787.846696247841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820"/>
      <c r="R80" s="820"/>
      <c r="S80" s="820"/>
      <c r="T80" s="820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+Tabelas!M57</f>
        <v>21960468.170000002</v>
      </c>
      <c r="C81" s="45">
        <f>SUM(Tabelas!K65:K66)</f>
        <v>18772420.57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820"/>
      <c r="R81" s="820"/>
      <c r="S81" s="820"/>
      <c r="T81" s="820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Tabelas!K57</f>
        <v>5262765.0328330211</v>
      </c>
      <c r="C82" s="45">
        <f>SUM(Tabelas!Q65:Q66)</f>
        <v>5026927.7673545964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820"/>
      <c r="R82" s="820"/>
      <c r="S82" s="820"/>
      <c r="T82" s="820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298</v>
      </c>
      <c r="B83" s="45">
        <f>+Tabelas!Y57</f>
        <v>216595.30903047445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820"/>
      <c r="R83" s="820"/>
      <c r="S83" s="820"/>
      <c r="T83" s="820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259</v>
      </c>
      <c r="B84" s="45">
        <f>+Tabelas!U57</f>
        <v>433913.67394792056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820"/>
      <c r="R84" s="820"/>
      <c r="S84" s="820"/>
      <c r="T84" s="820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Tabelas!E57</f>
        <v>2116139.412138293</v>
      </c>
      <c r="C85" s="45">
        <f>SUM(Tabelas!I65:I66)</f>
        <v>10576.943687185627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820"/>
      <c r="R85" s="820"/>
      <c r="S85" s="820"/>
      <c r="T85" s="820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+Tabelas!AC57</f>
        <v>1303142.0684794737</v>
      </c>
      <c r="C86" s="45">
        <f>SUM(Tabelas!S65:S66)</f>
        <v>39863.041052446111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820"/>
      <c r="R86" s="820"/>
      <c r="S86" s="820"/>
      <c r="T86" s="820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+Tabelas!S57</f>
        <v>4622544.2875342155</v>
      </c>
      <c r="C87" s="45">
        <f>SUM(Tabelas!G65:G66)</f>
        <v>908152.87954045576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820"/>
      <c r="R87" s="820"/>
      <c r="S87" s="820"/>
      <c r="T87" s="820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+Tabelas!W57</f>
        <v>1232427.5820292782</v>
      </c>
      <c r="C88" s="45">
        <f>SUM(Tabelas!E65:E66)</f>
        <v>369255.93134780414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820"/>
      <c r="R88" s="820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+Tabelas!I57</f>
        <v>1935843.4269469329</v>
      </c>
      <c r="C89" s="45">
        <f>SUM(Tabelas!C65:C66)</f>
        <v>519176.43004824256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820"/>
      <c r="R89" s="820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289</v>
      </c>
      <c r="B90" s="45">
        <f>+Tabelas!Q57</f>
        <v>303385.71570699464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41500418.206269689</v>
      </c>
      <c r="C91" s="86">
        <f>SUM(C77:C90)</f>
        <v>25786789.475585394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626</v>
      </c>
      <c r="AA94" s="10" t="s">
        <v>306</v>
      </c>
      <c r="AB94" s="10" t="s">
        <v>301</v>
      </c>
      <c r="AC94" s="10" t="s">
        <v>884</v>
      </c>
      <c r="AD94" s="10" t="s">
        <v>885</v>
      </c>
      <c r="AE94" s="10" t="s">
        <v>316</v>
      </c>
      <c r="AF94" s="10" t="s">
        <v>886</v>
      </c>
      <c r="AG94" s="10" t="s">
        <v>319</v>
      </c>
      <c r="AH94" s="10" t="s">
        <v>288</v>
      </c>
      <c r="AI94" s="10" t="s">
        <v>887</v>
      </c>
      <c r="AJ94" s="10" t="s">
        <v>304</v>
      </c>
      <c r="AK94" s="10" t="s">
        <v>332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357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298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259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289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  <mergeCell ref="Q80:R80"/>
    <mergeCell ref="S78:T78"/>
    <mergeCell ref="Q81:R81"/>
    <mergeCell ref="S79:T79"/>
    <mergeCell ref="Q82:R82"/>
    <mergeCell ref="S80:T80"/>
    <mergeCell ref="T75:U75"/>
    <mergeCell ref="Q78:R78"/>
    <mergeCell ref="S76:T76"/>
    <mergeCell ref="Q79:R79"/>
    <mergeCell ref="S77:T77"/>
    <mergeCell ref="T67:U67"/>
    <mergeCell ref="T73:U73"/>
    <mergeCell ref="T74:U74"/>
    <mergeCell ref="T64:U64"/>
    <mergeCell ref="T65:U65"/>
    <mergeCell ref="T66:U66"/>
    <mergeCell ref="T35:U35"/>
    <mergeCell ref="T57:U57"/>
    <mergeCell ref="T61:U61"/>
    <mergeCell ref="T62:U62"/>
    <mergeCell ref="T63:U63"/>
    <mergeCell ref="T58:U58"/>
    <mergeCell ref="T59:U59"/>
    <mergeCell ref="T60:U60"/>
    <mergeCell ref="X4:Y4"/>
    <mergeCell ref="A17:G17"/>
    <mergeCell ref="Z18:AA18"/>
    <mergeCell ref="Z28:AA28"/>
    <mergeCell ref="T32:V32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R1:S1"/>
    <mergeCell ref="T1:U1"/>
    <mergeCell ref="A2:V2"/>
    <mergeCell ref="AB3:AC3"/>
    <mergeCell ref="AD3:AE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22"/>
      <c r="AJ1" s="822"/>
      <c r="AK1" s="822"/>
      <c r="AL1" s="822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794" t="s">
        <v>888</v>
      </c>
      <c r="B2" s="795"/>
      <c r="C2" s="795"/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96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791" t="s">
        <v>967</v>
      </c>
      <c r="B3" s="792"/>
      <c r="C3" s="792"/>
      <c r="D3" s="792"/>
      <c r="E3" s="793"/>
      <c r="F3" s="791" t="s">
        <v>968</v>
      </c>
      <c r="G3" s="792"/>
      <c r="H3" s="792"/>
      <c r="I3" s="792"/>
      <c r="J3" s="792"/>
      <c r="K3" s="792"/>
      <c r="L3" s="793"/>
      <c r="M3" s="791" t="s">
        <v>969</v>
      </c>
      <c r="N3" s="792"/>
      <c r="O3" s="792"/>
      <c r="P3" s="792"/>
      <c r="Q3" s="792"/>
      <c r="R3" s="792"/>
      <c r="S3" s="793"/>
      <c r="T3" s="791" t="s">
        <v>876</v>
      </c>
      <c r="U3" s="793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07">
        <v>45658</v>
      </c>
      <c r="B4" s="208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820"/>
      <c r="AP4" s="821"/>
      <c r="AQ4" s="26"/>
      <c r="AR4" s="27" t="s">
        <v>877</v>
      </c>
      <c r="AS4" s="79" t="s">
        <v>878</v>
      </c>
      <c r="AT4" s="27" t="s">
        <v>877</v>
      </c>
      <c r="AU4" s="79" t="s">
        <v>878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09" t="s">
        <v>678</v>
      </c>
      <c r="B5" s="208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820"/>
      <c r="AP5" s="821"/>
      <c r="AQ5" s="26" t="s">
        <v>678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09" t="s">
        <v>679</v>
      </c>
      <c r="B6" s="208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820"/>
      <c r="AP6" s="821"/>
      <c r="AQ6" s="26" t="s">
        <v>690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09" t="s">
        <v>680</v>
      </c>
      <c r="B7" s="92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680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09" t="s">
        <v>681</v>
      </c>
      <c r="B8" s="92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820"/>
      <c r="AP8" s="821"/>
      <c r="AQ8" s="26" t="s">
        <v>681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09" t="s">
        <v>682</v>
      </c>
      <c r="B9" s="92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820"/>
      <c r="AP9" s="821"/>
      <c r="AQ9" s="26" t="s">
        <v>682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09" t="s">
        <v>683</v>
      </c>
      <c r="B10" s="92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820"/>
      <c r="AP10" s="821"/>
      <c r="AQ10" s="26" t="s">
        <v>683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09" t="s">
        <v>684</v>
      </c>
      <c r="B11" s="92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684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09" t="s">
        <v>880</v>
      </c>
      <c r="B12" s="92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820"/>
      <c r="AP12" s="821"/>
      <c r="AQ12" s="26" t="s">
        <v>880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09" t="s">
        <v>686</v>
      </c>
      <c r="B13" s="92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820"/>
      <c r="AP13" s="821"/>
      <c r="AQ13" s="26" t="s">
        <v>686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09" t="s">
        <v>687</v>
      </c>
      <c r="B14" s="82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820"/>
      <c r="AP14" s="821"/>
      <c r="AQ14" s="26" t="s">
        <v>687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09" t="s">
        <v>688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820"/>
      <c r="AP15" s="821"/>
      <c r="AQ15" s="26" t="s">
        <v>688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09" t="s">
        <v>689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820"/>
      <c r="AP16" s="820"/>
      <c r="AQ16" s="26" t="s">
        <v>689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791" t="s">
        <v>970</v>
      </c>
      <c r="B17" s="792"/>
      <c r="C17" s="792"/>
      <c r="D17" s="792"/>
      <c r="E17" s="793"/>
      <c r="F17" s="791" t="s">
        <v>971</v>
      </c>
      <c r="G17" s="792"/>
      <c r="H17" s="792"/>
      <c r="I17" s="792"/>
      <c r="J17" s="792"/>
      <c r="K17" s="792"/>
      <c r="L17" s="793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67" t="s">
        <v>766</v>
      </c>
      <c r="AR24" s="768"/>
      <c r="AS24" s="130"/>
      <c r="AT24" s="103" t="s">
        <v>881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67" t="s">
        <v>465</v>
      </c>
      <c r="AR34" s="780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783" t="s">
        <v>892</v>
      </c>
      <c r="AL38" s="781"/>
      <c r="AM38" s="782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298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67" t="s">
        <v>465</v>
      </c>
      <c r="AL41" s="780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882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23"/>
      <c r="AL63" s="823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23"/>
      <c r="AL64" s="823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23"/>
      <c r="AL65" s="823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23"/>
      <c r="AL66" s="823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23"/>
      <c r="AL67" s="823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23"/>
      <c r="AL68" s="823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883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23"/>
      <c r="AL69" s="823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23"/>
      <c r="AL70" s="823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23"/>
      <c r="AL71" s="823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23"/>
      <c r="AL72" s="823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23"/>
      <c r="AL73" s="823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23"/>
      <c r="AL79" s="823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23"/>
      <c r="AL80" s="823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725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23"/>
      <c r="AL81" s="823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727</v>
      </c>
      <c r="C82" s="38" t="s">
        <v>474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23"/>
      <c r="AK82" s="823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Tabelas!C57</f>
        <v>481767.21153193805</v>
      </c>
      <c r="C83" s="45">
        <f>SUM(Tabelas!W65:W66)</f>
        <v>1789.1795846255031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20"/>
      <c r="AK83" s="82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+Tabelas!AA57</f>
        <v>641646.158962421</v>
      </c>
      <c r="C84" s="45">
        <f>SUM(Tabelas!O65:O66)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23"/>
      <c r="AI84" s="823"/>
      <c r="AJ84" s="820"/>
      <c r="AK84" s="82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+Tabelas!O57</f>
        <v>498353.71504660451</v>
      </c>
      <c r="C85" s="45">
        <f>SUM(Tabelas!M65:M66)</f>
        <v>37643.67509986685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20"/>
      <c r="AI85" s="820"/>
      <c r="AJ85" s="820"/>
      <c r="AK85" s="82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+Tabelas!G57</f>
        <v>491426.44208212127</v>
      </c>
      <c r="C86" s="45">
        <f>SUM(Tabelas!U65:U66)</f>
        <v>67787.846696247841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20"/>
      <c r="AI86" s="820"/>
      <c r="AJ86" s="820"/>
      <c r="AK86" s="82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+Tabelas!M57</f>
        <v>21960468.170000002</v>
      </c>
      <c r="C87" s="45">
        <f>SUM(Tabelas!K65:K66)</f>
        <v>18772420.57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20"/>
      <c r="AI87" s="820"/>
      <c r="AJ87" s="820"/>
      <c r="AK87" s="82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Tabelas!K57</f>
        <v>5262765.0328330211</v>
      </c>
      <c r="C88" s="45">
        <f>SUM(Tabelas!Q65:Q66)</f>
        <v>5026927.7673545964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20"/>
      <c r="AI88" s="820"/>
      <c r="AJ88" s="820"/>
      <c r="AK88" s="82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298</v>
      </c>
      <c r="B89" s="45">
        <f>+Tabelas!Y57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20"/>
      <c r="AI89" s="820"/>
      <c r="AJ89" s="820"/>
      <c r="AK89" s="82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259</v>
      </c>
      <c r="B90" s="45">
        <f>+Tabelas!U57</f>
        <v>433913.67394792056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20"/>
      <c r="AI90" s="820"/>
      <c r="AJ90" s="820"/>
      <c r="AK90" s="82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Tabelas!E57</f>
        <v>2116139.412138293</v>
      </c>
      <c r="C91" s="45">
        <f>SUM(Tabelas!I65:I66)</f>
        <v>10576.943687185627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20"/>
      <c r="AI91" s="820"/>
      <c r="AJ91" s="820"/>
      <c r="AK91" s="82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+Tabelas!AC57</f>
        <v>1303142.0684794737</v>
      </c>
      <c r="C92" s="45">
        <f>SUM(Tabelas!S65:S66)</f>
        <v>39863.041052446111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20"/>
      <c r="AI92" s="820"/>
      <c r="AJ92" s="820"/>
      <c r="AK92" s="8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+Tabelas!S57</f>
        <v>4622544.2875342155</v>
      </c>
      <c r="C93" s="45">
        <f>SUM(Tabelas!G65:G66)</f>
        <v>908152.87954045576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20"/>
      <c r="AI93" s="820"/>
      <c r="AJ93" s="820"/>
      <c r="AK93" s="820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+Tabelas!W57</f>
        <v>1232427.5820292782</v>
      </c>
      <c r="C94" s="45">
        <f>SUM(Tabelas!E65:E66)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20"/>
      <c r="AI94" s="820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+Tabelas!I57</f>
        <v>1935843.4269469329</v>
      </c>
      <c r="C95" s="45">
        <f>SUM(Tabelas!C65:C66)</f>
        <v>519176.43004824256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20"/>
      <c r="AI95" s="820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289</v>
      </c>
      <c r="B96" s="45">
        <f>+Tabelas!Q57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41500418.206269689</v>
      </c>
      <c r="C97" s="86">
        <f>SUM(C83:C96)</f>
        <v>25786789.475585394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626</v>
      </c>
      <c r="AR100" s="10" t="s">
        <v>306</v>
      </c>
      <c r="AS100" s="10" t="s">
        <v>301</v>
      </c>
      <c r="AT100" s="10" t="s">
        <v>884</v>
      </c>
      <c r="AU100" s="10" t="s">
        <v>885</v>
      </c>
      <c r="AV100" s="10" t="s">
        <v>316</v>
      </c>
      <c r="AW100" s="10" t="s">
        <v>886</v>
      </c>
      <c r="AX100" s="10" t="s">
        <v>319</v>
      </c>
      <c r="AY100" s="10" t="s">
        <v>288</v>
      </c>
      <c r="AZ100" s="10" t="s">
        <v>887</v>
      </c>
      <c r="BA100" s="10" t="s">
        <v>304</v>
      </c>
      <c r="BB100" s="10" t="s">
        <v>332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298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259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289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Q24:AR24"/>
    <mergeCell ref="AQ34:AR34"/>
    <mergeCell ref="AK38:AM38"/>
    <mergeCell ref="AK41:AL41"/>
    <mergeCell ref="AK63:AL63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O4:AP4"/>
    <mergeCell ref="AO5:AP5"/>
    <mergeCell ref="AO6:AP6"/>
    <mergeCell ref="AO8:AP8"/>
    <mergeCell ref="AO9:AP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9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22"/>
      <c r="AJ1" s="822"/>
      <c r="AK1" s="822"/>
      <c r="AL1" s="822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797" t="s">
        <v>888</v>
      </c>
      <c r="B2" s="798"/>
      <c r="C2" s="798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8"/>
      <c r="Q2" s="798"/>
      <c r="R2" s="798"/>
      <c r="S2" s="798"/>
      <c r="T2" s="798"/>
      <c r="U2" s="799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00" t="s">
        <v>967</v>
      </c>
      <c r="B3" s="801"/>
      <c r="C3" s="801"/>
      <c r="D3" s="801"/>
      <c r="E3" s="802"/>
      <c r="F3" s="800" t="s">
        <v>968</v>
      </c>
      <c r="G3" s="801"/>
      <c r="H3" s="801"/>
      <c r="I3" s="801"/>
      <c r="J3" s="801"/>
      <c r="K3" s="801"/>
      <c r="L3" s="802"/>
      <c r="M3" s="800" t="s">
        <v>969</v>
      </c>
      <c r="N3" s="801"/>
      <c r="O3" s="801"/>
      <c r="P3" s="801"/>
      <c r="Q3" s="801"/>
      <c r="R3" s="801"/>
      <c r="S3" s="802"/>
      <c r="T3" s="800" t="s">
        <v>876</v>
      </c>
      <c r="U3" s="802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3">
        <v>45658</v>
      </c>
      <c r="B4" s="284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820"/>
      <c r="AP4" s="821"/>
      <c r="AQ4" s="26"/>
      <c r="AR4" s="27" t="s">
        <v>877</v>
      </c>
      <c r="AS4" s="79" t="s">
        <v>878</v>
      </c>
      <c r="AT4" s="27" t="s">
        <v>877</v>
      </c>
      <c r="AU4" s="79" t="s">
        <v>878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5" t="s">
        <v>678</v>
      </c>
      <c r="B5" s="284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820"/>
      <c r="AP5" s="821"/>
      <c r="AQ5" s="26" t="s">
        <v>678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5" t="s">
        <v>679</v>
      </c>
      <c r="B6" s="284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820"/>
      <c r="AP6" s="821"/>
      <c r="AQ6" s="26" t="s">
        <v>690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5" t="s">
        <v>680</v>
      </c>
      <c r="B7" s="286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680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5" t="s">
        <v>681</v>
      </c>
      <c r="B8" s="286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820"/>
      <c r="AP8" s="821"/>
      <c r="AQ8" s="26" t="s">
        <v>681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5" t="s">
        <v>682</v>
      </c>
      <c r="B9" s="286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820"/>
      <c r="AP9" s="821"/>
      <c r="AQ9" s="26" t="s">
        <v>682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5" t="s">
        <v>683</v>
      </c>
      <c r="B10" s="286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820"/>
      <c r="AP10" s="821"/>
      <c r="AQ10" s="26" t="s">
        <v>683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5" t="s">
        <v>684</v>
      </c>
      <c r="B11" s="286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684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5" t="s">
        <v>880</v>
      </c>
      <c r="B12" s="286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820"/>
      <c r="AP12" s="821"/>
      <c r="AQ12" s="26" t="s">
        <v>880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5" t="s">
        <v>686</v>
      </c>
      <c r="B13" s="286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820"/>
      <c r="AP13" s="821"/>
      <c r="AQ13" s="26" t="s">
        <v>686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5" t="s">
        <v>687</v>
      </c>
      <c r="B14" s="286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820"/>
      <c r="AP14" s="821"/>
      <c r="AQ14" s="26" t="s">
        <v>687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5" t="s">
        <v>688</v>
      </c>
      <c r="B15" s="286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820"/>
      <c r="AP15" s="821"/>
      <c r="AQ15" s="26" t="s">
        <v>688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5" t="s">
        <v>689</v>
      </c>
      <c r="B16" s="286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820"/>
      <c r="AP16" s="820"/>
      <c r="AQ16" s="26" t="s">
        <v>689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791" t="s">
        <v>970</v>
      </c>
      <c r="B17" s="792"/>
      <c r="C17" s="792"/>
      <c r="D17" s="792"/>
      <c r="E17" s="793"/>
      <c r="F17" s="791" t="s">
        <v>971</v>
      </c>
      <c r="G17" s="792"/>
      <c r="H17" s="792"/>
      <c r="I17" s="792"/>
      <c r="J17" s="792"/>
      <c r="K17" s="792"/>
      <c r="L17" s="793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67" t="s">
        <v>766</v>
      </c>
      <c r="AR24" s="768"/>
      <c r="AS24" s="130"/>
      <c r="AT24" s="103" t="s">
        <v>881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79">
        <f>SUMIF('Fx Deals'!C:C,'teste v4'!AQ25,'Fx Deals'!B:B)</f>
        <v>3224000</v>
      </c>
      <c r="AS25" s="280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79">
        <f>SUMIF('Fx Deals'!C:C,'teste v4'!AQ26,'Fx Deals'!B:B)</f>
        <v>2850000</v>
      </c>
      <c r="AS26" s="279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79">
        <f>SUMIF('Fx Deals'!C:C,'teste v4'!AQ27,'Fx Deals'!B:B)</f>
        <v>300000</v>
      </c>
      <c r="AS27" s="279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79">
        <f>SUMIF('Fx Deals'!C:C,'teste v4'!AQ28,'Fx Deals'!B:B)</f>
        <v>3000000</v>
      </c>
      <c r="AS28" s="279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79">
        <f>SUMIF('Fx Deals'!C:C,'teste v4'!AQ29,'Fx Deals'!B:B)</f>
        <v>11401000</v>
      </c>
      <c r="AS29" s="279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79">
        <f>SUMIF('Fx Deals'!C:C,'teste v4'!AQ30,'Fx Deals'!B:B)</f>
        <v>114000000</v>
      </c>
      <c r="AS30" s="279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79">
        <f>SUMIF('Fx Deals'!C:C,'teste v4'!AQ31,'Fx Deals'!B:B)-10000000</f>
        <v>98000000</v>
      </c>
      <c r="AS31" s="279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79">
        <f>SUMIF('Fx Deals'!C:C,'teste v4'!AQ32,'Fx Deals'!B:B)</f>
        <v>4099760</v>
      </c>
      <c r="AS32" s="279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79">
        <f>SUMIF('Fx Deals'!C:C,'teste v4'!AQ33,'Fx Deals'!B:B)</f>
        <v>5644513.6600000001</v>
      </c>
      <c r="AS33" s="279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67" t="s">
        <v>465</v>
      </c>
      <c r="AR34" s="780"/>
      <c r="AS34" s="281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783" t="s">
        <v>892</v>
      </c>
      <c r="AL38" s="781"/>
      <c r="AM38" s="782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298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67" t="s">
        <v>465</v>
      </c>
      <c r="AL41" s="780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882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23"/>
      <c r="AL63" s="823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23"/>
      <c r="AL64" s="823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23"/>
      <c r="AL65" s="823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23"/>
      <c r="AL66" s="823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23"/>
      <c r="AL67" s="823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23"/>
      <c r="AL68" s="823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883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23"/>
      <c r="AL69" s="823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23"/>
      <c r="AL70" s="823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23"/>
      <c r="AL71" s="823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23"/>
      <c r="AL72" s="823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23"/>
      <c r="AL73" s="823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23"/>
      <c r="AL79" s="823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23"/>
      <c r="AL80" s="823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725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23"/>
      <c r="AL81" s="823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727</v>
      </c>
      <c r="C82" s="38" t="s">
        <v>474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23"/>
      <c r="AK82" s="823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Tabelas!C57</f>
        <v>481767.21153193805</v>
      </c>
      <c r="C83" s="45">
        <f>SUM(Tabelas!W65:W66)</f>
        <v>1789.1795846255031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20"/>
      <c r="AK83" s="82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+Tabelas!AA57</f>
        <v>641646.158962421</v>
      </c>
      <c r="C84" s="45">
        <f>SUM(Tabelas!O65:O66)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23"/>
      <c r="AI84" s="823"/>
      <c r="AJ84" s="820"/>
      <c r="AK84" s="82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+Tabelas!O57</f>
        <v>498353.71504660451</v>
      </c>
      <c r="C85" s="45">
        <f>SUM(Tabelas!M65:M66)</f>
        <v>37643.67509986685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20"/>
      <c r="AI85" s="820"/>
      <c r="AJ85" s="820"/>
      <c r="AK85" s="82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+Tabelas!G57</f>
        <v>491426.44208212127</v>
      </c>
      <c r="C86" s="45">
        <f>SUM(Tabelas!U65:U66)</f>
        <v>67787.846696247841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20"/>
      <c r="AI86" s="820"/>
      <c r="AJ86" s="820"/>
      <c r="AK86" s="82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+Tabelas!M57</f>
        <v>21960468.170000002</v>
      </c>
      <c r="C87" s="45">
        <f>SUM(Tabelas!K65:K66)</f>
        <v>18772420.57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20"/>
      <c r="AI87" s="820"/>
      <c r="AJ87" s="820"/>
      <c r="AK87" s="82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Tabelas!K57</f>
        <v>5262765.0328330211</v>
      </c>
      <c r="C88" s="45">
        <f>SUM(Tabelas!Q65:Q66)</f>
        <v>5026927.7673545964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20"/>
      <c r="AI88" s="820"/>
      <c r="AJ88" s="820"/>
      <c r="AK88" s="82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298</v>
      </c>
      <c r="B89" s="45">
        <f>+Tabelas!Y57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20"/>
      <c r="AI89" s="820"/>
      <c r="AJ89" s="820"/>
      <c r="AK89" s="82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259</v>
      </c>
      <c r="B90" s="45">
        <f>+Tabelas!U57</f>
        <v>433913.67394792056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20"/>
      <c r="AI90" s="820"/>
      <c r="AJ90" s="820"/>
      <c r="AK90" s="82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Tabelas!E57</f>
        <v>2116139.412138293</v>
      </c>
      <c r="C91" s="45">
        <f>SUM(Tabelas!I65:I66)</f>
        <v>10576.943687185627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20"/>
      <c r="AI91" s="820"/>
      <c r="AJ91" s="820"/>
      <c r="AK91" s="82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+Tabelas!AC57</f>
        <v>1303142.0684794737</v>
      </c>
      <c r="C92" s="45">
        <f>SUM(Tabelas!S65:S66)</f>
        <v>39863.041052446111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20"/>
      <c r="AI92" s="820"/>
      <c r="AJ92" s="820"/>
      <c r="AK92" s="8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+Tabelas!S57</f>
        <v>4622544.2875342155</v>
      </c>
      <c r="C93" s="45">
        <f>SUM(Tabelas!G65:G66)</f>
        <v>908152.87954045576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20"/>
      <c r="AI93" s="820"/>
      <c r="AJ93" s="820"/>
      <c r="AK93" s="820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+Tabelas!W57</f>
        <v>1232427.5820292782</v>
      </c>
      <c r="C94" s="45">
        <f>SUM(Tabelas!E65:E66)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20"/>
      <c r="AI94" s="820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+Tabelas!I57</f>
        <v>1935843.4269469329</v>
      </c>
      <c r="C95" s="45">
        <f>SUM(Tabelas!C65:C66)</f>
        <v>519176.43004824256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20"/>
      <c r="AI95" s="820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289</v>
      </c>
      <c r="B96" s="45">
        <f>+Tabelas!Q57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41500418.206269689</v>
      </c>
      <c r="C97" s="86">
        <f>SUM(C83:C96)</f>
        <v>25786789.475585394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626</v>
      </c>
      <c r="AR100" s="10" t="s">
        <v>306</v>
      </c>
      <c r="AS100" s="10" t="s">
        <v>301</v>
      </c>
      <c r="AT100" s="10" t="s">
        <v>884</v>
      </c>
      <c r="AU100" s="10" t="s">
        <v>885</v>
      </c>
      <c r="AV100" s="10" t="s">
        <v>316</v>
      </c>
      <c r="AW100" s="10" t="s">
        <v>886</v>
      </c>
      <c r="AX100" s="10" t="s">
        <v>319</v>
      </c>
      <c r="AY100" s="10" t="s">
        <v>288</v>
      </c>
      <c r="AZ100" s="10" t="s">
        <v>887</v>
      </c>
      <c r="BA100" s="10" t="s">
        <v>304</v>
      </c>
      <c r="BB100" s="10" t="s">
        <v>332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298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259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289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I1:AJ1"/>
    <mergeCell ref="AK1:AL1"/>
    <mergeCell ref="A2:U2"/>
    <mergeCell ref="A3:E3"/>
    <mergeCell ref="F3:L3"/>
    <mergeCell ref="M3:S3"/>
    <mergeCell ref="T3:U3"/>
    <mergeCell ref="A17:E17"/>
    <mergeCell ref="F17:L17"/>
    <mergeCell ref="AO4:AP4"/>
    <mergeCell ref="AO5:AP5"/>
    <mergeCell ref="AO6:AP6"/>
    <mergeCell ref="AO8:AP8"/>
    <mergeCell ref="AO9:AP9"/>
    <mergeCell ref="AO10:AP10"/>
    <mergeCell ref="AK64:AL64"/>
    <mergeCell ref="AO12:AP12"/>
    <mergeCell ref="AO13:AP13"/>
    <mergeCell ref="AO14:AP14"/>
    <mergeCell ref="AO15:AP15"/>
    <mergeCell ref="AO16:AP16"/>
    <mergeCell ref="AQ24:AR24"/>
    <mergeCell ref="AQ34:AR34"/>
    <mergeCell ref="AK38:AM38"/>
    <mergeCell ref="AK41:AL41"/>
    <mergeCell ref="AK63:AL63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J82:AK82"/>
    <mergeCell ref="AJ83:AK83"/>
    <mergeCell ref="AH84:AI84"/>
    <mergeCell ref="AJ84:AK84"/>
    <mergeCell ref="AH85:AI85"/>
    <mergeCell ref="AJ85:AK85"/>
    <mergeCell ref="AH86:AI86"/>
    <mergeCell ref="AJ86:AK86"/>
    <mergeCell ref="AH87:AI87"/>
    <mergeCell ref="AJ87:AK87"/>
    <mergeCell ref="AH88:AI88"/>
    <mergeCell ref="AJ88:AK88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12.57031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22"/>
      <c r="AJ1" s="822"/>
      <c r="AK1" s="822"/>
      <c r="AL1" s="822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797" t="s">
        <v>888</v>
      </c>
      <c r="B2" s="798"/>
      <c r="C2" s="798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8"/>
      <c r="Q2" s="798"/>
      <c r="R2" s="798"/>
      <c r="S2" s="798"/>
      <c r="T2" s="798"/>
      <c r="U2" s="799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88" t="s">
        <v>972</v>
      </c>
      <c r="F3" s="20"/>
      <c r="G3" s="20"/>
      <c r="L3" s="25"/>
      <c r="M3" s="25"/>
      <c r="N3" s="25"/>
      <c r="O3" s="186"/>
      <c r="P3" s="186"/>
      <c r="Q3" s="186"/>
      <c r="R3" s="186"/>
      <c r="S3" s="186"/>
      <c r="T3" s="203"/>
      <c r="U3" s="203"/>
      <c r="V3" s="186"/>
      <c r="W3" s="186"/>
      <c r="X3" s="186"/>
      <c r="Y3" s="186"/>
      <c r="Z3" s="186"/>
      <c r="AA3" s="186"/>
      <c r="AB3" s="186"/>
      <c r="AC3" s="186"/>
      <c r="AD3" s="187"/>
      <c r="AE3" s="187"/>
      <c r="AF3" s="187"/>
      <c r="AG3" s="187"/>
      <c r="AH3" s="187"/>
      <c r="AI3" s="187"/>
      <c r="AJ3" s="20"/>
      <c r="AK3" s="20"/>
      <c r="AL3" s="20"/>
      <c r="AM3" s="20"/>
      <c r="AN3" s="20"/>
      <c r="AO3" s="820"/>
      <c r="AP3" s="821"/>
      <c r="AQ3" s="26"/>
      <c r="AR3" s="27" t="s">
        <v>877</v>
      </c>
      <c r="AS3" s="79" t="s">
        <v>878</v>
      </c>
      <c r="AT3" s="27" t="s">
        <v>877</v>
      </c>
      <c r="AU3" s="79" t="s">
        <v>878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88"/>
      <c r="F4" s="20"/>
      <c r="G4" s="20"/>
      <c r="L4" s="25"/>
      <c r="M4" s="25"/>
      <c r="N4" s="25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8"/>
      <c r="AE4" s="189"/>
      <c r="AF4" s="190"/>
      <c r="AG4" s="191"/>
      <c r="AH4" s="192"/>
      <c r="AI4" s="193"/>
      <c r="AJ4" s="20"/>
      <c r="AK4" s="20"/>
      <c r="AL4" s="20"/>
      <c r="AM4" s="20"/>
      <c r="AN4" s="20"/>
      <c r="AO4" s="820"/>
      <c r="AP4" s="821"/>
      <c r="AQ4" s="26" t="s">
        <v>678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4"/>
      <c r="AI5" s="193"/>
      <c r="AJ5" s="20"/>
      <c r="AK5" s="20"/>
      <c r="AL5" s="20"/>
      <c r="AM5" s="20"/>
      <c r="AN5" s="20"/>
      <c r="AO5" s="820"/>
      <c r="AP5" s="821"/>
      <c r="AQ5" s="26" t="s">
        <v>690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20"/>
      <c r="AP6" s="74"/>
      <c r="AQ6" s="26" t="s">
        <v>680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820"/>
      <c r="AP7" s="821"/>
      <c r="AQ7" s="26" t="s">
        <v>681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820"/>
      <c r="AP8" s="821"/>
      <c r="AQ8" s="26" t="s">
        <v>682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820"/>
      <c r="AP9" s="821"/>
      <c r="AQ9" s="26" t="s">
        <v>683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20"/>
      <c r="AP10" s="74"/>
      <c r="AQ10" s="26" t="s">
        <v>684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820"/>
      <c r="AP11" s="821"/>
      <c r="AQ11" s="26" t="s">
        <v>880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820"/>
      <c r="AP12" s="821"/>
      <c r="AQ12" s="26" t="s">
        <v>686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820"/>
      <c r="AP13" s="821"/>
      <c r="AQ13" s="26" t="s">
        <v>687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820"/>
      <c r="AP14" s="821"/>
      <c r="AQ14" s="26" t="s">
        <v>688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820"/>
      <c r="AP15" s="820"/>
      <c r="AQ15" s="26" t="s">
        <v>689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20"/>
      <c r="AP16" s="20"/>
      <c r="AQ16" s="202"/>
      <c r="AR16" s="202"/>
      <c r="AS16" s="23"/>
      <c r="AT16" s="202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4"/>
      <c r="N21" s="205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8"/>
      <c r="AE21" s="189"/>
      <c r="AF21" s="190"/>
      <c r="AG21" s="191"/>
      <c r="AH21" s="192"/>
      <c r="AI21" s="193"/>
      <c r="AJ21" s="36"/>
      <c r="AK21" s="36"/>
      <c r="AL21" s="36"/>
      <c r="AM21" s="36"/>
      <c r="AN21" s="36"/>
      <c r="AO21" s="36"/>
      <c r="AP21" s="36"/>
      <c r="AQ21" s="36"/>
      <c r="AR21" s="36"/>
      <c r="AS21" s="206"/>
      <c r="AT21" s="206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88"/>
      <c r="AE22" s="189"/>
      <c r="AF22" s="190"/>
      <c r="AG22" s="191"/>
      <c r="AH22" s="194"/>
      <c r="AI22" s="193"/>
      <c r="AJ22" s="36"/>
      <c r="AK22" s="36"/>
      <c r="AL22" s="36"/>
      <c r="AM22" s="36"/>
      <c r="AN22" s="36"/>
      <c r="AO22" s="36"/>
      <c r="AP22" s="36"/>
      <c r="AQ22" s="767" t="s">
        <v>766</v>
      </c>
      <c r="AR22" s="768"/>
      <c r="AS22" s="130"/>
      <c r="AT22" s="103" t="s">
        <v>881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88"/>
      <c r="AE23" s="189"/>
      <c r="AF23" s="190"/>
      <c r="AG23" s="191"/>
      <c r="AH23" s="194"/>
      <c r="AI23" s="193"/>
      <c r="AJ23" s="36"/>
      <c r="AK23" s="36"/>
      <c r="AL23" s="36"/>
      <c r="AM23" s="36"/>
      <c r="AN23" s="36"/>
      <c r="AO23" s="36"/>
      <c r="AP23" s="36"/>
      <c r="AQ23" s="22" t="s">
        <v>7</v>
      </c>
      <c r="AR23" s="279">
        <f>SUMIF('Fx Deals'!C:C,'TESTE V5'!AQ23,'Fx Deals'!B:B)</f>
        <v>3224000</v>
      </c>
      <c r="AS23" s="280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2"/>
      <c r="AI24" s="193"/>
      <c r="AJ24" s="36"/>
      <c r="AK24" s="36"/>
      <c r="AL24" s="36"/>
      <c r="AM24" s="36"/>
      <c r="AN24" s="36"/>
      <c r="AO24" s="36"/>
      <c r="AP24" s="36"/>
      <c r="AQ24" s="22" t="s">
        <v>14</v>
      </c>
      <c r="AR24" s="279">
        <f>SUMIF('Fx Deals'!C:C,'TESTE V5'!AQ24,'Fx Deals'!B:B)</f>
        <v>2850000</v>
      </c>
      <c r="AS24" s="279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5"/>
      <c r="AI25" s="193"/>
      <c r="AJ25" s="36"/>
      <c r="AK25" s="36"/>
      <c r="AL25" s="36"/>
      <c r="AM25" s="36"/>
      <c r="AN25" s="36"/>
      <c r="AO25" s="36"/>
      <c r="AP25" s="36"/>
      <c r="AQ25" s="22" t="s">
        <v>9</v>
      </c>
      <c r="AR25" s="279">
        <f>SUMIF('Fx Deals'!C:C,'TESTE V5'!AQ25,'Fx Deals'!B:B)</f>
        <v>300000</v>
      </c>
      <c r="AS25" s="279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4"/>
      <c r="AI26" s="193"/>
      <c r="AJ26" s="36"/>
      <c r="AK26" s="36"/>
      <c r="AL26" s="36"/>
      <c r="AM26" s="36"/>
      <c r="AN26" s="36"/>
      <c r="AO26" s="36"/>
      <c r="AP26" s="36"/>
      <c r="AQ26" s="22" t="s">
        <v>3</v>
      </c>
      <c r="AR26" s="279">
        <f>SUMIF('Fx Deals'!C:C,'TESTE V5'!AQ26,'Fx Deals'!B:B)</f>
        <v>3000000</v>
      </c>
      <c r="AS26" s="279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89"/>
      <c r="AI27" s="193"/>
      <c r="AJ27" s="36"/>
      <c r="AK27" s="36"/>
      <c r="AL27" s="36"/>
      <c r="AM27" s="36"/>
      <c r="AN27" s="36"/>
      <c r="AO27" s="36"/>
      <c r="AP27" s="36"/>
      <c r="AQ27" s="22" t="s">
        <v>4</v>
      </c>
      <c r="AR27" s="279">
        <f>SUMIF('Fx Deals'!C:C,'TESTE V5'!AQ27,'Fx Deals'!B:B)</f>
        <v>11401000</v>
      </c>
      <c r="AS27" s="279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2"/>
      <c r="AI28" s="193"/>
      <c r="AJ28" s="36"/>
      <c r="AK28" s="36"/>
      <c r="AL28" s="36"/>
      <c r="AM28" s="36"/>
      <c r="AN28" s="36"/>
      <c r="AO28" s="36"/>
      <c r="AP28" s="36"/>
      <c r="AQ28" s="22" t="s">
        <v>19</v>
      </c>
      <c r="AR28" s="279">
        <f>SUMIF('Fx Deals'!C:C,'TESTE V5'!AQ28,'Fx Deals'!B:B)</f>
        <v>114000000</v>
      </c>
      <c r="AS28" s="279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92"/>
      <c r="AI29" s="193"/>
      <c r="AJ29" s="36"/>
      <c r="AK29" s="36"/>
      <c r="AL29" s="36"/>
      <c r="AM29" s="36"/>
      <c r="AN29" s="36"/>
      <c r="AO29" s="36"/>
      <c r="AP29" s="36"/>
      <c r="AQ29" s="22" t="s">
        <v>6</v>
      </c>
      <c r="AR29" s="279">
        <f>SUMIF('Fx Deals'!C:C,'TESTE V5'!AQ29,'Fx Deals'!B:B)-10000000</f>
        <v>98000000</v>
      </c>
      <c r="AS29" s="279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89"/>
      <c r="AI30" s="193"/>
      <c r="AJ30" s="36"/>
      <c r="AK30" s="36"/>
      <c r="AL30" s="36"/>
      <c r="AM30" s="36"/>
      <c r="AN30" s="36"/>
      <c r="AO30" s="36"/>
      <c r="AP30" s="36"/>
      <c r="AQ30" s="22" t="s">
        <v>16</v>
      </c>
      <c r="AR30" s="279">
        <f>SUMIF('Fx Deals'!C:C,'TESTE V5'!AQ30,'Fx Deals'!B:B)</f>
        <v>4099760</v>
      </c>
      <c r="AS30" s="279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4"/>
      <c r="AI31" s="193"/>
      <c r="AJ31" s="36"/>
      <c r="AK31" s="36"/>
      <c r="AL31" s="36"/>
      <c r="AM31" s="36"/>
      <c r="AN31" s="36"/>
      <c r="AO31" s="36"/>
      <c r="AP31" s="36"/>
      <c r="AQ31" s="30" t="s">
        <v>5</v>
      </c>
      <c r="AR31" s="279">
        <f>SUMIF('Fx Deals'!C:C,'TESTE V5'!AQ31,'Fx Deals'!B:B)</f>
        <v>5644513.6600000001</v>
      </c>
      <c r="AS31" s="279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94"/>
      <c r="AI32" s="193"/>
      <c r="AJ32" s="36"/>
      <c r="AK32" s="36"/>
      <c r="AL32" s="36"/>
      <c r="AM32" s="36"/>
      <c r="AN32" s="36"/>
      <c r="AO32" s="36"/>
      <c r="AP32" s="36"/>
      <c r="AQ32" s="767" t="s">
        <v>465</v>
      </c>
      <c r="AR32" s="780"/>
      <c r="AS32" s="281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2"/>
      <c r="AI34" s="193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6"/>
      <c r="AG35" s="196"/>
      <c r="AH35" s="197"/>
      <c r="AI35" s="198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783" t="s">
        <v>892</v>
      </c>
      <c r="AL36" s="781"/>
      <c r="AM36" s="782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298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67" t="s">
        <v>465</v>
      </c>
      <c r="AL39" s="780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882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23"/>
      <c r="AL61" s="823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23"/>
      <c r="AL62" s="823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23"/>
      <c r="AL63" s="823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23"/>
      <c r="AL64" s="823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23"/>
      <c r="AL65" s="823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23"/>
      <c r="AL66" s="823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883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23"/>
      <c r="AL67" s="823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23"/>
      <c r="AL68" s="823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23"/>
      <c r="AL69" s="823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23"/>
      <c r="AL70" s="823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23"/>
      <c r="AL71" s="823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23"/>
      <c r="AL77" s="823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23"/>
      <c r="AL78" s="823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725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23"/>
      <c r="AL79" s="823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727</v>
      </c>
      <c r="C80" s="38" t="s">
        <v>474</v>
      </c>
      <c r="D80" s="20"/>
      <c r="E80" s="283">
        <v>45658</v>
      </c>
      <c r="F80" s="284">
        <f>SUM('Lista contas'!$N$3:$N$95)+11000</f>
        <v>139332657.02696273</v>
      </c>
      <c r="G80" s="287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23"/>
      <c r="AK80" s="823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Tabelas!C57</f>
        <v>481767.21153193805</v>
      </c>
      <c r="C81" s="45">
        <f>SUM(Tabelas!W65:W66)</f>
        <v>1789.1795846255031</v>
      </c>
      <c r="D81" s="11"/>
      <c r="E81" s="285" t="s">
        <v>678</v>
      </c>
      <c r="F81" s="284">
        <f>SUM('Lista contas'!$AC$3:$AC$95)+AT4+AU4+AR5</f>
        <v>102832675.20896223</v>
      </c>
      <c r="G81" s="287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820"/>
      <c r="AK81" s="820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+Tabelas!AA57</f>
        <v>641646.158962421</v>
      </c>
      <c r="C82" s="45">
        <f>SUM(Tabelas!O65:O66)</f>
        <v>33195.211173927499</v>
      </c>
      <c r="D82" s="11"/>
      <c r="E82" s="285" t="s">
        <v>679</v>
      </c>
      <c r="F82" s="284">
        <f>SUM('Lista contas'!$AO$3:$AO$95)+AV5+AR6</f>
        <v>96962025.517184228</v>
      </c>
      <c r="G82" s="287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23"/>
      <c r="AI82" s="823"/>
      <c r="AJ82" s="820"/>
      <c r="AK82" s="820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+Tabelas!O57</f>
        <v>498353.71504660451</v>
      </c>
      <c r="C83" s="45">
        <f>SUM(Tabelas!M65:M66)</f>
        <v>37643.67509986685</v>
      </c>
      <c r="D83" s="11"/>
      <c r="E83" s="285" t="s">
        <v>680</v>
      </c>
      <c r="F83" s="286"/>
      <c r="G83" s="287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820"/>
      <c r="AI83" s="820"/>
      <c r="AJ83" s="820"/>
      <c r="AK83" s="82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+Tabelas!G57</f>
        <v>491426.44208212127</v>
      </c>
      <c r="C84" s="45">
        <f>SUM(Tabelas!U65:U66)</f>
        <v>67787.846696247841</v>
      </c>
      <c r="D84" s="11"/>
      <c r="E84" s="285" t="s">
        <v>681</v>
      </c>
      <c r="F84" s="286"/>
      <c r="G84" s="287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820"/>
      <c r="AI84" s="820"/>
      <c r="AJ84" s="820"/>
      <c r="AK84" s="82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+Tabelas!M57</f>
        <v>21960468.170000002</v>
      </c>
      <c r="C85" s="45">
        <f>SUM(Tabelas!K65:K66)</f>
        <v>18772420.57</v>
      </c>
      <c r="D85" s="11"/>
      <c r="E85" s="285" t="s">
        <v>682</v>
      </c>
      <c r="F85" s="286"/>
      <c r="G85" s="287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20"/>
      <c r="AI85" s="820"/>
      <c r="AJ85" s="820"/>
      <c r="AK85" s="82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Tabelas!K57</f>
        <v>5262765.0328330211</v>
      </c>
      <c r="C86" s="45">
        <f>SUM(Tabelas!Q65:Q66)</f>
        <v>5026927.7673545964</v>
      </c>
      <c r="D86" s="10"/>
      <c r="E86" s="285" t="s">
        <v>683</v>
      </c>
      <c r="F86" s="286"/>
      <c r="G86" s="287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20"/>
      <c r="AI86" s="820"/>
      <c r="AJ86" s="820"/>
      <c r="AK86" s="82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298</v>
      </c>
      <c r="B87" s="45">
        <f>+Tabelas!Y57</f>
        <v>216595.30903047445</v>
      </c>
      <c r="C87" s="45"/>
      <c r="D87" s="10"/>
      <c r="E87" s="285" t="s">
        <v>684</v>
      </c>
      <c r="F87" s="286"/>
      <c r="G87" s="287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20"/>
      <c r="AI87" s="820"/>
      <c r="AJ87" s="820"/>
      <c r="AK87" s="82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259</v>
      </c>
      <c r="B88" s="45">
        <f>+Tabelas!U57</f>
        <v>433913.67394792056</v>
      </c>
      <c r="C88" s="45"/>
      <c r="D88" s="20"/>
      <c r="E88" s="285" t="s">
        <v>880</v>
      </c>
      <c r="F88" s="286"/>
      <c r="G88" s="287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20"/>
      <c r="AI88" s="820"/>
      <c r="AJ88" s="820"/>
      <c r="AK88" s="82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Tabelas!E57</f>
        <v>2116139.412138293</v>
      </c>
      <c r="C89" s="45">
        <f>SUM(Tabelas!I65:I66)</f>
        <v>10576.943687185627</v>
      </c>
      <c r="D89" s="20"/>
      <c r="E89" s="285" t="s">
        <v>686</v>
      </c>
      <c r="F89" s="286"/>
      <c r="G89" s="287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20"/>
      <c r="AI89" s="820"/>
      <c r="AJ89" s="820"/>
      <c r="AK89" s="82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+Tabelas!AC57</f>
        <v>1303142.0684794737</v>
      </c>
      <c r="C90" s="45">
        <f>SUM(Tabelas!S65:S66)</f>
        <v>39863.041052446111</v>
      </c>
      <c r="D90" s="20"/>
      <c r="E90" s="285" t="s">
        <v>687</v>
      </c>
      <c r="F90" s="286"/>
      <c r="G90" s="287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20"/>
      <c r="AI90" s="820"/>
      <c r="AJ90" s="820"/>
      <c r="AK90" s="82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+Tabelas!S57</f>
        <v>4622544.2875342155</v>
      </c>
      <c r="C91" s="45">
        <f>SUM(Tabelas!G65:G66)</f>
        <v>908152.87954045576</v>
      </c>
      <c r="D91" s="20"/>
      <c r="E91" s="285" t="s">
        <v>688</v>
      </c>
      <c r="F91" s="286"/>
      <c r="G91" s="287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20"/>
      <c r="AI91" s="820"/>
      <c r="AJ91" s="820"/>
      <c r="AK91" s="82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+Tabelas!W57</f>
        <v>1232427.5820292782</v>
      </c>
      <c r="C92" s="45">
        <f>SUM(Tabelas!E65:E66)</f>
        <v>369255.93134780414</v>
      </c>
      <c r="D92" s="20"/>
      <c r="E92" s="285" t="s">
        <v>689</v>
      </c>
      <c r="F92" s="286"/>
      <c r="G92" s="287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20"/>
      <c r="AI92" s="820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+Tabelas!I57</f>
        <v>1935843.4269469329</v>
      </c>
      <c r="C93" s="45">
        <f>SUM(Tabelas!C65:C66)</f>
        <v>519176.43004824256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20"/>
      <c r="AI93" s="820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289</v>
      </c>
      <c r="B94" s="45">
        <f>+Tabelas!Q57</f>
        <v>303385.71570699464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41500418.206269689</v>
      </c>
      <c r="C95" s="86">
        <f>SUM(C81:C94)</f>
        <v>25786789.475585394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626</v>
      </c>
      <c r="AR98" s="10" t="s">
        <v>306</v>
      </c>
      <c r="AS98" s="10" t="s">
        <v>301</v>
      </c>
      <c r="AT98" s="10" t="s">
        <v>884</v>
      </c>
      <c r="AU98" s="10" t="s">
        <v>885</v>
      </c>
      <c r="AV98" s="10" t="s">
        <v>316</v>
      </c>
      <c r="AW98" s="10" t="s">
        <v>886</v>
      </c>
      <c r="AX98" s="10" t="s">
        <v>319</v>
      </c>
      <c r="AY98" s="10" t="s">
        <v>288</v>
      </c>
      <c r="AZ98" s="10" t="s">
        <v>887</v>
      </c>
      <c r="BA98" s="10" t="s">
        <v>304</v>
      </c>
      <c r="BB98" s="10" t="s">
        <v>332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357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298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259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289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  <mergeCell ref="AK62:AL62"/>
    <mergeCell ref="AO11:AP11"/>
    <mergeCell ref="AO12:AP12"/>
    <mergeCell ref="AO13:AP13"/>
    <mergeCell ref="AO14:AP14"/>
    <mergeCell ref="AO15:AP15"/>
    <mergeCell ref="AQ22:AR22"/>
    <mergeCell ref="AQ32:AR32"/>
    <mergeCell ref="AK36:AM36"/>
    <mergeCell ref="AK39:AL39"/>
    <mergeCell ref="AK61:AL61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J80:AK80"/>
    <mergeCell ref="AJ81:AK81"/>
    <mergeCell ref="AH82:AI82"/>
    <mergeCell ref="AJ82:AK82"/>
    <mergeCell ref="AH83:AI83"/>
    <mergeCell ref="AJ83:AK83"/>
    <mergeCell ref="AH84:AI84"/>
    <mergeCell ref="AJ84:AK84"/>
    <mergeCell ref="AH85:AI85"/>
    <mergeCell ref="AJ85:AK85"/>
    <mergeCell ref="AH86:AI86"/>
    <mergeCell ref="AJ86:AK86"/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58DBA-78DA-4C6A-A671-B862A73BA344}"/>
</file>

<file path=customXml/itemProps2.xml><?xml version="1.0" encoding="utf-8"?>
<ds:datastoreItem xmlns:ds="http://schemas.openxmlformats.org/officeDocument/2006/customXml" ds:itemID="{63CE3E43-8691-4C86-9350-54D51FBE371F}"/>
</file>

<file path=customXml/itemProps3.xml><?xml version="1.0" encoding="utf-8"?>
<ds:datastoreItem xmlns:ds="http://schemas.openxmlformats.org/officeDocument/2006/customXml" ds:itemID="{E017B194-8A00-4E0B-8F40-8C11C23B84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 Miguel</cp:lastModifiedBy>
  <cp:revision/>
  <dcterms:created xsi:type="dcterms:W3CDTF">2025-02-06T15:45:58Z</dcterms:created>
  <dcterms:modified xsi:type="dcterms:W3CDTF">2025-06-26T10:22:35Z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